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autoCompressPictures="0" defaultThemeVersion="124226"/>
  <mc:AlternateContent xmlns:mc="http://schemas.openxmlformats.org/markup-compatibility/2006">
    <mc:Choice Requires="x15">
      <x15ac:absPath xmlns:x15ac="http://schemas.microsoft.com/office/spreadsheetml/2010/11/ac" url="C:\Users\YULIED.PENARANDA.SDA\Desktop\2024\4-ABRIL 2024\PA marzo 2024\PA FINALES\"/>
    </mc:Choice>
  </mc:AlternateContent>
  <xr:revisionPtr revIDLastSave="0" documentId="13_ncr:1_{95604DBC-A4B5-4DB7-8987-8BE41F813E4D}" xr6:coauthVersionLast="47" xr6:coauthVersionMax="47" xr10:uidLastSave="{00000000-0000-0000-0000-000000000000}"/>
  <bookViews>
    <workbookView xWindow="-120" yWindow="-120" windowWidth="20730" windowHeight="11160" tabRatio="601" activeTab="2" xr2:uid="{00000000-000D-0000-FFFF-FFFF00000000}"/>
  </bookViews>
  <sheets>
    <sheet name="GESTIÓN " sheetId="33" r:id="rId1"/>
    <sheet name="INVERSIÓN" sheetId="6" r:id="rId2"/>
    <sheet name="ACTIVIDADES" sheetId="21" r:id="rId3"/>
    <sheet name="TERRITORIALIZACIÓN" sheetId="34" r:id="rId4"/>
    <sheet name="SPI." sheetId="27" r:id="rId5"/>
    <sheet name="SPI" sheetId="14" state="hidden" r:id="rId6"/>
  </sheets>
  <externalReferences>
    <externalReference r:id="rId7"/>
    <externalReference r:id="rId8"/>
  </externalReferences>
  <definedNames>
    <definedName name="_xlnm._FilterDatabase" localSheetId="2" hidden="1">ACTIVIDADES!$A$7:$C$8</definedName>
    <definedName name="_xlnm._FilterDatabase" localSheetId="0" hidden="1">'GESTIÓN '!$A$12:$FA$12</definedName>
    <definedName name="_xlnm._FilterDatabase" localSheetId="1" hidden="1">INVERSIÓN!$A$9:$GZ$33</definedName>
    <definedName name="_xlnm.Print_Area" localSheetId="2">ACTIVIDADES!$A$1:$V$40</definedName>
    <definedName name="_xlnm.Print_Area" localSheetId="0">'GESTIÓN '!$A$1:$FA$14</definedName>
    <definedName name="_xlnm.Print_Area" localSheetId="1">INVERSIÓN!$A$1:$FA$34</definedName>
    <definedName name="CONDICION_POBLACIONAL" localSheetId="2">[1]Variables!$C$1:$C$24</definedName>
    <definedName name="CONDICION_POBLACIONAL" localSheetId="4">[1]Variables!$C$1:$C$24</definedName>
    <definedName name="CONDICION_POBLACIONAL">[1]Variables!$C$1:$C$24</definedName>
    <definedName name="GRUPO_ETAREO" localSheetId="2">[1]Variables!$A$1:$A$8</definedName>
    <definedName name="GRUPO_ETAREO" localSheetId="4">[1]Variables!$A$1:$A$8</definedName>
    <definedName name="GRUPO_ETAREO">[1]Variables!$A$1:$A$8</definedName>
    <definedName name="GRUPO_ETAREOS" localSheetId="2">#REF!</definedName>
    <definedName name="GRUPO_ETAREOS" localSheetId="0">#REF!</definedName>
    <definedName name="GRUPO_ETAREOS" localSheetId="4">#REF!</definedName>
    <definedName name="GRUPO_ETAREOS" localSheetId="3">#REF!</definedName>
    <definedName name="GRUPO_ETAREOS">#REF!</definedName>
    <definedName name="GRUPO_ETARIO" localSheetId="2">#REF!</definedName>
    <definedName name="GRUPO_ETARIO" localSheetId="0">#REF!</definedName>
    <definedName name="GRUPO_ETARIO" localSheetId="4">#REF!</definedName>
    <definedName name="GRUPO_ETARIO" localSheetId="3">#REF!</definedName>
    <definedName name="GRUPO_ETARIO">#REF!</definedName>
    <definedName name="GRUPO_ETNICO" localSheetId="2">#REF!</definedName>
    <definedName name="GRUPO_ETNICO" localSheetId="0">#REF!</definedName>
    <definedName name="GRUPO_ETNICO" localSheetId="4">#REF!</definedName>
    <definedName name="GRUPO_ETNICO" localSheetId="3">#REF!</definedName>
    <definedName name="GRUPO_ETNICO">#REF!</definedName>
    <definedName name="GRUPOETNICO" localSheetId="2">#REF!</definedName>
    <definedName name="GRUPOETNICO" localSheetId="0">#REF!</definedName>
    <definedName name="GRUPOETNICO" localSheetId="4">#REF!</definedName>
    <definedName name="GRUPOETNICO" localSheetId="3">#REF!</definedName>
    <definedName name="GRUPOETNICO">#REF!</definedName>
    <definedName name="GRUPOS_ETNICOS" localSheetId="2">[1]Variables!$H$1:$H$8</definedName>
    <definedName name="GRUPOS_ETNICOS" localSheetId="4">[1]Variables!$H$1:$H$8</definedName>
    <definedName name="GRUPOS_ETNICOS">[1]Variables!$H$1:$H$8</definedName>
    <definedName name="LOCALIDAD" localSheetId="2">#REF!</definedName>
    <definedName name="LOCALIDAD" localSheetId="0">#REF!</definedName>
    <definedName name="LOCALIDAD" localSheetId="4">#REF!</definedName>
    <definedName name="LOCALIDAD" localSheetId="3">#REF!</definedName>
    <definedName name="LOCALIDAD">#REF!</definedName>
    <definedName name="LOCALIZACION" localSheetId="2">#REF!</definedName>
    <definedName name="LOCALIZACION" localSheetId="0">#REF!</definedName>
    <definedName name="LOCALIZACION" localSheetId="4">#REF!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V14" i="33" l="1"/>
  <c r="EV13" i="33"/>
  <c r="EU14" i="33"/>
  <c r="EU13" i="33"/>
  <c r="ET14" i="33"/>
  <c r="ET13" i="33"/>
  <c r="ES14" i="33"/>
  <c r="ES13" i="33"/>
  <c r="ER14" i="33"/>
  <c r="ER13" i="33"/>
  <c r="F133" i="34"/>
  <c r="F149" i="34" s="1"/>
  <c r="F132" i="34"/>
  <c r="F130" i="34"/>
  <c r="F134" i="34" s="1"/>
  <c r="F128" i="34"/>
  <c r="F127" i="34"/>
  <c r="F125" i="34"/>
  <c r="F129" i="34" s="1"/>
  <c r="F122" i="34"/>
  <c r="F117" i="34"/>
  <c r="F116" i="34"/>
  <c r="F111" i="34"/>
  <c r="F110" i="34"/>
  <c r="F105" i="34"/>
  <c r="F104" i="34"/>
  <c r="F99" i="34"/>
  <c r="F98" i="34"/>
  <c r="F93" i="34"/>
  <c r="F92" i="34"/>
  <c r="F87" i="34"/>
  <c r="F86" i="34"/>
  <c r="F81" i="34"/>
  <c r="F80" i="34"/>
  <c r="F75" i="34"/>
  <c r="F74" i="34"/>
  <c r="F69" i="34"/>
  <c r="F68" i="34"/>
  <c r="F63" i="34"/>
  <c r="F62" i="34"/>
  <c r="F57" i="34"/>
  <c r="F56" i="34"/>
  <c r="F51" i="34"/>
  <c r="F50" i="34"/>
  <c r="F45" i="34"/>
  <c r="F44" i="34"/>
  <c r="F39" i="34"/>
  <c r="F38" i="34"/>
  <c r="F33" i="34"/>
  <c r="F32" i="34"/>
  <c r="F27" i="34"/>
  <c r="F26" i="34"/>
  <c r="F21" i="34"/>
  <c r="F15" i="34"/>
  <c r="F14" i="34"/>
  <c r="ET13" i="6"/>
  <c r="ET20" i="6"/>
  <c r="ET27" i="6"/>
  <c r="ET26" i="6"/>
  <c r="EM33" i="6"/>
  <c r="EN32" i="6"/>
  <c r="DT32" i="6"/>
  <c r="DU32" i="6"/>
  <c r="DV32" i="6"/>
  <c r="DW32" i="6"/>
  <c r="DX32" i="6"/>
  <c r="DY32" i="6"/>
  <c r="DZ32" i="6"/>
  <c r="EA32" i="6"/>
  <c r="EB32" i="6"/>
  <c r="EC32" i="6"/>
  <c r="ED32" i="6"/>
  <c r="EE32" i="6"/>
  <c r="EF32" i="6"/>
  <c r="EG32" i="6"/>
  <c r="EH32" i="6"/>
  <c r="EI32" i="6"/>
  <c r="EJ32" i="6"/>
  <c r="EK32" i="6"/>
  <c r="EL32" i="6"/>
  <c r="EM32" i="6"/>
  <c r="EO32" i="6"/>
  <c r="EP32" i="6"/>
  <c r="EQ32" i="6"/>
  <c r="DS32" i="6"/>
  <c r="DR32" i="6"/>
  <c r="EP31" i="6"/>
  <c r="DN30" i="6"/>
  <c r="DO30" i="6"/>
  <c r="DP30" i="6"/>
  <c r="DQ30" i="6"/>
  <c r="DR30" i="6"/>
  <c r="DS30" i="6"/>
  <c r="DT30" i="6"/>
  <c r="DU30" i="6"/>
  <c r="DV30" i="6"/>
  <c r="DW30" i="6"/>
  <c r="DX30" i="6"/>
  <c r="DY30" i="6"/>
  <c r="DZ30" i="6"/>
  <c r="EA30" i="6"/>
  <c r="EB30" i="6"/>
  <c r="EC30" i="6"/>
  <c r="ED30" i="6"/>
  <c r="EE30" i="6"/>
  <c r="EF30" i="6"/>
  <c r="EG30" i="6"/>
  <c r="EH30" i="6"/>
  <c r="EI30" i="6"/>
  <c r="EJ30" i="6"/>
  <c r="EK30" i="6"/>
  <c r="EL30" i="6"/>
  <c r="EM30" i="6"/>
  <c r="EN30" i="6"/>
  <c r="EO30" i="6"/>
  <c r="EP30" i="6"/>
  <c r="EQ30" i="6"/>
  <c r="DM30" i="6"/>
  <c r="DR31" i="6"/>
  <c r="DS23" i="6"/>
  <c r="DT23" i="6"/>
  <c r="DU23" i="6"/>
  <c r="DV23" i="6"/>
  <c r="DW23" i="6"/>
  <c r="DX23" i="6"/>
  <c r="DY23" i="6"/>
  <c r="DZ23" i="6"/>
  <c r="EA23" i="6"/>
  <c r="EB23" i="6"/>
  <c r="EC23" i="6"/>
  <c r="ED23" i="6"/>
  <c r="EE23" i="6"/>
  <c r="EF23" i="6"/>
  <c r="EG23" i="6"/>
  <c r="EH23" i="6"/>
  <c r="EI23" i="6"/>
  <c r="EJ23" i="6"/>
  <c r="EK23" i="6"/>
  <c r="EL23" i="6"/>
  <c r="EM23" i="6"/>
  <c r="EN23" i="6"/>
  <c r="EO23" i="6"/>
  <c r="EP23" i="6"/>
  <c r="EQ23" i="6"/>
  <c r="DR23" i="6"/>
  <c r="DS16" i="6"/>
  <c r="DT16" i="6"/>
  <c r="DU16" i="6"/>
  <c r="DV16" i="6"/>
  <c r="DW16" i="6"/>
  <c r="DX16" i="6"/>
  <c r="DY16" i="6"/>
  <c r="DZ16" i="6"/>
  <c r="EA16" i="6"/>
  <c r="EB16" i="6"/>
  <c r="EC16" i="6"/>
  <c r="ED16" i="6"/>
  <c r="EE16" i="6"/>
  <c r="EF16" i="6"/>
  <c r="EG16" i="6"/>
  <c r="EH16" i="6"/>
  <c r="EI16" i="6"/>
  <c r="EJ16" i="6"/>
  <c r="EK16" i="6"/>
  <c r="EL16" i="6"/>
  <c r="EM16" i="6"/>
  <c r="EN16" i="6"/>
  <c r="EO16" i="6"/>
  <c r="EP16" i="6"/>
  <c r="EQ16" i="6"/>
  <c r="DR16" i="6"/>
  <c r="DP23" i="6"/>
  <c r="EV27" i="6"/>
  <c r="EV19" i="6"/>
  <c r="EV13" i="6"/>
  <c r="EV10" i="6"/>
  <c r="EU10" i="6"/>
  <c r="EU13" i="6"/>
  <c r="EU15" i="6"/>
  <c r="EU17" i="6"/>
  <c r="EU19" i="6"/>
  <c r="EU20" i="6"/>
  <c r="EU22" i="6"/>
  <c r="EU24" i="6"/>
  <c r="EU27" i="6"/>
  <c r="EU29" i="6"/>
  <c r="ET10" i="6"/>
  <c r="ES10" i="6"/>
  <c r="ER10" i="6"/>
  <c r="F131" i="34" l="1"/>
  <c r="EQ13" i="33"/>
  <c r="ES27" i="6"/>
  <c r="ES20" i="6"/>
  <c r="ES19" i="6"/>
  <c r="ES13" i="6"/>
  <c r="ER14" i="6"/>
  <c r="ER15" i="6"/>
  <c r="ER17" i="6"/>
  <c r="ER18" i="6"/>
  <c r="ER19" i="6"/>
  <c r="ER20" i="6"/>
  <c r="ER21" i="6"/>
  <c r="ER22" i="6"/>
  <c r="ER24" i="6"/>
  <c r="ER25" i="6"/>
  <c r="ER26" i="6"/>
  <c r="ER27" i="6"/>
  <c r="ER28" i="6"/>
  <c r="ER29" i="6"/>
  <c r="ER30" i="6"/>
  <c r="ER13" i="6"/>
  <c r="ER11" i="6"/>
  <c r="ER12" i="6"/>
  <c r="Z33" i="6"/>
  <c r="Z31" i="6"/>
  <c r="G29" i="6"/>
  <c r="G24" i="6"/>
  <c r="G27" i="6"/>
  <c r="G22" i="6"/>
  <c r="G20" i="6"/>
  <c r="G17" i="6"/>
  <c r="G15" i="6"/>
  <c r="EO14" i="33"/>
  <c r="F148" i="34" l="1"/>
  <c r="F150" i="34" s="1"/>
  <c r="F135" i="34"/>
  <c r="EO13" i="33"/>
  <c r="EP20" i="6"/>
  <c r="BE140" i="34"/>
  <c r="EQ22" i="6"/>
  <c r="DU15" i="6"/>
  <c r="DV15" i="6"/>
  <c r="DW15" i="6"/>
  <c r="DX15" i="6"/>
  <c r="DY15" i="6"/>
  <c r="DZ15" i="6"/>
  <c r="EA15" i="6"/>
  <c r="EB15" i="6"/>
  <c r="EC15" i="6"/>
  <c r="ED15" i="6"/>
  <c r="EE15" i="6"/>
  <c r="EF15" i="6"/>
  <c r="EG15" i="6"/>
  <c r="EH15" i="6"/>
  <c r="EI15" i="6"/>
  <c r="EJ15" i="6"/>
  <c r="EK15" i="6"/>
  <c r="EL15" i="6"/>
  <c r="EO11" i="6"/>
  <c r="EQ25" i="6"/>
  <c r="EQ18" i="6"/>
  <c r="BE137" i="34" s="1"/>
  <c r="ER23" i="6" l="1"/>
  <c r="V131" i="34"/>
  <c r="BC35" i="34" l="1"/>
  <c r="EN14" i="6"/>
  <c r="EN13" i="6"/>
  <c r="EN12" i="6"/>
  <c r="EN11" i="6"/>
  <c r="EU11" i="6" s="1"/>
  <c r="EN10" i="6"/>
  <c r="EP10" i="6"/>
  <c r="EO10" i="6"/>
  <c r="EM10" i="6"/>
  <c r="BD11" i="34"/>
  <c r="BD12" i="34"/>
  <c r="BD13" i="34"/>
  <c r="BD17" i="34"/>
  <c r="BD18" i="34"/>
  <c r="BD19" i="34"/>
  <c r="BD20" i="34"/>
  <c r="BD23" i="34"/>
  <c r="BD24" i="34"/>
  <c r="BD25" i="34"/>
  <c r="BD29" i="34"/>
  <c r="BD30" i="34"/>
  <c r="BD31" i="34"/>
  <c r="BD35" i="34"/>
  <c r="BD36" i="34"/>
  <c r="BD37" i="34"/>
  <c r="BD41" i="34"/>
  <c r="BD42" i="34"/>
  <c r="BD43" i="34"/>
  <c r="BD47" i="34"/>
  <c r="BD48" i="34"/>
  <c r="BD49" i="34"/>
  <c r="BD53" i="34"/>
  <c r="BD54" i="34"/>
  <c r="BD55" i="34"/>
  <c r="BD56" i="34"/>
  <c r="BD59" i="34"/>
  <c r="BD60" i="34"/>
  <c r="BD61" i="34"/>
  <c r="BD65" i="34"/>
  <c r="BD66" i="34"/>
  <c r="BD67" i="34"/>
  <c r="BD71" i="34"/>
  <c r="BD72" i="34"/>
  <c r="BD73" i="34"/>
  <c r="BD77" i="34"/>
  <c r="BD78" i="34"/>
  <c r="BD79" i="34"/>
  <c r="BD83" i="34"/>
  <c r="BD84" i="34"/>
  <c r="BD85" i="34"/>
  <c r="BD89" i="34"/>
  <c r="BD90" i="34"/>
  <c r="BD91" i="34"/>
  <c r="BD95" i="34"/>
  <c r="BD96" i="34"/>
  <c r="BD97" i="34"/>
  <c r="BD101" i="34"/>
  <c r="BD102" i="34"/>
  <c r="BD103" i="34"/>
  <c r="BD107" i="34"/>
  <c r="BD108" i="34"/>
  <c r="BD109" i="34"/>
  <c r="BD113" i="34"/>
  <c r="BD114" i="34"/>
  <c r="BD115" i="34"/>
  <c r="BD119" i="34"/>
  <c r="BD120" i="34"/>
  <c r="BD121" i="34"/>
  <c r="BD123" i="34"/>
  <c r="BD125" i="34"/>
  <c r="BD126" i="34"/>
  <c r="BD136" i="34"/>
  <c r="BD137" i="34"/>
  <c r="BD138" i="34"/>
  <c r="BD139" i="34"/>
  <c r="BD140" i="34"/>
  <c r="BD141" i="34"/>
  <c r="BD142" i="34"/>
  <c r="BD143" i="34"/>
  <c r="BD144" i="34"/>
  <c r="BD145" i="34"/>
  <c r="BD146" i="34"/>
  <c r="BD147" i="34"/>
  <c r="BC11" i="34"/>
  <c r="BC12" i="34"/>
  <c r="BC13" i="34"/>
  <c r="BC17" i="34"/>
  <c r="BC18" i="34"/>
  <c r="BC19" i="34"/>
  <c r="BC20" i="34"/>
  <c r="BC23" i="34"/>
  <c r="BC24" i="34"/>
  <c r="BC25" i="34"/>
  <c r="BC29" i="34"/>
  <c r="BC30" i="34"/>
  <c r="BC31" i="34"/>
  <c r="BC36" i="34"/>
  <c r="BC37" i="34"/>
  <c r="BC41" i="34"/>
  <c r="BC42" i="34"/>
  <c r="BC43" i="34"/>
  <c r="BC47" i="34"/>
  <c r="BC48" i="34"/>
  <c r="BC49" i="34"/>
  <c r="BC53" i="34"/>
  <c r="BC54" i="34"/>
  <c r="BC55" i="34"/>
  <c r="BC56" i="34"/>
  <c r="BC59" i="34"/>
  <c r="BC60" i="34"/>
  <c r="BC61" i="34"/>
  <c r="BC65" i="34"/>
  <c r="BC66" i="34"/>
  <c r="BC67" i="34"/>
  <c r="BC71" i="34"/>
  <c r="BC72" i="34"/>
  <c r="BC73" i="34"/>
  <c r="BC77" i="34"/>
  <c r="BC78" i="34"/>
  <c r="BC79" i="34"/>
  <c r="BC83" i="34"/>
  <c r="BC84" i="34"/>
  <c r="BC85" i="34"/>
  <c r="BC89" i="34"/>
  <c r="BC90" i="34"/>
  <c r="BC91" i="34"/>
  <c r="BC95" i="34"/>
  <c r="BC96" i="34"/>
  <c r="BC97" i="34"/>
  <c r="BC101" i="34"/>
  <c r="BC102" i="34"/>
  <c r="BC103" i="34"/>
  <c r="BC107" i="34"/>
  <c r="BC108" i="34"/>
  <c r="BC109" i="34"/>
  <c r="BC113" i="34"/>
  <c r="BC114" i="34"/>
  <c r="BC115" i="34"/>
  <c r="BC119" i="34"/>
  <c r="BC120" i="34"/>
  <c r="BC121" i="34"/>
  <c r="BC123" i="34"/>
  <c r="BC125" i="34"/>
  <c r="BC126" i="34"/>
  <c r="BC136" i="34"/>
  <c r="BC137" i="34"/>
  <c r="BC138" i="34"/>
  <c r="BC139" i="34"/>
  <c r="BC140" i="34"/>
  <c r="BC141" i="34"/>
  <c r="BC142" i="34"/>
  <c r="BC143" i="34"/>
  <c r="BC144" i="34"/>
  <c r="BC145" i="34"/>
  <c r="BC146" i="34"/>
  <c r="BC147" i="34"/>
  <c r="BB11" i="34"/>
  <c r="BB12" i="34"/>
  <c r="BB13" i="34"/>
  <c r="BB17" i="34"/>
  <c r="BB18" i="34"/>
  <c r="BB19" i="34"/>
  <c r="BB20" i="34"/>
  <c r="BB23" i="34"/>
  <c r="BB24" i="34"/>
  <c r="BB25" i="34"/>
  <c r="BB29" i="34"/>
  <c r="BB30" i="34"/>
  <c r="BB31" i="34"/>
  <c r="BB35" i="34"/>
  <c r="BB36" i="34"/>
  <c r="BB37" i="34"/>
  <c r="BB41" i="34"/>
  <c r="BB42" i="34"/>
  <c r="BB43" i="34"/>
  <c r="BB47" i="34"/>
  <c r="BB48" i="34"/>
  <c r="BB49" i="34"/>
  <c r="BB53" i="34"/>
  <c r="BB54" i="34"/>
  <c r="BB55" i="34"/>
  <c r="BB56" i="34"/>
  <c r="BB59" i="34"/>
  <c r="BB60" i="34"/>
  <c r="BB61" i="34"/>
  <c r="BB65" i="34"/>
  <c r="BB66" i="34"/>
  <c r="BB67" i="34"/>
  <c r="BB71" i="34"/>
  <c r="BB72" i="34"/>
  <c r="BB73" i="34"/>
  <c r="BB77" i="34"/>
  <c r="BB78" i="34"/>
  <c r="BB79" i="34"/>
  <c r="BB83" i="34"/>
  <c r="BB84" i="34"/>
  <c r="BB85" i="34"/>
  <c r="BB89" i="34"/>
  <c r="BB90" i="34"/>
  <c r="BB91" i="34"/>
  <c r="BB95" i="34"/>
  <c r="BB96" i="34"/>
  <c r="BB97" i="34"/>
  <c r="BB101" i="34"/>
  <c r="BB102" i="34"/>
  <c r="BB103" i="34"/>
  <c r="BB107" i="34"/>
  <c r="BB108" i="34"/>
  <c r="BB109" i="34"/>
  <c r="BB113" i="34"/>
  <c r="BB114" i="34"/>
  <c r="BB115" i="34"/>
  <c r="BB119" i="34"/>
  <c r="BB120" i="34"/>
  <c r="BB121" i="34"/>
  <c r="BB123" i="34"/>
  <c r="BB126" i="34"/>
  <c r="BB136" i="34"/>
  <c r="BB137" i="34"/>
  <c r="BB138" i="34"/>
  <c r="BB139" i="34"/>
  <c r="BB140" i="34"/>
  <c r="BB141" i="34"/>
  <c r="BB142" i="34"/>
  <c r="BB143" i="34"/>
  <c r="BB144" i="34"/>
  <c r="BB145" i="34"/>
  <c r="BB146" i="34"/>
  <c r="BB147" i="34"/>
  <c r="G358" i="27"/>
  <c r="M128" i="27"/>
  <c r="J128" i="27"/>
  <c r="H66" i="27" l="1"/>
  <c r="I127" i="34"/>
  <c r="I125" i="34"/>
  <c r="BB125" i="34" s="1"/>
  <c r="I133" i="34"/>
  <c r="I132" i="34"/>
  <c r="I131" i="34"/>
  <c r="I130" i="34"/>
  <c r="I70" i="34"/>
  <c r="I64" i="34"/>
  <c r="I58" i="34"/>
  <c r="I52" i="34"/>
  <c r="I46" i="34"/>
  <c r="I50" i="34" s="1"/>
  <c r="I40" i="34"/>
  <c r="I44" i="34" s="1"/>
  <c r="I34" i="34"/>
  <c r="I38" i="34" s="1"/>
  <c r="I28" i="34"/>
  <c r="I32" i="34" s="1"/>
  <c r="I22" i="34"/>
  <c r="I16" i="34"/>
  <c r="D3" i="34"/>
  <c r="C3" i="34"/>
  <c r="B3" i="34"/>
  <c r="A3" i="34"/>
  <c r="D2" i="34"/>
  <c r="C2" i="34"/>
  <c r="B2" i="34"/>
  <c r="A2" i="34"/>
  <c r="D1" i="34"/>
  <c r="C1" i="34"/>
  <c r="B1" i="34"/>
  <c r="A1" i="34"/>
  <c r="I10" i="34"/>
  <c r="I14" i="34" s="1"/>
  <c r="I129" i="34"/>
  <c r="I128" i="34"/>
  <c r="I122" i="34"/>
  <c r="I117" i="34"/>
  <c r="I116" i="34"/>
  <c r="I111" i="34"/>
  <c r="I110" i="34"/>
  <c r="I105" i="34"/>
  <c r="I104" i="34"/>
  <c r="I99" i="34"/>
  <c r="I98" i="34"/>
  <c r="I93" i="34"/>
  <c r="I92" i="34"/>
  <c r="I87" i="34"/>
  <c r="I86" i="34"/>
  <c r="I81" i="34"/>
  <c r="I80" i="34"/>
  <c r="I75" i="34"/>
  <c r="I74" i="34"/>
  <c r="I69" i="34"/>
  <c r="I68" i="34"/>
  <c r="I63" i="34"/>
  <c r="I62" i="34"/>
  <c r="I57" i="34"/>
  <c r="I51" i="34"/>
  <c r="I45" i="34"/>
  <c r="I39" i="34"/>
  <c r="I33" i="34"/>
  <c r="I27" i="34"/>
  <c r="I26" i="34"/>
  <c r="I21" i="34"/>
  <c r="I15" i="34"/>
  <c r="V127" i="34"/>
  <c r="BB127" i="34" s="1"/>
  <c r="AP130" i="34"/>
  <c r="AO130" i="34"/>
  <c r="AN118" i="34"/>
  <c r="AN112" i="34"/>
  <c r="AN106" i="34"/>
  <c r="AN100" i="34"/>
  <c r="AN94" i="34"/>
  <c r="AN88" i="34"/>
  <c r="AN82" i="34"/>
  <c r="AN76" i="34"/>
  <c r="AN70" i="34"/>
  <c r="AN64" i="34"/>
  <c r="AN58" i="34"/>
  <c r="AN52" i="34"/>
  <c r="AN46" i="34"/>
  <c r="AN40" i="34"/>
  <c r="AN34" i="34"/>
  <c r="AN28" i="34"/>
  <c r="AN22" i="34"/>
  <c r="AN16" i="34"/>
  <c r="AN10" i="34"/>
  <c r="I134" i="34" l="1"/>
  <c r="BF130" i="34"/>
  <c r="AN130" i="34"/>
  <c r="I135" i="34"/>
  <c r="V124" i="34"/>
  <c r="BB124" i="34" s="1"/>
  <c r="V118" i="34"/>
  <c r="BB118" i="34" s="1"/>
  <c r="V112" i="34"/>
  <c r="BB112" i="34" s="1"/>
  <c r="V106" i="34"/>
  <c r="V100" i="34"/>
  <c r="BB100" i="34" s="1"/>
  <c r="V94" i="34"/>
  <c r="BB94" i="34" s="1"/>
  <c r="V88" i="34"/>
  <c r="BB88" i="34" s="1"/>
  <c r="V82" i="34"/>
  <c r="BB82" i="34" s="1"/>
  <c r="V76" i="34"/>
  <c r="BB76" i="34" s="1"/>
  <c r="V70" i="34"/>
  <c r="V64" i="34"/>
  <c r="BB64" i="34" s="1"/>
  <c r="V58" i="34"/>
  <c r="BB58" i="34" s="1"/>
  <c r="V52" i="34"/>
  <c r="BB52" i="34" s="1"/>
  <c r="V46" i="34"/>
  <c r="V40" i="34"/>
  <c r="V34" i="34"/>
  <c r="V28" i="34"/>
  <c r="V22" i="34"/>
  <c r="V16" i="34"/>
  <c r="BB16" i="34" s="1"/>
  <c r="V10" i="34"/>
  <c r="V132" i="34"/>
  <c r="V133" i="34"/>
  <c r="V122" i="34"/>
  <c r="BB122" i="34" s="1"/>
  <c r="V117" i="34"/>
  <c r="BB117" i="34" s="1"/>
  <c r="V116" i="34"/>
  <c r="BB116" i="34" s="1"/>
  <c r="V111" i="34"/>
  <c r="BB111" i="34" s="1"/>
  <c r="V105" i="34"/>
  <c r="BB105" i="34" s="1"/>
  <c r="V104" i="34"/>
  <c r="BB104" i="34" s="1"/>
  <c r="V99" i="34"/>
  <c r="BB99" i="34" s="1"/>
  <c r="V98" i="34"/>
  <c r="BB98" i="34" s="1"/>
  <c r="V93" i="34"/>
  <c r="BB93" i="34" s="1"/>
  <c r="V87" i="34"/>
  <c r="BB87" i="34" s="1"/>
  <c r="V81" i="34"/>
  <c r="BB81" i="34" s="1"/>
  <c r="V75" i="34"/>
  <c r="BB75" i="34" s="1"/>
  <c r="V69" i="34"/>
  <c r="BB69" i="34" s="1"/>
  <c r="V68" i="34"/>
  <c r="BB68" i="34" s="1"/>
  <c r="V63" i="34"/>
  <c r="BB63" i="34" s="1"/>
  <c r="V62" i="34"/>
  <c r="BB62" i="34" s="1"/>
  <c r="V57" i="34"/>
  <c r="BB57" i="34" s="1"/>
  <c r="V51" i="34"/>
  <c r="BB51" i="34" s="1"/>
  <c r="V45" i="34"/>
  <c r="BB45" i="34" s="1"/>
  <c r="V44" i="34"/>
  <c r="BB44" i="34" s="1"/>
  <c r="V39" i="34"/>
  <c r="BB39" i="34" s="1"/>
  <c r="V33" i="34"/>
  <c r="BB33" i="34" s="1"/>
  <c r="V27" i="34"/>
  <c r="BB27" i="34" s="1"/>
  <c r="V21" i="34"/>
  <c r="BB21" i="34" s="1"/>
  <c r="V15" i="34"/>
  <c r="BB15" i="34" s="1"/>
  <c r="DS15" i="6"/>
  <c r="DT15" i="6"/>
  <c r="V38" i="34" l="1"/>
  <c r="BB38" i="34" s="1"/>
  <c r="BD34" i="34"/>
  <c r="BB34" i="34"/>
  <c r="BC34" i="34"/>
  <c r="V32" i="34"/>
  <c r="BB32" i="34" s="1"/>
  <c r="BC28" i="34"/>
  <c r="BD28" i="34"/>
  <c r="BB28" i="34"/>
  <c r="BB133" i="34"/>
  <c r="V128" i="34"/>
  <c r="BB128" i="34" s="1"/>
  <c r="BD40" i="34"/>
  <c r="BB40" i="34"/>
  <c r="BC40" i="34"/>
  <c r="BB46" i="34"/>
  <c r="BC46" i="34"/>
  <c r="BD46" i="34"/>
  <c r="BB132" i="34"/>
  <c r="V14" i="34"/>
  <c r="BB14" i="34" s="1"/>
  <c r="BB10" i="34"/>
  <c r="V110" i="34"/>
  <c r="BB110" i="34" s="1"/>
  <c r="BB106" i="34"/>
  <c r="V80" i="34"/>
  <c r="BB80" i="34" s="1"/>
  <c r="BB131" i="34"/>
  <c r="V50" i="34"/>
  <c r="BB50" i="34" s="1"/>
  <c r="V92" i="34"/>
  <c r="BB92" i="34" s="1"/>
  <c r="V26" i="34"/>
  <c r="BB26" i="34" s="1"/>
  <c r="BB22" i="34"/>
  <c r="V74" i="34"/>
  <c r="BB74" i="34" s="1"/>
  <c r="BB70" i="34"/>
  <c r="V130" i="34"/>
  <c r="V135" i="34"/>
  <c r="V129" i="34"/>
  <c r="BB129" i="34" s="1"/>
  <c r="V86" i="34"/>
  <c r="BB86" i="34" s="1"/>
  <c r="V134" i="34" l="1"/>
  <c r="BB130" i="34"/>
  <c r="BB135" i="34"/>
  <c r="EO17" i="6"/>
  <c r="EO12" i="6"/>
  <c r="EU12" i="6" s="1"/>
  <c r="EO13" i="6"/>
  <c r="EO14" i="6"/>
  <c r="EU14" i="6" s="1"/>
  <c r="EQ10" i="6"/>
  <c r="BE130" i="34" s="1"/>
  <c r="BB134" i="34" l="1"/>
  <c r="EN17" i="6"/>
  <c r="EP14" i="33"/>
  <c r="EN13" i="33"/>
  <c r="H65" i="27" l="1"/>
  <c r="G357" i="27"/>
  <c r="M127" i="27"/>
  <c r="J127" i="27"/>
  <c r="EN14" i="33"/>
  <c r="EP13" i="6"/>
  <c r="BF132" i="34" s="1"/>
  <c r="EQ14" i="6"/>
  <c r="BE133" i="34" s="1"/>
  <c r="EQ28" i="6"/>
  <c r="BE145" i="34" s="1"/>
  <c r="EQ29" i="6"/>
  <c r="BE146" i="34" s="1"/>
  <c r="BE147" i="34"/>
  <c r="EQ26" i="6"/>
  <c r="EV26" i="6" s="1"/>
  <c r="EQ27" i="6"/>
  <c r="BE144" i="34" s="1"/>
  <c r="EQ24" i="6"/>
  <c r="BE142" i="34" s="1"/>
  <c r="BE143" i="34"/>
  <c r="EQ19" i="6"/>
  <c r="EQ20" i="6"/>
  <c r="BE138" i="34" s="1"/>
  <c r="DQ15" i="6"/>
  <c r="V148" i="34" l="1"/>
  <c r="V149" i="34"/>
  <c r="H88" i="34"/>
  <c r="H82" i="34"/>
  <c r="H76" i="34"/>
  <c r="H80" i="34" s="1"/>
  <c r="H70" i="34"/>
  <c r="H64" i="34"/>
  <c r="H58" i="34"/>
  <c r="H62" i="34" s="1"/>
  <c r="H52" i="34"/>
  <c r="H46" i="34"/>
  <c r="H40" i="34"/>
  <c r="H34" i="34"/>
  <c r="H28" i="34"/>
  <c r="H32" i="34" s="1"/>
  <c r="H22" i="34"/>
  <c r="H26" i="34" s="1"/>
  <c r="H16" i="34"/>
  <c r="H10" i="34"/>
  <c r="H130" i="34" s="1"/>
  <c r="H128" i="34"/>
  <c r="H127" i="34"/>
  <c r="H133" i="34" s="1"/>
  <c r="H125" i="34"/>
  <c r="H131" i="34"/>
  <c r="H122" i="34"/>
  <c r="H117" i="34"/>
  <c r="H116" i="34"/>
  <c r="H111" i="34"/>
  <c r="H110" i="34"/>
  <c r="H105" i="34"/>
  <c r="H104" i="34"/>
  <c r="H99" i="34"/>
  <c r="H98" i="34"/>
  <c r="H93" i="34"/>
  <c r="H92" i="34"/>
  <c r="H87" i="34"/>
  <c r="H86" i="34"/>
  <c r="H81" i="34"/>
  <c r="H75" i="34"/>
  <c r="H74" i="34"/>
  <c r="H69" i="34"/>
  <c r="H68" i="34"/>
  <c r="H63" i="34"/>
  <c r="H57" i="34"/>
  <c r="H51" i="34"/>
  <c r="H50" i="34"/>
  <c r="H45" i="34"/>
  <c r="H44" i="34"/>
  <c r="H39" i="34"/>
  <c r="H38" i="34"/>
  <c r="H33" i="34"/>
  <c r="H27" i="34"/>
  <c r="H21" i="34"/>
  <c r="H15" i="34"/>
  <c r="U127" i="34"/>
  <c r="U131" i="34"/>
  <c r="T132" i="34"/>
  <c r="BC131" i="34" l="1"/>
  <c r="BD131" i="34"/>
  <c r="BC127" i="34"/>
  <c r="BD127" i="34"/>
  <c r="V150" i="34"/>
  <c r="H134" i="34"/>
  <c r="H14" i="34"/>
  <c r="H135" i="34"/>
  <c r="H129" i="34"/>
  <c r="U148" i="34"/>
  <c r="U124" i="34"/>
  <c r="U118" i="34"/>
  <c r="U112" i="34"/>
  <c r="U106" i="34"/>
  <c r="U100" i="34"/>
  <c r="U94" i="34"/>
  <c r="U88" i="34"/>
  <c r="U82" i="34"/>
  <c r="U76" i="34"/>
  <c r="U70" i="34"/>
  <c r="U64" i="34"/>
  <c r="U58" i="34"/>
  <c r="U52" i="34"/>
  <c r="U22" i="34"/>
  <c r="U16" i="34"/>
  <c r="U10" i="34"/>
  <c r="U14" i="34" s="1"/>
  <c r="U133" i="34"/>
  <c r="U132" i="34"/>
  <c r="U129" i="34"/>
  <c r="U117" i="34"/>
  <c r="U116" i="34"/>
  <c r="U111" i="34"/>
  <c r="U110" i="34"/>
  <c r="U105" i="34"/>
  <c r="U99" i="34"/>
  <c r="U93" i="34"/>
  <c r="U87" i="34"/>
  <c r="U81" i="34"/>
  <c r="U75" i="34"/>
  <c r="U69" i="34"/>
  <c r="U63" i="34"/>
  <c r="U57" i="34"/>
  <c r="U51" i="34"/>
  <c r="U50" i="34"/>
  <c r="U45" i="34"/>
  <c r="U44" i="34"/>
  <c r="U39" i="34"/>
  <c r="U38" i="34"/>
  <c r="U33" i="34"/>
  <c r="U32" i="34"/>
  <c r="U27" i="34"/>
  <c r="U21" i="34"/>
  <c r="U15" i="34"/>
  <c r="BC14" i="34" l="1"/>
  <c r="BD14" i="34"/>
  <c r="BC93" i="34"/>
  <c r="BD93" i="34"/>
  <c r="BC148" i="34"/>
  <c r="BD148" i="34"/>
  <c r="BD57" i="34"/>
  <c r="BC57" i="34"/>
  <c r="BC70" i="34"/>
  <c r="BD70" i="34"/>
  <c r="BD63" i="34"/>
  <c r="BC63" i="34"/>
  <c r="BC99" i="34"/>
  <c r="BD99" i="34"/>
  <c r="BC76" i="34"/>
  <c r="BD76" i="34"/>
  <c r="BC124" i="34"/>
  <c r="BD124" i="34"/>
  <c r="BC69" i="34"/>
  <c r="BD69" i="34"/>
  <c r="BD82" i="34"/>
  <c r="BC82" i="34"/>
  <c r="BC110" i="34"/>
  <c r="BD110" i="34"/>
  <c r="BC44" i="34"/>
  <c r="BD44" i="34"/>
  <c r="BC75" i="34"/>
  <c r="BD75" i="34"/>
  <c r="BC111" i="34"/>
  <c r="BD111" i="34"/>
  <c r="BC22" i="34"/>
  <c r="BD22" i="34"/>
  <c r="BC94" i="34"/>
  <c r="BD94" i="34"/>
  <c r="BC133" i="34"/>
  <c r="BD133" i="34"/>
  <c r="BC38" i="34"/>
  <c r="BD38" i="34"/>
  <c r="BC10" i="34"/>
  <c r="BD10" i="34"/>
  <c r="BC39" i="34"/>
  <c r="BD39" i="34"/>
  <c r="BD16" i="34"/>
  <c r="BC16" i="34"/>
  <c r="BC45" i="34"/>
  <c r="BD45" i="34"/>
  <c r="BD81" i="34"/>
  <c r="BC81" i="34"/>
  <c r="BC116" i="34"/>
  <c r="BD116" i="34"/>
  <c r="BC52" i="34"/>
  <c r="BD52" i="34"/>
  <c r="BC100" i="34"/>
  <c r="BD100" i="34"/>
  <c r="BD32" i="34"/>
  <c r="BC32" i="34"/>
  <c r="BC118" i="34"/>
  <c r="BD118" i="34"/>
  <c r="U86" i="34"/>
  <c r="BC117" i="34"/>
  <c r="BD117" i="34"/>
  <c r="BD58" i="34"/>
  <c r="BC58" i="34"/>
  <c r="BD106" i="34"/>
  <c r="BC106" i="34"/>
  <c r="BC132" i="34"/>
  <c r="BD132" i="34"/>
  <c r="BD33" i="34"/>
  <c r="BC33" i="34"/>
  <c r="BD105" i="34"/>
  <c r="BC105" i="34"/>
  <c r="U74" i="34"/>
  <c r="BD88" i="34"/>
  <c r="BC88" i="34"/>
  <c r="BC15" i="34"/>
  <c r="BD15" i="34"/>
  <c r="BC21" i="34"/>
  <c r="BD21" i="34"/>
  <c r="BD50" i="34"/>
  <c r="BC50" i="34"/>
  <c r="BC27" i="34"/>
  <c r="BD27" i="34"/>
  <c r="BC51" i="34"/>
  <c r="BD51" i="34"/>
  <c r="BC87" i="34"/>
  <c r="BD87" i="34"/>
  <c r="BD129" i="34"/>
  <c r="BC129" i="34"/>
  <c r="BD64" i="34"/>
  <c r="BC64" i="34"/>
  <c r="BD112" i="34"/>
  <c r="BC112" i="34"/>
  <c r="U92" i="34"/>
  <c r="U26" i="34"/>
  <c r="U104" i="34"/>
  <c r="U62" i="34"/>
  <c r="U68" i="34"/>
  <c r="U98" i="34"/>
  <c r="U122" i="34"/>
  <c r="U149" i="34"/>
  <c r="U80" i="34"/>
  <c r="U128" i="34"/>
  <c r="U130" i="34"/>
  <c r="U135" i="34"/>
  <c r="BD26" i="34" l="1"/>
  <c r="BC26" i="34"/>
  <c r="BC92" i="34"/>
  <c r="BD92" i="34"/>
  <c r="BD122" i="34"/>
  <c r="BC122" i="34"/>
  <c r="BD128" i="34"/>
  <c r="BC128" i="34"/>
  <c r="BD80" i="34"/>
  <c r="BC80" i="34"/>
  <c r="BC68" i="34"/>
  <c r="BD68" i="34"/>
  <c r="BC86" i="34"/>
  <c r="BD86" i="34"/>
  <c r="BD130" i="34"/>
  <c r="BC130" i="34"/>
  <c r="BD74" i="34"/>
  <c r="BC74" i="34"/>
  <c r="BC149" i="34"/>
  <c r="BD149" i="34"/>
  <c r="BD98" i="34"/>
  <c r="BC98" i="34"/>
  <c r="BC135" i="34"/>
  <c r="BD135" i="34"/>
  <c r="BC62" i="34"/>
  <c r="BD62" i="34"/>
  <c r="U150" i="34"/>
  <c r="BD104" i="34"/>
  <c r="BC104" i="34"/>
  <c r="U134" i="34"/>
  <c r="EM11" i="6"/>
  <c r="EP11" i="6"/>
  <c r="EM12" i="6"/>
  <c r="EP12" i="6"/>
  <c r="EQ12" i="6"/>
  <c r="EM13" i="6"/>
  <c r="DR15" i="6"/>
  <c r="EV12" i="6" l="1"/>
  <c r="BF131" i="34"/>
  <c r="G11" i="6"/>
  <c r="BC134" i="34"/>
  <c r="BD134" i="34"/>
  <c r="BC150" i="34"/>
  <c r="BD150" i="34"/>
  <c r="EQ13" i="6"/>
  <c r="BE132" i="34" s="1"/>
  <c r="EQ11" i="6"/>
  <c r="ES11" i="6"/>
  <c r="EQ17" i="6"/>
  <c r="BE136" i="34" s="1"/>
  <c r="EM17" i="6"/>
  <c r="EN18" i="6"/>
  <c r="EM18" i="6"/>
  <c r="EM19" i="6"/>
  <c r="EO18" i="6"/>
  <c r="EP18" i="6"/>
  <c r="EN19" i="6"/>
  <c r="EO19" i="6"/>
  <c r="EP19" i="6"/>
  <c r="ET19" i="6" s="1"/>
  <c r="EM20" i="6"/>
  <c r="EN20" i="6"/>
  <c r="EO20" i="6"/>
  <c r="BF138" i="34"/>
  <c r="EM21" i="6"/>
  <c r="EN21" i="6"/>
  <c r="EO21" i="6"/>
  <c r="EP21" i="6"/>
  <c r="EP17" i="6"/>
  <c r="BF136" i="34" s="1"/>
  <c r="ES21" i="6" l="1"/>
  <c r="EU21" i="6"/>
  <c r="EQ21" i="6"/>
  <c r="BE139" i="34" s="1"/>
  <c r="BF139" i="34"/>
  <c r="G21" i="6"/>
  <c r="BF137" i="34"/>
  <c r="G18" i="6"/>
  <c r="G23" i="6" s="1"/>
  <c r="ES18" i="6"/>
  <c r="EU18" i="6"/>
  <c r="EV11" i="6"/>
  <c r="BE131" i="34"/>
  <c r="ET17" i="6"/>
  <c r="ET18" i="6"/>
  <c r="ET21" i="6"/>
  <c r="ES17" i="6"/>
  <c r="EM14" i="33"/>
  <c r="EQ14" i="33" l="1"/>
  <c r="G356" i="27" l="1"/>
  <c r="M126" i="27"/>
  <c r="J126" i="27"/>
  <c r="H64" i="27"/>
  <c r="DN14" i="33" l="1"/>
  <c r="DW13" i="33"/>
  <c r="S20" i="21"/>
  <c r="S13" i="21"/>
  <c r="S11" i="21"/>
  <c r="EM13" i="33" l="1"/>
  <c r="EP13" i="33"/>
  <c r="DN13" i="33"/>
  <c r="G130" i="34" l="1"/>
  <c r="DP15" i="6"/>
  <c r="EO15" i="6" s="1"/>
  <c r="E132" i="34"/>
  <c r="E130" i="34"/>
  <c r="E134" i="34" s="1"/>
  <c r="E128" i="34"/>
  <c r="E127" i="34"/>
  <c r="E133" i="34" s="1"/>
  <c r="E125" i="34"/>
  <c r="E131" i="34" s="1"/>
  <c r="E122" i="34"/>
  <c r="E117" i="34"/>
  <c r="E116" i="34"/>
  <c r="E111" i="34"/>
  <c r="E110" i="34"/>
  <c r="E105" i="34"/>
  <c r="E104" i="34"/>
  <c r="E99" i="34"/>
  <c r="E98" i="34"/>
  <c r="E93" i="34"/>
  <c r="E92" i="34"/>
  <c r="E87" i="34"/>
  <c r="E86" i="34"/>
  <c r="E81" i="34"/>
  <c r="E80" i="34"/>
  <c r="E75" i="34"/>
  <c r="E74" i="34"/>
  <c r="E69" i="34"/>
  <c r="E68" i="34"/>
  <c r="E63" i="34"/>
  <c r="E62" i="34"/>
  <c r="E57" i="34"/>
  <c r="E56" i="34"/>
  <c r="E51" i="34"/>
  <c r="E50" i="34"/>
  <c r="E45" i="34"/>
  <c r="E44" i="34"/>
  <c r="E39" i="34"/>
  <c r="E38" i="34"/>
  <c r="E33" i="34"/>
  <c r="E32" i="34"/>
  <c r="E27" i="34"/>
  <c r="E26" i="34"/>
  <c r="E21" i="34"/>
  <c r="E15" i="34"/>
  <c r="E14" i="34"/>
  <c r="G127" i="34"/>
  <c r="G133" i="34" s="1"/>
  <c r="G125" i="34"/>
  <c r="G131" i="34" s="1"/>
  <c r="T147" i="34"/>
  <c r="T141" i="34"/>
  <c r="DP32" i="6"/>
  <c r="DP31" i="6"/>
  <c r="DO23" i="6"/>
  <c r="DQ23" i="6"/>
  <c r="BE141" i="34"/>
  <c r="G141" i="34"/>
  <c r="G147" i="34"/>
  <c r="DO16" i="6"/>
  <c r="DP16" i="6"/>
  <c r="DQ16" i="6"/>
  <c r="G128" i="34"/>
  <c r="G122" i="34"/>
  <c r="G117" i="34"/>
  <c r="G116" i="34"/>
  <c r="G111" i="34"/>
  <c r="G110" i="34"/>
  <c r="G105" i="34"/>
  <c r="G104" i="34"/>
  <c r="G99" i="34"/>
  <c r="G98" i="34"/>
  <c r="G93" i="34"/>
  <c r="G92" i="34"/>
  <c r="G87" i="34"/>
  <c r="G86" i="34"/>
  <c r="G81" i="34"/>
  <c r="G80" i="34"/>
  <c r="G75" i="34"/>
  <c r="G74" i="34"/>
  <c r="G69" i="34"/>
  <c r="G68" i="34"/>
  <c r="G63" i="34"/>
  <c r="G62" i="34"/>
  <c r="G57" i="34"/>
  <c r="G56" i="34"/>
  <c r="G51" i="34"/>
  <c r="G50" i="34"/>
  <c r="G45" i="34"/>
  <c r="G44" i="34"/>
  <c r="G39" i="34"/>
  <c r="G38" i="34"/>
  <c r="G33" i="34"/>
  <c r="G32" i="34"/>
  <c r="G27" i="34"/>
  <c r="G26" i="34"/>
  <c r="G21" i="34"/>
  <c r="G15" i="34"/>
  <c r="G14" i="34"/>
  <c r="T133" i="34"/>
  <c r="T149" i="34" s="1"/>
  <c r="BF141" i="34" l="1"/>
  <c r="E135" i="34"/>
  <c r="EQ15" i="6"/>
  <c r="BE134" i="34" s="1"/>
  <c r="G134" i="34"/>
  <c r="E129" i="34"/>
  <c r="G135" i="34"/>
  <c r="G129" i="34"/>
  <c r="EU23" i="6" l="1"/>
  <c r="BE135" i="34"/>
  <c r="ES23" i="6"/>
  <c r="ET23" i="6"/>
  <c r="T130" i="34"/>
  <c r="T134" i="34" l="1"/>
  <c r="T131" i="34"/>
  <c r="T129" i="34"/>
  <c r="T128" i="34"/>
  <c r="T122" i="34"/>
  <c r="T117" i="34"/>
  <c r="T116" i="34"/>
  <c r="T111" i="34"/>
  <c r="T110" i="34"/>
  <c r="T105" i="34"/>
  <c r="T104" i="34"/>
  <c r="T99" i="34"/>
  <c r="T98" i="34"/>
  <c r="T93" i="34"/>
  <c r="T92" i="34"/>
  <c r="T87" i="34"/>
  <c r="T86" i="34"/>
  <c r="T81" i="34"/>
  <c r="T80" i="34"/>
  <c r="T75" i="34"/>
  <c r="T74" i="34"/>
  <c r="T69" i="34"/>
  <c r="T68" i="34"/>
  <c r="T63" i="34"/>
  <c r="T62" i="34"/>
  <c r="T57" i="34"/>
  <c r="T51" i="34"/>
  <c r="T50" i="34"/>
  <c r="T45" i="34"/>
  <c r="T44" i="34"/>
  <c r="T39" i="34"/>
  <c r="T38" i="34"/>
  <c r="T33" i="34"/>
  <c r="T32" i="34"/>
  <c r="T27" i="34"/>
  <c r="T26" i="34"/>
  <c r="T21" i="34"/>
  <c r="T15" i="34"/>
  <c r="T14" i="34"/>
  <c r="EP24" i="6"/>
  <c r="BF142" i="34" s="1"/>
  <c r="EP25" i="6"/>
  <c r="EP26" i="6"/>
  <c r="EP27" i="6"/>
  <c r="BF144" i="34" s="1"/>
  <c r="EP28" i="6"/>
  <c r="EP29" i="6"/>
  <c r="BF146" i="34" s="1"/>
  <c r="BF147" i="34"/>
  <c r="EO24" i="6"/>
  <c r="EO25" i="6"/>
  <c r="EO26" i="6"/>
  <c r="EO27" i="6"/>
  <c r="EO28" i="6"/>
  <c r="EO29" i="6"/>
  <c r="BF145" i="34" l="1"/>
  <c r="G28" i="6"/>
  <c r="BF143" i="34"/>
  <c r="G25" i="6"/>
  <c r="ET29" i="6"/>
  <c r="ET28" i="6"/>
  <c r="T148" i="34"/>
  <c r="ET30" i="6"/>
  <c r="ET25" i="6"/>
  <c r="ET24" i="6"/>
  <c r="ES12" i="6"/>
  <c r="ES14" i="6"/>
  <c r="EO31" i="6"/>
  <c r="T135" i="34"/>
  <c r="EM26" i="6"/>
  <c r="DQ32" i="6"/>
  <c r="G30" i="6" l="1"/>
  <c r="G31" i="6"/>
  <c r="ER16" i="6"/>
  <c r="EO33" i="6"/>
  <c r="EP14" i="6"/>
  <c r="EM14" i="6"/>
  <c r="T150" i="34"/>
  <c r="EM24" i="6"/>
  <c r="EN24" i="6"/>
  <c r="ES24" i="6" s="1"/>
  <c r="EM25" i="6"/>
  <c r="EN25" i="6"/>
  <c r="EN26" i="6"/>
  <c r="EM27" i="6"/>
  <c r="EN27" i="6"/>
  <c r="EM28" i="6"/>
  <c r="EN28" i="6"/>
  <c r="EM29" i="6"/>
  <c r="EN29" i="6"/>
  <c r="ES29" i="6" s="1"/>
  <c r="S30" i="21"/>
  <c r="S29" i="21"/>
  <c r="S28" i="21"/>
  <c r="S27" i="21"/>
  <c r="S26" i="21"/>
  <c r="S25" i="21"/>
  <c r="S24" i="21"/>
  <c r="S23" i="21"/>
  <c r="DY22" i="6"/>
  <c r="DW22" i="6"/>
  <c r="DU22" i="6"/>
  <c r="DQ22" i="6"/>
  <c r="DP22" i="6"/>
  <c r="DO22" i="6"/>
  <c r="ES30" i="6" l="1"/>
  <c r="EU30" i="6"/>
  <c r="ES28" i="6"/>
  <c r="EU28" i="6"/>
  <c r="ES26" i="6"/>
  <c r="EU26" i="6"/>
  <c r="ES25" i="6"/>
  <c r="EU25" i="6"/>
  <c r="BF133" i="34"/>
  <c r="G14" i="6"/>
  <c r="ES16" i="6"/>
  <c r="EU16" i="6"/>
  <c r="EM22" i="6"/>
  <c r="EP22" i="6"/>
  <c r="BF140" i="34" s="1"/>
  <c r="EN22" i="6"/>
  <c r="BF135" i="34"/>
  <c r="EO22" i="6"/>
  <c r="ES22" i="6" s="1"/>
  <c r="DO31" i="6"/>
  <c r="DQ31" i="6"/>
  <c r="DQ33" i="6" s="1"/>
  <c r="DS31" i="6"/>
  <c r="DT31" i="6"/>
  <c r="DU31" i="6"/>
  <c r="DV31" i="6"/>
  <c r="DW31" i="6"/>
  <c r="DX31" i="6"/>
  <c r="DY31" i="6"/>
  <c r="DZ31" i="6"/>
  <c r="EA31" i="6"/>
  <c r="EB31" i="6"/>
  <c r="EC31" i="6"/>
  <c r="ED31" i="6"/>
  <c r="EE31" i="6"/>
  <c r="EF31" i="6"/>
  <c r="EG31" i="6"/>
  <c r="EH31" i="6"/>
  <c r="EI31" i="6"/>
  <c r="EJ31" i="6"/>
  <c r="EK31" i="6"/>
  <c r="EL31" i="6"/>
  <c r="DO32" i="6"/>
  <c r="DP33" i="6"/>
  <c r="EM31" i="6"/>
  <c r="EB33" i="6" l="1"/>
  <c r="EG33" i="6"/>
  <c r="BE149" i="34"/>
  <c r="G32" i="6"/>
  <c r="G33" i="6" s="1"/>
  <c r="G16" i="6"/>
  <c r="EQ31" i="6"/>
  <c r="BE148" i="34" s="1"/>
  <c r="EF33" i="6"/>
  <c r="DX33" i="6"/>
  <c r="DT33" i="6"/>
  <c r="ET22" i="6"/>
  <c r="DU33" i="6"/>
  <c r="EJ33" i="6"/>
  <c r="ET12" i="6"/>
  <c r="ET16" i="6"/>
  <c r="DZ33" i="6"/>
  <c r="DR33" i="6"/>
  <c r="DY33" i="6"/>
  <c r="EN31" i="6"/>
  <c r="EN33" i="6" s="1"/>
  <c r="EK33" i="6"/>
  <c r="EI33" i="6"/>
  <c r="EL33" i="6"/>
  <c r="ED33" i="6"/>
  <c r="EC33" i="6"/>
  <c r="EE33" i="6"/>
  <c r="EH33" i="6"/>
  <c r="DV33" i="6"/>
  <c r="EA33" i="6"/>
  <c r="DS33" i="6"/>
  <c r="DW33" i="6"/>
  <c r="DO33" i="6"/>
  <c r="EQ33" i="6" l="1"/>
  <c r="BE150" i="34" s="1"/>
  <c r="EP33" i="6"/>
  <c r="ET14" i="6"/>
  <c r="ET11" i="6"/>
  <c r="DO15" i="6" l="1"/>
  <c r="EN15" i="6" s="1"/>
  <c r="EP15" i="6" l="1"/>
  <c r="BF134" i="34" s="1"/>
  <c r="EM15" i="6"/>
  <c r="ES15" i="6"/>
  <c r="ET15" i="6" l="1"/>
  <c r="I149" i="34" l="1"/>
  <c r="H149" i="34"/>
  <c r="G149" i="34"/>
  <c r="E149" i="34"/>
  <c r="I148" i="34"/>
  <c r="H148" i="34"/>
  <c r="G148" i="34"/>
  <c r="E148" i="34"/>
  <c r="BF149" i="34" l="1"/>
  <c r="BB149" i="34"/>
  <c r="BF148" i="34"/>
  <c r="BB148" i="34"/>
  <c r="H150" i="34"/>
  <c r="E150" i="34"/>
  <c r="I150" i="34"/>
  <c r="G150" i="34"/>
  <c r="DK10" i="6"/>
  <c r="DM10" i="6" s="1"/>
  <c r="DJ10" i="6"/>
  <c r="BF150" i="34" l="1"/>
  <c r="BB150" i="34"/>
  <c r="DN16" i="6"/>
  <c r="G352" i="27" l="1"/>
  <c r="M122" i="27"/>
  <c r="J122" i="27"/>
  <c r="H60" i="27"/>
  <c r="DK17" i="6" l="1"/>
  <c r="DJ11" i="6" l="1"/>
  <c r="DK11" i="6"/>
  <c r="DM11" i="6" s="1"/>
  <c r="DJ12" i="6"/>
  <c r="DK12" i="6"/>
  <c r="DJ13" i="6"/>
  <c r="DK13" i="6"/>
  <c r="DM13" i="6" s="1"/>
  <c r="DK14" i="6"/>
  <c r="DJ17" i="6"/>
  <c r="DJ18" i="6"/>
  <c r="DK18" i="6"/>
  <c r="DJ19" i="6"/>
  <c r="DK19" i="6"/>
  <c r="DJ20" i="6"/>
  <c r="DK20" i="6"/>
  <c r="DJ21" i="6"/>
  <c r="DK21" i="6"/>
  <c r="DJ24" i="6"/>
  <c r="DK24" i="6"/>
  <c r="DK25" i="6"/>
  <c r="DJ26" i="6"/>
  <c r="DK26" i="6"/>
  <c r="DJ27" i="6"/>
  <c r="DK27" i="6"/>
  <c r="DJ28" i="6"/>
  <c r="DK28" i="6"/>
  <c r="DM14" i="33" l="1"/>
  <c r="DJ14" i="33"/>
  <c r="DK14" i="33"/>
  <c r="DJ13" i="33" l="1"/>
  <c r="H59" i="27" l="1"/>
  <c r="M121" i="27"/>
  <c r="DL14" i="33"/>
  <c r="DI14" i="33"/>
  <c r="CI14" i="33"/>
  <c r="CH14" i="33"/>
  <c r="CG14" i="33"/>
  <c r="CF14" i="33"/>
  <c r="CE14" i="33"/>
  <c r="BD14" i="33"/>
  <c r="BB14" i="33"/>
  <c r="BA14" i="33"/>
  <c r="AH14" i="33"/>
  <c r="AJ14" i="33" s="1"/>
  <c r="BC14" i="33" s="1"/>
  <c r="T14" i="33"/>
  <c r="N14" i="33"/>
  <c r="M14" i="33"/>
  <c r="K14" i="33"/>
  <c r="DL13" i="33"/>
  <c r="DI13" i="33"/>
  <c r="DD13" i="33"/>
  <c r="DM13" i="33" s="1"/>
  <c r="CI13" i="33"/>
  <c r="CH13" i="33"/>
  <c r="BF13" i="33" s="1"/>
  <c r="CG13" i="33"/>
  <c r="CF13" i="33"/>
  <c r="CE13" i="33"/>
  <c r="BD13" i="33"/>
  <c r="BB13" i="33"/>
  <c r="BA13" i="33"/>
  <c r="AH13" i="33"/>
  <c r="BC13" i="33" s="1"/>
  <c r="T13" i="33"/>
  <c r="Q13" i="33"/>
  <c r="O13" i="33"/>
  <c r="M13" i="33"/>
  <c r="K13" i="33"/>
  <c r="BE13" i="33" l="1"/>
  <c r="DK13" i="33"/>
  <c r="BE14" i="33"/>
  <c r="I14" i="33" l="1"/>
  <c r="I13" i="33"/>
  <c r="G351" i="27" l="1"/>
  <c r="DI17" i="6"/>
  <c r="DI11" i="6" l="1"/>
  <c r="DE30" i="6" l="1"/>
  <c r="DG25" i="6"/>
  <c r="DG30" i="6" l="1"/>
  <c r="DJ25" i="6"/>
  <c r="DI26" i="6"/>
  <c r="DI19" i="6" l="1"/>
  <c r="DF23" i="6"/>
  <c r="DF22" i="6" l="1"/>
  <c r="G350" i="27" l="1"/>
  <c r="M120" i="27"/>
  <c r="H58" i="27"/>
  <c r="DD30" i="6" l="1"/>
  <c r="DD29" i="6"/>
  <c r="DG23" i="6" l="1"/>
  <c r="DD22" i="6"/>
  <c r="DM17" i="6" l="1"/>
  <c r="H57" i="27"/>
  <c r="DA30" i="6" l="1"/>
  <c r="DB22" i="6" l="1"/>
  <c r="S9" i="21" l="1"/>
  <c r="H273" i="27" l="1"/>
  <c r="H55" i="27"/>
  <c r="H56" i="27"/>
  <c r="G348" i="27" l="1"/>
  <c r="DI18" i="6" l="1"/>
  <c r="DI20" i="6"/>
  <c r="DI21" i="6"/>
  <c r="DI23" i="6" l="1"/>
  <c r="CZ22" i="6"/>
  <c r="DL17" i="6" l="1"/>
  <c r="CX22" i="6"/>
  <c r="CX15" i="6"/>
  <c r="DN22" i="6" l="1"/>
  <c r="DN23" i="6"/>
  <c r="DI12" i="6"/>
  <c r="DI10" i="6"/>
  <c r="DL10" i="6" s="1"/>
  <c r="CV30" i="6"/>
  <c r="CU30" i="6"/>
  <c r="CV23" i="6"/>
  <c r="CU23" i="6"/>
  <c r="CV16" i="6"/>
  <c r="G346" i="27"/>
  <c r="M116" i="27"/>
  <c r="H54" i="27" l="1"/>
  <c r="CU14" i="6" l="1"/>
  <c r="CU16" i="6" l="1"/>
  <c r="H53" i="27" l="1"/>
  <c r="CS14" i="6"/>
  <c r="H31" i="6"/>
  <c r="I31" i="6"/>
  <c r="J31" i="6"/>
  <c r="K31" i="6"/>
  <c r="L31" i="6"/>
  <c r="L32" i="6"/>
  <c r="M31" i="6"/>
  <c r="N31" i="6"/>
  <c r="O31" i="6"/>
  <c r="P31" i="6"/>
  <c r="Q31" i="6"/>
  <c r="R31" i="6"/>
  <c r="S31" i="6"/>
  <c r="T31" i="6"/>
  <c r="T32" i="6"/>
  <c r="U31" i="6"/>
  <c r="V31" i="6"/>
  <c r="AA31" i="6"/>
  <c r="AB31" i="6"/>
  <c r="AB32" i="6"/>
  <c r="AC31" i="6"/>
  <c r="AD31" i="6"/>
  <c r="AE31" i="6"/>
  <c r="AF31" i="6"/>
  <c r="AG31" i="6"/>
  <c r="AI31" i="6"/>
  <c r="AK31" i="6"/>
  <c r="AM31" i="6"/>
  <c r="AN31" i="6"/>
  <c r="AO31" i="6"/>
  <c r="AP31" i="6"/>
  <c r="AQ31" i="6"/>
  <c r="AR31" i="6"/>
  <c r="AR32" i="6"/>
  <c r="AT31" i="6"/>
  <c r="AU31" i="6"/>
  <c r="AW31" i="6"/>
  <c r="AX31" i="6"/>
  <c r="AY31" i="6"/>
  <c r="AZ31" i="6"/>
  <c r="AZ32" i="6"/>
  <c r="BF31" i="6"/>
  <c r="BH31" i="6"/>
  <c r="BH32" i="6"/>
  <c r="BI31" i="6"/>
  <c r="BJ31" i="6"/>
  <c r="BK31" i="6"/>
  <c r="BL31" i="6"/>
  <c r="BM31" i="6"/>
  <c r="BN31" i="6"/>
  <c r="BO31" i="6"/>
  <c r="BP31" i="6"/>
  <c r="BP32" i="6"/>
  <c r="BQ31" i="6"/>
  <c r="BS31" i="6"/>
  <c r="BT31" i="6"/>
  <c r="BU31" i="6"/>
  <c r="BV31" i="6"/>
  <c r="BW31" i="6"/>
  <c r="BX31" i="6"/>
  <c r="BX32" i="6"/>
  <c r="BZ31" i="6"/>
  <c r="CB31" i="6"/>
  <c r="CC31" i="6"/>
  <c r="CD31" i="6"/>
  <c r="CJ31" i="6"/>
  <c r="CK31" i="6"/>
  <c r="CL31" i="6"/>
  <c r="CM31" i="6"/>
  <c r="CN31" i="6"/>
  <c r="CN32" i="6"/>
  <c r="CO31" i="6"/>
  <c r="CP31" i="6"/>
  <c r="CQ31" i="6"/>
  <c r="CR31" i="6"/>
  <c r="CS31" i="6"/>
  <c r="CT31" i="6"/>
  <c r="CU31" i="6"/>
  <c r="CV31" i="6"/>
  <c r="CV32" i="6"/>
  <c r="CW31" i="6"/>
  <c r="CX31" i="6"/>
  <c r="CY31" i="6"/>
  <c r="CZ31" i="6"/>
  <c r="DA31" i="6"/>
  <c r="DB31" i="6"/>
  <c r="DC31" i="6"/>
  <c r="DD31" i="6"/>
  <c r="DD32" i="6"/>
  <c r="DE31" i="6"/>
  <c r="DF31" i="6"/>
  <c r="DG31" i="6"/>
  <c r="DH31" i="6"/>
  <c r="DN31" i="6"/>
  <c r="H32" i="6"/>
  <c r="I32" i="6"/>
  <c r="J32" i="6"/>
  <c r="K32" i="6"/>
  <c r="M32" i="6"/>
  <c r="N32" i="6"/>
  <c r="O32" i="6"/>
  <c r="P32" i="6"/>
  <c r="Q32" i="6"/>
  <c r="R32" i="6"/>
  <c r="S32" i="6"/>
  <c r="U32" i="6"/>
  <c r="V32" i="6"/>
  <c r="V33" i="6" s="1"/>
  <c r="Z32" i="6"/>
  <c r="AA32" i="6"/>
  <c r="AC32" i="6"/>
  <c r="AD32" i="6"/>
  <c r="AE32" i="6"/>
  <c r="AI32" i="6"/>
  <c r="AK32" i="6"/>
  <c r="AM32" i="6"/>
  <c r="AN32" i="6"/>
  <c r="AO32" i="6"/>
  <c r="AP32" i="6"/>
  <c r="AQ32" i="6"/>
  <c r="AS32" i="6"/>
  <c r="AT32" i="6"/>
  <c r="AU32" i="6"/>
  <c r="AV32" i="6"/>
  <c r="AW32" i="6"/>
  <c r="AX32" i="6"/>
  <c r="AY32" i="6"/>
  <c r="BF32" i="6"/>
  <c r="BG32" i="6"/>
  <c r="BI32" i="6"/>
  <c r="BJ32" i="6"/>
  <c r="BL32" i="6"/>
  <c r="BL33" i="6" s="1"/>
  <c r="BM32" i="6"/>
  <c r="BN32" i="6"/>
  <c r="BQ32" i="6"/>
  <c r="BR32" i="6"/>
  <c r="BS32" i="6"/>
  <c r="BT32" i="6"/>
  <c r="BT33" i="6" s="1"/>
  <c r="BU32" i="6"/>
  <c r="BV32" i="6"/>
  <c r="BW32" i="6"/>
  <c r="BY32" i="6"/>
  <c r="BZ32" i="6"/>
  <c r="CA32" i="6"/>
  <c r="CB32" i="6"/>
  <c r="CC32" i="6"/>
  <c r="CD32" i="6"/>
  <c r="CK32" i="6"/>
  <c r="CL32" i="6"/>
  <c r="CM32" i="6"/>
  <c r="CO32" i="6"/>
  <c r="CP32" i="6"/>
  <c r="CQ32" i="6"/>
  <c r="CR32" i="6"/>
  <c r="CS32" i="6"/>
  <c r="CT32" i="6"/>
  <c r="CU32" i="6"/>
  <c r="CW32" i="6"/>
  <c r="CX32" i="6"/>
  <c r="CY32" i="6"/>
  <c r="CZ32" i="6"/>
  <c r="DA32" i="6"/>
  <c r="DB32" i="6"/>
  <c r="DC32" i="6"/>
  <c r="DE32" i="6"/>
  <c r="DF32" i="6"/>
  <c r="DG32" i="6"/>
  <c r="DH32" i="6"/>
  <c r="DN32"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F23" i="6"/>
  <c r="BG23" i="6"/>
  <c r="BH23" i="6"/>
  <c r="BI23" i="6"/>
  <c r="BJ23" i="6"/>
  <c r="BK23" i="6"/>
  <c r="BL23" i="6"/>
  <c r="BM23" i="6"/>
  <c r="BN23" i="6"/>
  <c r="BO23" i="6"/>
  <c r="BP23" i="6"/>
  <c r="BQ23" i="6"/>
  <c r="BR23" i="6"/>
  <c r="BS23" i="6"/>
  <c r="BT23" i="6"/>
  <c r="BU23" i="6"/>
  <c r="BV23" i="6"/>
  <c r="BW23" i="6"/>
  <c r="BX23" i="6"/>
  <c r="BY23" i="6"/>
  <c r="BZ23" i="6"/>
  <c r="CB23" i="6"/>
  <c r="CC23" i="6"/>
  <c r="CD23" i="6"/>
  <c r="CJ23" i="6"/>
  <c r="CK23" i="6"/>
  <c r="CL23" i="6"/>
  <c r="CM23" i="6"/>
  <c r="CN23" i="6"/>
  <c r="CO23" i="6"/>
  <c r="CP23" i="6"/>
  <c r="CQ23" i="6"/>
  <c r="CR23" i="6"/>
  <c r="CS23" i="6"/>
  <c r="CT23" i="6"/>
  <c r="CW23" i="6"/>
  <c r="CX23" i="6"/>
  <c r="CY23" i="6"/>
  <c r="CZ23" i="6"/>
  <c r="DA23" i="6"/>
  <c r="DB23" i="6"/>
  <c r="DC23" i="6"/>
  <c r="DD23" i="6"/>
  <c r="DE23" i="6"/>
  <c r="DH23" i="6"/>
  <c r="AA16" i="6"/>
  <c r="AB16" i="6"/>
  <c r="AC16" i="6"/>
  <c r="AD16" i="6"/>
  <c r="AE16" i="6"/>
  <c r="AG16" i="6"/>
  <c r="AI16" i="6"/>
  <c r="AK16" i="6"/>
  <c r="AM16" i="6"/>
  <c r="AN16" i="6"/>
  <c r="AO16" i="6"/>
  <c r="AP16" i="6"/>
  <c r="AQ16" i="6"/>
  <c r="AR16" i="6"/>
  <c r="AS16" i="6"/>
  <c r="AT16" i="6"/>
  <c r="AU16" i="6"/>
  <c r="AW16" i="6"/>
  <c r="AX16" i="6"/>
  <c r="AY16" i="6"/>
  <c r="AZ16" i="6"/>
  <c r="BF16" i="6"/>
  <c r="BH16" i="6"/>
  <c r="BI16" i="6"/>
  <c r="BJ16" i="6"/>
  <c r="BL16" i="6"/>
  <c r="BM16" i="6"/>
  <c r="BN16" i="6"/>
  <c r="BP16" i="6"/>
  <c r="BQ16" i="6"/>
  <c r="BS16" i="6"/>
  <c r="BT16" i="6"/>
  <c r="BU16" i="6"/>
  <c r="BV16" i="6"/>
  <c r="BW16" i="6"/>
  <c r="BX16" i="6"/>
  <c r="BY16" i="6"/>
  <c r="BZ16" i="6"/>
  <c r="CA16" i="6"/>
  <c r="CB16" i="6"/>
  <c r="CC16" i="6"/>
  <c r="CD16" i="6"/>
  <c r="CK16" i="6"/>
  <c r="CL16" i="6"/>
  <c r="CM16" i="6"/>
  <c r="CN16" i="6"/>
  <c r="CO16" i="6"/>
  <c r="CP16" i="6"/>
  <c r="CQ16" i="6"/>
  <c r="CR16" i="6"/>
  <c r="CS16" i="6"/>
  <c r="CT16" i="6"/>
  <c r="CW16" i="6"/>
  <c r="CX16" i="6"/>
  <c r="CY16" i="6"/>
  <c r="CZ16" i="6"/>
  <c r="DA16" i="6"/>
  <c r="DB16" i="6"/>
  <c r="DC16" i="6"/>
  <c r="DD16" i="6"/>
  <c r="DE16" i="6"/>
  <c r="DF16" i="6"/>
  <c r="DG16" i="6"/>
  <c r="DH16" i="6"/>
  <c r="H16" i="6"/>
  <c r="I16" i="6"/>
  <c r="J16" i="6"/>
  <c r="K16" i="6"/>
  <c r="L16" i="6"/>
  <c r="M16" i="6"/>
  <c r="N16" i="6"/>
  <c r="O16" i="6"/>
  <c r="P16" i="6"/>
  <c r="Q16" i="6"/>
  <c r="R16" i="6"/>
  <c r="S16" i="6"/>
  <c r="T16" i="6"/>
  <c r="U16" i="6"/>
  <c r="V16" i="6"/>
  <c r="Z16" i="6"/>
  <c r="H30" i="6"/>
  <c r="I30" i="6"/>
  <c r="J30" i="6"/>
  <c r="K30" i="6"/>
  <c r="L30" i="6"/>
  <c r="M30" i="6"/>
  <c r="N30" i="6"/>
  <c r="O30" i="6"/>
  <c r="P30" i="6"/>
  <c r="Q30" i="6"/>
  <c r="R30" i="6"/>
  <c r="S30" i="6"/>
  <c r="T30" i="6"/>
  <c r="U30" i="6"/>
  <c r="V30" i="6"/>
  <c r="Z30" i="6"/>
  <c r="AA30" i="6"/>
  <c r="AB30" i="6"/>
  <c r="AC30" i="6"/>
  <c r="AD30" i="6"/>
  <c r="AE30" i="6"/>
  <c r="AI30" i="6"/>
  <c r="AK30" i="6"/>
  <c r="AL30" i="6"/>
  <c r="AM30" i="6"/>
  <c r="AN30" i="6"/>
  <c r="AO30" i="6"/>
  <c r="AP30" i="6"/>
  <c r="AQ30" i="6"/>
  <c r="AR30" i="6"/>
  <c r="AT30" i="6"/>
  <c r="AU30" i="6"/>
  <c r="AV30" i="6"/>
  <c r="AW30" i="6"/>
  <c r="AX30" i="6"/>
  <c r="AY30" i="6"/>
  <c r="AZ30" i="6"/>
  <c r="BF30" i="6"/>
  <c r="BG30" i="6"/>
  <c r="BH30" i="6"/>
  <c r="BI30" i="6"/>
  <c r="BJ30" i="6"/>
  <c r="BK30" i="6"/>
  <c r="BL30" i="6"/>
  <c r="BM30" i="6"/>
  <c r="BN30" i="6"/>
  <c r="BO30" i="6"/>
  <c r="BP30" i="6"/>
  <c r="BQ30" i="6"/>
  <c r="BR30" i="6"/>
  <c r="BS30" i="6"/>
  <c r="BT30" i="6"/>
  <c r="BU30" i="6"/>
  <c r="BV30" i="6"/>
  <c r="BW30" i="6"/>
  <c r="BX30" i="6"/>
  <c r="BZ30" i="6"/>
  <c r="CA30" i="6"/>
  <c r="CB30" i="6"/>
  <c r="CC30" i="6"/>
  <c r="CD30" i="6"/>
  <c r="CJ30" i="6"/>
  <c r="CK30" i="6"/>
  <c r="CL30" i="6"/>
  <c r="CM30" i="6"/>
  <c r="CN30" i="6"/>
  <c r="CO30" i="6"/>
  <c r="CP30" i="6"/>
  <c r="CQ30" i="6"/>
  <c r="CR30" i="6"/>
  <c r="CS30" i="6"/>
  <c r="CT30" i="6"/>
  <c r="CW30" i="6"/>
  <c r="CX30" i="6"/>
  <c r="CY30" i="6"/>
  <c r="CZ30" i="6"/>
  <c r="DB30" i="6"/>
  <c r="DC30" i="6"/>
  <c r="DF30" i="6"/>
  <c r="DH30" i="6"/>
  <c r="DN15" i="6"/>
  <c r="G367" i="27"/>
  <c r="G366" i="27"/>
  <c r="G365" i="27"/>
  <c r="G364" i="27"/>
  <c r="G363" i="27"/>
  <c r="G362" i="27"/>
  <c r="G361" i="27"/>
  <c r="G360" i="27"/>
  <c r="G359" i="27"/>
  <c r="G349" i="27"/>
  <c r="G347" i="27"/>
  <c r="G345" i="27"/>
  <c r="G344" i="27"/>
  <c r="G343" i="27"/>
  <c r="G342" i="27"/>
  <c r="G341" i="27"/>
  <c r="G337" i="27"/>
  <c r="G336" i="27"/>
  <c r="G335" i="27"/>
  <c r="G334" i="27"/>
  <c r="G333" i="27"/>
  <c r="G332" i="27"/>
  <c r="G331" i="27"/>
  <c r="G330" i="27"/>
  <c r="F329" i="27"/>
  <c r="G329" i="27" s="1"/>
  <c r="G328" i="27"/>
  <c r="G327" i="27"/>
  <c r="G326" i="27"/>
  <c r="G320" i="27"/>
  <c r="G319" i="27"/>
  <c r="G318" i="27"/>
  <c r="G317" i="27"/>
  <c r="G316" i="27"/>
  <c r="G315" i="27"/>
  <c r="G314" i="27"/>
  <c r="G313" i="27"/>
  <c r="G312" i="27"/>
  <c r="G311" i="27"/>
  <c r="G310" i="27"/>
  <c r="G309" i="27"/>
  <c r="H276" i="27"/>
  <c r="H275" i="27"/>
  <c r="H268" i="27"/>
  <c r="H267" i="27"/>
  <c r="H266" i="27"/>
  <c r="H265" i="27"/>
  <c r="H236" i="27"/>
  <c r="H235" i="27"/>
  <c r="H234" i="27"/>
  <c r="H233" i="27"/>
  <c r="H232" i="27"/>
  <c r="H231" i="27"/>
  <c r="H230" i="27"/>
  <c r="H229" i="27"/>
  <c r="H228" i="27"/>
  <c r="H227" i="27"/>
  <c r="H226" i="27"/>
  <c r="H225" i="27"/>
  <c r="M137" i="27"/>
  <c r="J137" i="27"/>
  <c r="M136" i="27"/>
  <c r="J136" i="27"/>
  <c r="M135" i="27"/>
  <c r="J135" i="27"/>
  <c r="M134" i="27"/>
  <c r="J134" i="27"/>
  <c r="M133" i="27"/>
  <c r="J133" i="27"/>
  <c r="M132" i="27"/>
  <c r="J132" i="27"/>
  <c r="M131" i="27"/>
  <c r="J131" i="27"/>
  <c r="M130" i="27"/>
  <c r="J130" i="27"/>
  <c r="M129" i="27"/>
  <c r="J129" i="27"/>
  <c r="M119" i="27"/>
  <c r="M115" i="27"/>
  <c r="M113" i="27"/>
  <c r="J113" i="27"/>
  <c r="M112" i="27"/>
  <c r="J112" i="27"/>
  <c r="M111" i="27"/>
  <c r="J111" i="27"/>
  <c r="J106" i="27"/>
  <c r="J105" i="27"/>
  <c r="J104" i="27"/>
  <c r="J103" i="27"/>
  <c r="J102" i="27"/>
  <c r="M101" i="27"/>
  <c r="J101" i="27"/>
  <c r="M100" i="27"/>
  <c r="J100" i="27"/>
  <c r="J99" i="27"/>
  <c r="J98" i="27"/>
  <c r="J97" i="27"/>
  <c r="J96" i="27"/>
  <c r="J95" i="27"/>
  <c r="J90" i="27"/>
  <c r="J89" i="27"/>
  <c r="J88" i="27"/>
  <c r="J87" i="27"/>
  <c r="J86" i="27"/>
  <c r="J85" i="27"/>
  <c r="J84" i="27"/>
  <c r="J83" i="27"/>
  <c r="J82" i="27"/>
  <c r="J81" i="27"/>
  <c r="J80" i="27"/>
  <c r="J79" i="27"/>
  <c r="H75" i="27"/>
  <c r="H74" i="27"/>
  <c r="H73" i="27"/>
  <c r="H72" i="27"/>
  <c r="H71" i="27"/>
  <c r="H70" i="27"/>
  <c r="H69" i="27"/>
  <c r="H68" i="27"/>
  <c r="H67" i="27"/>
  <c r="H52" i="27"/>
  <c r="H51" i="27"/>
  <c r="H50" i="27"/>
  <c r="H49" i="27"/>
  <c r="H45" i="27"/>
  <c r="H44" i="27"/>
  <c r="H43" i="27"/>
  <c r="H42" i="27"/>
  <c r="H41" i="27"/>
  <c r="H40" i="27"/>
  <c r="H39" i="27"/>
  <c r="H38" i="27"/>
  <c r="H37" i="27"/>
  <c r="H36" i="27"/>
  <c r="H35" i="27"/>
  <c r="H34" i="27"/>
  <c r="H29" i="27"/>
  <c r="H28" i="27"/>
  <c r="H27" i="27"/>
  <c r="H26" i="27"/>
  <c r="H25" i="27"/>
  <c r="H24" i="27"/>
  <c r="H23" i="27"/>
  <c r="H22" i="27"/>
  <c r="H21" i="27"/>
  <c r="F21" i="27"/>
  <c r="F22" i="27" s="1"/>
  <c r="H20" i="27"/>
  <c r="H19" i="27"/>
  <c r="H18" i="27"/>
  <c r="H14" i="27"/>
  <c r="H13" i="27"/>
  <c r="H12" i="27"/>
  <c r="H11" i="27"/>
  <c r="H10" i="27"/>
  <c r="H9" i="27"/>
  <c r="CR22" i="6"/>
  <c r="CQ22" i="6"/>
  <c r="CR29" i="6"/>
  <c r="CQ29" i="6"/>
  <c r="CK22" i="6"/>
  <c r="CM22" i="6"/>
  <c r="CO22" i="6"/>
  <c r="CK29" i="6"/>
  <c r="CM29" i="6"/>
  <c r="CO29" i="6"/>
  <c r="DL20" i="6"/>
  <c r="CL22" i="6"/>
  <c r="CN22" i="6"/>
  <c r="CP22" i="6"/>
  <c r="CT22" i="6"/>
  <c r="CV22" i="6"/>
  <c r="DH22" i="6"/>
  <c r="CL15" i="6"/>
  <c r="CN15" i="6"/>
  <c r="CP15" i="6"/>
  <c r="CR15" i="6"/>
  <c r="CT15" i="6"/>
  <c r="CV15" i="6"/>
  <c r="CZ15" i="6"/>
  <c r="DB15" i="6"/>
  <c r="DD15" i="6"/>
  <c r="DF15" i="6"/>
  <c r="DH15" i="6"/>
  <c r="CQ15" i="6"/>
  <c r="CK15" i="6"/>
  <c r="CM15" i="6"/>
  <c r="CO15" i="6"/>
  <c r="DI14" i="6"/>
  <c r="DG15" i="6"/>
  <c r="DE15" i="6"/>
  <c r="DC15" i="6"/>
  <c r="DA15" i="6"/>
  <c r="CW15" i="6"/>
  <c r="CY15" i="6"/>
  <c r="CU15" i="6"/>
  <c r="CS15" i="6"/>
  <c r="DI13" i="6"/>
  <c r="DL13" i="6" s="1"/>
  <c r="CS22" i="6"/>
  <c r="DG22" i="6"/>
  <c r="DE22" i="6"/>
  <c r="DC22" i="6"/>
  <c r="DA22" i="6"/>
  <c r="CW22" i="6"/>
  <c r="CY22" i="6"/>
  <c r="CU22" i="6"/>
  <c r="DL12" i="6"/>
  <c r="DL19" i="6"/>
  <c r="DL21" i="6"/>
  <c r="DI24" i="6"/>
  <c r="DL24" i="6" s="1"/>
  <c r="DI25" i="6"/>
  <c r="DL26" i="6"/>
  <c r="DI27" i="6"/>
  <c r="DL27" i="6" s="1"/>
  <c r="DI28" i="6"/>
  <c r="DL28" i="6" s="1"/>
  <c r="CL29" i="6"/>
  <c r="CP29" i="6"/>
  <c r="CT29" i="6"/>
  <c r="CV29" i="6"/>
  <c r="CX29" i="6"/>
  <c r="CZ29" i="6"/>
  <c r="DF29" i="6"/>
  <c r="DH29" i="6"/>
  <c r="CJ29" i="6"/>
  <c r="CJ22" i="6"/>
  <c r="AB29" i="6"/>
  <c r="AC29" i="6"/>
  <c r="AD29" i="6"/>
  <c r="AE29" i="6"/>
  <c r="AF29" i="6"/>
  <c r="AG29" i="6"/>
  <c r="AH29" i="6"/>
  <c r="AI29" i="6"/>
  <c r="AJ29" i="6"/>
  <c r="AK29" i="6"/>
  <c r="AL29" i="6"/>
  <c r="AM29" i="6"/>
  <c r="AN29" i="6"/>
  <c r="AO29" i="6"/>
  <c r="AP29" i="6"/>
  <c r="AQ29" i="6"/>
  <c r="AR29" i="6"/>
  <c r="AS29" i="6"/>
  <c r="AT29" i="6"/>
  <c r="AU29" i="6"/>
  <c r="AV29" i="6"/>
  <c r="AW29" i="6"/>
  <c r="AX29" i="6"/>
  <c r="AY29" i="6"/>
  <c r="AZ29" i="6"/>
  <c r="BF29" i="6"/>
  <c r="BG29" i="6"/>
  <c r="BH29" i="6"/>
  <c r="BI29" i="6"/>
  <c r="BJ29" i="6"/>
  <c r="BK29" i="6"/>
  <c r="BL29" i="6"/>
  <c r="BM29" i="6"/>
  <c r="BN29" i="6"/>
  <c r="BO29" i="6"/>
  <c r="BP29" i="6"/>
  <c r="BQ29" i="6"/>
  <c r="BR29" i="6"/>
  <c r="BS29" i="6"/>
  <c r="BT29" i="6"/>
  <c r="BU29" i="6"/>
  <c r="BV29" i="6"/>
  <c r="BW29" i="6"/>
  <c r="BX29" i="6"/>
  <c r="BY29" i="6"/>
  <c r="BZ29" i="6"/>
  <c r="CA29" i="6"/>
  <c r="CB29" i="6"/>
  <c r="CC29" i="6"/>
  <c r="CD29" i="6"/>
  <c r="CS29" i="6"/>
  <c r="CU29" i="6"/>
  <c r="CW29" i="6"/>
  <c r="CY29" i="6"/>
  <c r="DC29" i="6"/>
  <c r="DG29" i="6"/>
  <c r="DE29" i="6"/>
  <c r="AA29"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F22" i="6"/>
  <c r="BG22" i="6"/>
  <c r="BH22" i="6"/>
  <c r="BI22" i="6"/>
  <c r="BJ22" i="6"/>
  <c r="BK22" i="6"/>
  <c r="BL22" i="6"/>
  <c r="BM22" i="6"/>
  <c r="BN22" i="6"/>
  <c r="BO22" i="6"/>
  <c r="BP22" i="6"/>
  <c r="BQ22" i="6"/>
  <c r="BR22" i="6"/>
  <c r="BS22" i="6"/>
  <c r="BT22" i="6"/>
  <c r="BU22" i="6"/>
  <c r="BV22" i="6"/>
  <c r="BW22" i="6"/>
  <c r="BX22" i="6"/>
  <c r="BY22" i="6"/>
  <c r="BZ22" i="6"/>
  <c r="CA22" i="6"/>
  <c r="CB22" i="6"/>
  <c r="CC22" i="6"/>
  <c r="CD22" i="6"/>
  <c r="AA22" i="6"/>
  <c r="AP15" i="6"/>
  <c r="AQ15" i="6"/>
  <c r="AR15" i="6"/>
  <c r="AT15" i="6"/>
  <c r="AV15" i="6"/>
  <c r="AX15" i="6"/>
  <c r="AZ15" i="6"/>
  <c r="BF15" i="6"/>
  <c r="BG15" i="6"/>
  <c r="BH15" i="6"/>
  <c r="BI15" i="6"/>
  <c r="BJ15" i="6"/>
  <c r="BK15" i="6"/>
  <c r="BL15" i="6"/>
  <c r="BM15" i="6"/>
  <c r="BN15" i="6"/>
  <c r="BO15" i="6"/>
  <c r="BP15" i="6"/>
  <c r="BQ15" i="6"/>
  <c r="BR15" i="6"/>
  <c r="BS15" i="6"/>
  <c r="BT15" i="6"/>
  <c r="BU15" i="6"/>
  <c r="BV15" i="6"/>
  <c r="BW15" i="6"/>
  <c r="BX15" i="6"/>
  <c r="BY15" i="6"/>
  <c r="BZ15" i="6"/>
  <c r="CA15" i="6"/>
  <c r="CB15" i="6"/>
  <c r="CC15" i="6"/>
  <c r="CD15" i="6"/>
  <c r="CJ15" i="6"/>
  <c r="AB15" i="6"/>
  <c r="AC15" i="6"/>
  <c r="AD15" i="6"/>
  <c r="AA15" i="6"/>
  <c r="CI28" i="6"/>
  <c r="CH28" i="6"/>
  <c r="CG28" i="6"/>
  <c r="CF28" i="6"/>
  <c r="CE28" i="6"/>
  <c r="CI27" i="6"/>
  <c r="CI24" i="6"/>
  <c r="CH27" i="6"/>
  <c r="CG27" i="6"/>
  <c r="CF27" i="6"/>
  <c r="CF24" i="6"/>
  <c r="CE27" i="6"/>
  <c r="CI26" i="6"/>
  <c r="CG26" i="6"/>
  <c r="CC26" i="6"/>
  <c r="CE26" i="6" s="1"/>
  <c r="CI25" i="6"/>
  <c r="CG25" i="6"/>
  <c r="BY25" i="6"/>
  <c r="CH25" i="6" s="1"/>
  <c r="CH24" i="6"/>
  <c r="CG24" i="6"/>
  <c r="CE24" i="6"/>
  <c r="CI21" i="6"/>
  <c r="CH21" i="6"/>
  <c r="CG21" i="6"/>
  <c r="CF21" i="6"/>
  <c r="CE21" i="6"/>
  <c r="CI20" i="6"/>
  <c r="CH20" i="6"/>
  <c r="CG20" i="6"/>
  <c r="CG17" i="6"/>
  <c r="CF20" i="6"/>
  <c r="CF17" i="6"/>
  <c r="CE20" i="6"/>
  <c r="CC19" i="6"/>
  <c r="CH19" i="6" s="1"/>
  <c r="BP19" i="6"/>
  <c r="CG19" i="6" s="1"/>
  <c r="CG12" i="6"/>
  <c r="CI18" i="6"/>
  <c r="CG18" i="6"/>
  <c r="CA18" i="6"/>
  <c r="CH18" i="6" s="1"/>
  <c r="CI17" i="6"/>
  <c r="CH17" i="6"/>
  <c r="CE17" i="6"/>
  <c r="BR11" i="6"/>
  <c r="CI11" i="6" s="1"/>
  <c r="CI14" i="6"/>
  <c r="CG14" i="6"/>
  <c r="BO14" i="6"/>
  <c r="BO16" i="6" s="1"/>
  <c r="BK14" i="6"/>
  <c r="BK32" i="6" s="1"/>
  <c r="CI13" i="6"/>
  <c r="CI10" i="6"/>
  <c r="CH13" i="6"/>
  <c r="CG13" i="6"/>
  <c r="CG10" i="6"/>
  <c r="CF13" i="6"/>
  <c r="CE13" i="6"/>
  <c r="CE10" i="6"/>
  <c r="CI12" i="6"/>
  <c r="CC12" i="6"/>
  <c r="BG11" i="6"/>
  <c r="CF11" i="6" s="1"/>
  <c r="CH10" i="6"/>
  <c r="CF10" i="6"/>
  <c r="CJ19" i="6"/>
  <c r="CJ26" i="6"/>
  <c r="BE26" i="6"/>
  <c r="S12" i="21"/>
  <c r="S18" i="21"/>
  <c r="S16" i="21"/>
  <c r="U37" i="21"/>
  <c r="T37" i="21"/>
  <c r="S36" i="21"/>
  <c r="S35" i="21"/>
  <c r="S34" i="21"/>
  <c r="S33" i="21"/>
  <c r="S32" i="21"/>
  <c r="S31" i="21"/>
  <c r="S22" i="21"/>
  <c r="S21" i="21"/>
  <c r="S19" i="21"/>
  <c r="S17" i="21"/>
  <c r="S15" i="21"/>
  <c r="S14" i="21"/>
  <c r="S10" i="21"/>
  <c r="BC12" i="6"/>
  <c r="BB12" i="6"/>
  <c r="BA12" i="6"/>
  <c r="BB24" i="6"/>
  <c r="BA24" i="6"/>
  <c r="BA11" i="6"/>
  <c r="BB11" i="6"/>
  <c r="BD11" i="6"/>
  <c r="BD12" i="6"/>
  <c r="BA13" i="6"/>
  <c r="BB13" i="6"/>
  <c r="BC13" i="6"/>
  <c r="BD13" i="6"/>
  <c r="BE13" i="6"/>
  <c r="BA14" i="6"/>
  <c r="BB14" i="6"/>
  <c r="BD14" i="6"/>
  <c r="BA17" i="6"/>
  <c r="BA20" i="6"/>
  <c r="BB17" i="6"/>
  <c r="BC17" i="6"/>
  <c r="BD17" i="6"/>
  <c r="BE17" i="6"/>
  <c r="BA18" i="6"/>
  <c r="BB18" i="6"/>
  <c r="BD18" i="6"/>
  <c r="BA19" i="6"/>
  <c r="BB19" i="6"/>
  <c r="BC19" i="6"/>
  <c r="BD19" i="6"/>
  <c r="BE19" i="6"/>
  <c r="BB20" i="6"/>
  <c r="BC20" i="6"/>
  <c r="BD20" i="6"/>
  <c r="BE20" i="6"/>
  <c r="BA21" i="6"/>
  <c r="BB21" i="6"/>
  <c r="BC21" i="6"/>
  <c r="BD21" i="6"/>
  <c r="BE21" i="6"/>
  <c r="BC24" i="6"/>
  <c r="BD24" i="6"/>
  <c r="BD27" i="6"/>
  <c r="BE24" i="6"/>
  <c r="BA26" i="6"/>
  <c r="BB26" i="6"/>
  <c r="BC26" i="6"/>
  <c r="BD26" i="6"/>
  <c r="BA27" i="6"/>
  <c r="BB27" i="6"/>
  <c r="BC27" i="6"/>
  <c r="BE27" i="6"/>
  <c r="AV11" i="6"/>
  <c r="AV31" i="6" s="1"/>
  <c r="AS25" i="6"/>
  <c r="AS30" i="6" s="1"/>
  <c r="AE10" i="6"/>
  <c r="AE15" i="6" s="1"/>
  <c r="AF10" i="6"/>
  <c r="AH10" i="6" s="1"/>
  <c r="Z22" i="6"/>
  <c r="Y22" i="6"/>
  <c r="X22" i="6"/>
  <c r="W22" i="6"/>
  <c r="V22" i="6"/>
  <c r="U22" i="6"/>
  <c r="T22" i="6"/>
  <c r="S22" i="6"/>
  <c r="R22" i="6"/>
  <c r="Q22" i="6"/>
  <c r="P22" i="6"/>
  <c r="O22" i="6"/>
  <c r="N22" i="6"/>
  <c r="M22" i="6"/>
  <c r="K22" i="6"/>
  <c r="Y15" i="6"/>
  <c r="X15" i="6"/>
  <c r="W15" i="6"/>
  <c r="AF14" i="6"/>
  <c r="AF16" i="6" s="1"/>
  <c r="Y14" i="6"/>
  <c r="X14" i="6"/>
  <c r="X28" i="6"/>
  <c r="W14" i="6"/>
  <c r="Y13" i="6"/>
  <c r="X13" i="6"/>
  <c r="W13" i="6"/>
  <c r="AH11" i="6"/>
  <c r="AH25" i="6"/>
  <c r="AJ25" i="6" s="1"/>
  <c r="AJ30" i="6" s="1"/>
  <c r="Y11" i="6"/>
  <c r="X11" i="6"/>
  <c r="W11" i="6"/>
  <c r="Y10" i="6"/>
  <c r="X10" i="6"/>
  <c r="W10" i="6"/>
  <c r="Y24" i="6"/>
  <c r="X24" i="6"/>
  <c r="W24" i="6"/>
  <c r="Y29" i="6"/>
  <c r="X29" i="6"/>
  <c r="W29" i="6"/>
  <c r="AG28" i="6"/>
  <c r="BA28" i="6" s="1"/>
  <c r="AF28" i="6"/>
  <c r="AF30" i="6" s="1"/>
  <c r="Y28" i="6"/>
  <c r="W28" i="6"/>
  <c r="Y27" i="6"/>
  <c r="X27" i="6"/>
  <c r="W27" i="6"/>
  <c r="Y25" i="6"/>
  <c r="X25" i="6"/>
  <c r="W25" i="6"/>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F446" i="14"/>
  <c r="G446" i="14" s="1"/>
  <c r="BE12" i="6"/>
  <c r="BE18" i="6"/>
  <c r="BC18" i="6"/>
  <c r="CF18" i="6"/>
  <c r="CF26" i="6"/>
  <c r="BK16" i="6"/>
  <c r="BO32" i="6"/>
  <c r="BO33" i="6" s="1"/>
  <c r="DL11" i="6"/>
  <c r="DM24" i="6"/>
  <c r="CI30" i="6" l="1"/>
  <c r="EV17" i="6"/>
  <c r="EV24" i="6"/>
  <c r="CE12" i="6"/>
  <c r="CH12" i="6"/>
  <c r="DI16" i="6"/>
  <c r="DI32" i="6"/>
  <c r="DJ16" i="6"/>
  <c r="DJ29" i="6"/>
  <c r="DK32" i="6"/>
  <c r="DK31" i="6"/>
  <c r="DK30" i="6"/>
  <c r="DJ32" i="6"/>
  <c r="DJ31" i="6"/>
  <c r="DJ15" i="6"/>
  <c r="DJ30" i="6"/>
  <c r="DJ22" i="6"/>
  <c r="DK29" i="6"/>
  <c r="DK23" i="6"/>
  <c r="DJ23" i="6"/>
  <c r="DJ14" i="6"/>
  <c r="DK15" i="6"/>
  <c r="DK16" i="6"/>
  <c r="DK22" i="6"/>
  <c r="BR31" i="6"/>
  <c r="BR33" i="6" s="1"/>
  <c r="BR16" i="6"/>
  <c r="CG11" i="6"/>
  <c r="CG16" i="6" s="1"/>
  <c r="X16" i="6"/>
  <c r="X32" i="6"/>
  <c r="BB25" i="6"/>
  <c r="DI30" i="6"/>
  <c r="CE14" i="6"/>
  <c r="CE32" i="6" s="1"/>
  <c r="BA25" i="6"/>
  <c r="BA30" i="6" s="1"/>
  <c r="AS31" i="6"/>
  <c r="AS33" i="6" s="1"/>
  <c r="CH26" i="6"/>
  <c r="CG15" i="6"/>
  <c r="DB33" i="6"/>
  <c r="BD25" i="6"/>
  <c r="BD31" i="6" s="1"/>
  <c r="BK33" i="6"/>
  <c r="CF12" i="6"/>
  <c r="DM27" i="6"/>
  <c r="CF14" i="6"/>
  <c r="CF16" i="6" s="1"/>
  <c r="BG31" i="6"/>
  <c r="BG33" i="6" s="1"/>
  <c r="BG16" i="6"/>
  <c r="CE11" i="6"/>
  <c r="CH14" i="6"/>
  <c r="CH32" i="6" s="1"/>
  <c r="AV16" i="6"/>
  <c r="CE25" i="6"/>
  <c r="CE30" i="6" s="1"/>
  <c r="CF25" i="6"/>
  <c r="CF30" i="6" s="1"/>
  <c r="BY30" i="6"/>
  <c r="CH11" i="6"/>
  <c r="CH31" i="6" s="1"/>
  <c r="CE18" i="6"/>
  <c r="DI22" i="6"/>
  <c r="DL22" i="6" s="1"/>
  <c r="CE19" i="6"/>
  <c r="BY31" i="6"/>
  <c r="BY33" i="6" s="1"/>
  <c r="CA23" i="6"/>
  <c r="CF19" i="6"/>
  <c r="CA31" i="6"/>
  <c r="CA33" i="6" s="1"/>
  <c r="DL25" i="6"/>
  <c r="DL30" i="6" s="1"/>
  <c r="E34" i="14"/>
  <c r="CI23" i="6"/>
  <c r="CT33" i="6"/>
  <c r="U33" i="6"/>
  <c r="Q145" i="14"/>
  <c r="AP33" i="6"/>
  <c r="CH22" i="6"/>
  <c r="AG10" i="6"/>
  <c r="AG15" i="6" s="1"/>
  <c r="CF15" i="6"/>
  <c r="AM33" i="6"/>
  <c r="CS33" i="6"/>
  <c r="DM18" i="6"/>
  <c r="CH29" i="6"/>
  <c r="W16" i="6"/>
  <c r="BV33" i="6"/>
  <c r="CI29" i="6"/>
  <c r="BU33" i="6"/>
  <c r="BC22" i="6"/>
  <c r="I33" i="6"/>
  <c r="AX33" i="6"/>
  <c r="AV33" i="6"/>
  <c r="CE15" i="6"/>
  <c r="CG30" i="6"/>
  <c r="DM19" i="6"/>
  <c r="DM20" i="6"/>
  <c r="BM33" i="6"/>
  <c r="DM26" i="6"/>
  <c r="DL18" i="6"/>
  <c r="K33" i="6"/>
  <c r="DM12" i="6"/>
  <c r="J33" i="6"/>
  <c r="Y32" i="6"/>
  <c r="DM14" i="6"/>
  <c r="DM16" i="6" s="1"/>
  <c r="DM21" i="6"/>
  <c r="W30" i="6"/>
  <c r="CI22" i="6"/>
  <c r="R33" i="6"/>
  <c r="BA32" i="6"/>
  <c r="AQ33" i="6"/>
  <c r="Q33" i="6"/>
  <c r="Y30" i="6"/>
  <c r="P33" i="6"/>
  <c r="DM28" i="6"/>
  <c r="DF33" i="6"/>
  <c r="O33" i="6"/>
  <c r="BE29" i="6"/>
  <c r="BB29" i="6"/>
  <c r="AN33" i="6"/>
  <c r="L33" i="6"/>
  <c r="BA22" i="6"/>
  <c r="BD28" i="6"/>
  <c r="CG23" i="6"/>
  <c r="CH23" i="6"/>
  <c r="BX33" i="6"/>
  <c r="BP33" i="6"/>
  <c r="CJ14" i="6"/>
  <c r="CJ16" i="6" s="1"/>
  <c r="BA23" i="6"/>
  <c r="DM25" i="6"/>
  <c r="BC23" i="6"/>
  <c r="CX33" i="6"/>
  <c r="AF15" i="6"/>
  <c r="AC33" i="6"/>
  <c r="T33" i="6"/>
  <c r="AU33" i="6"/>
  <c r="DA33" i="6"/>
  <c r="BD23" i="6"/>
  <c r="BE22" i="6"/>
  <c r="CI15" i="6"/>
  <c r="CE29" i="6"/>
  <c r="DE33" i="6"/>
  <c r="AR33" i="6"/>
  <c r="AG32" i="6"/>
  <c r="AG33" i="6" s="1"/>
  <c r="X30" i="6"/>
  <c r="BB16" i="6"/>
  <c r="CE23" i="6"/>
  <c r="CF22" i="6"/>
  <c r="CF29" i="6"/>
  <c r="CM33" i="6"/>
  <c r="CC33" i="6"/>
  <c r="CL33" i="6"/>
  <c r="H33" i="6"/>
  <c r="N33" i="6"/>
  <c r="BE25" i="6"/>
  <c r="Y16" i="6"/>
  <c r="BD29" i="6"/>
  <c r="CB33" i="6"/>
  <c r="CR33" i="6"/>
  <c r="CK33" i="6"/>
  <c r="BW33" i="6"/>
  <c r="BH33" i="6"/>
  <c r="AK33" i="6"/>
  <c r="AB33" i="6"/>
  <c r="S33" i="6"/>
  <c r="CH30" i="6"/>
  <c r="CI19" i="6"/>
  <c r="CG32" i="6"/>
  <c r="DG33" i="6"/>
  <c r="BS33" i="6"/>
  <c r="BN33" i="6"/>
  <c r="AA33" i="6"/>
  <c r="DL14" i="6"/>
  <c r="DL16" i="6" s="1"/>
  <c r="W31" i="6"/>
  <c r="AH31" i="6"/>
  <c r="AH14" i="6"/>
  <c r="AH16" i="6" s="1"/>
  <c r="CI32" i="6"/>
  <c r="BZ33" i="6"/>
  <c r="AE33" i="6"/>
  <c r="CW33" i="6"/>
  <c r="CD33" i="6"/>
  <c r="AZ33" i="6"/>
  <c r="BD16" i="6"/>
  <c r="CI16" i="6"/>
  <c r="DI29" i="6"/>
  <c r="DL29" i="6" s="1"/>
  <c r="AW33" i="6"/>
  <c r="DD33" i="6"/>
  <c r="CP33" i="6"/>
  <c r="DC33" i="6"/>
  <c r="CO33" i="6"/>
  <c r="AJ11" i="6"/>
  <c r="AL11" i="6" s="1"/>
  <c r="BE23" i="6"/>
  <c r="DI31" i="6"/>
  <c r="CF23" i="6"/>
  <c r="BA16" i="6"/>
  <c r="CE22" i="6"/>
  <c r="DI15" i="6"/>
  <c r="DL15" i="6" s="1"/>
  <c r="CV33" i="6"/>
  <c r="BC25" i="6"/>
  <c r="W32" i="6"/>
  <c r="X31" i="6"/>
  <c r="X33" i="6" s="1"/>
  <c r="BB22" i="6"/>
  <c r="BA29" i="6"/>
  <c r="CG22" i="6"/>
  <c r="DN33" i="6"/>
  <c r="AT33" i="6"/>
  <c r="AI33" i="6"/>
  <c r="M33" i="6"/>
  <c r="DH33" i="6"/>
  <c r="CU33" i="6"/>
  <c r="CN33" i="6"/>
  <c r="BQ33" i="6"/>
  <c r="BJ33" i="6"/>
  <c r="Y31" i="6"/>
  <c r="AF32" i="6"/>
  <c r="AF33" i="6" s="1"/>
  <c r="BB28" i="6"/>
  <c r="BB32" i="6" s="1"/>
  <c r="BD22" i="6"/>
  <c r="DM29" i="6"/>
  <c r="CZ33" i="6"/>
  <c r="BI33" i="6"/>
  <c r="AY33" i="6"/>
  <c r="AG30" i="6"/>
  <c r="BB31" i="6"/>
  <c r="AH28" i="6"/>
  <c r="BC28" i="6" s="1"/>
  <c r="BC29" i="6"/>
  <c r="BB23" i="6"/>
  <c r="CH15" i="6"/>
  <c r="CG29" i="6"/>
  <c r="CQ33" i="6"/>
  <c r="BF33" i="6"/>
  <c r="CY33" i="6"/>
  <c r="AO33" i="6"/>
  <c r="AD33" i="6"/>
  <c r="AJ10" i="6"/>
  <c r="AH15" i="6"/>
  <c r="CI31" i="6"/>
  <c r="EV21" i="6" l="1"/>
  <c r="EV20" i="6"/>
  <c r="EV18" i="6"/>
  <c r="CE16" i="6"/>
  <c r="EV25" i="6"/>
  <c r="BA31" i="6"/>
  <c r="BA33" i="6" s="1"/>
  <c r="DJ33" i="6"/>
  <c r="DK33" i="6"/>
  <c r="CE31" i="6"/>
  <c r="CE33" i="6" s="1"/>
  <c r="CG31" i="6"/>
  <c r="CG33" i="6" s="1"/>
  <c r="CF32" i="6"/>
  <c r="BD30" i="6"/>
  <c r="CF31" i="6"/>
  <c r="EV29" i="6"/>
  <c r="CH16" i="6"/>
  <c r="AI10" i="6"/>
  <c r="AK10" i="6" s="1"/>
  <c r="AM10" i="6" s="1"/>
  <c r="DM23" i="6"/>
  <c r="AH30" i="6"/>
  <c r="DM32" i="6"/>
  <c r="DL31" i="6"/>
  <c r="DL23" i="6"/>
  <c r="DL32" i="6"/>
  <c r="CH33" i="6"/>
  <c r="DM15" i="6"/>
  <c r="Y33" i="6"/>
  <c r="DM22" i="6"/>
  <c r="EV22" i="6" s="1"/>
  <c r="DI33" i="6"/>
  <c r="CI33" i="6"/>
  <c r="AJ14" i="6"/>
  <c r="AJ32" i="6" s="1"/>
  <c r="BB30" i="6"/>
  <c r="BD32" i="6"/>
  <c r="BD33" i="6" s="1"/>
  <c r="DM31" i="6"/>
  <c r="CJ32" i="6"/>
  <c r="CJ33" i="6" s="1"/>
  <c r="W33" i="6"/>
  <c r="BB33" i="6"/>
  <c r="BE28" i="6"/>
  <c r="BC30" i="6"/>
  <c r="AH32" i="6"/>
  <c r="AH33" i="6" s="1"/>
  <c r="AJ31" i="6"/>
  <c r="AL10" i="6"/>
  <c r="AJ15" i="6"/>
  <c r="AL31" i="6"/>
  <c r="BC11" i="6"/>
  <c r="BE11" i="6"/>
  <c r="EV23" i="6" l="1"/>
  <c r="EV28" i="6"/>
  <c r="CF33" i="6"/>
  <c r="AK15" i="6"/>
  <c r="AI15" i="6"/>
  <c r="AL14" i="6"/>
  <c r="AL16" i="6" s="1"/>
  <c r="AJ16" i="6"/>
  <c r="DM33" i="6"/>
  <c r="DL33" i="6"/>
  <c r="BE30" i="6"/>
  <c r="AJ33" i="6"/>
  <c r="BC31" i="6"/>
  <c r="AM15" i="6"/>
  <c r="AO10" i="6"/>
  <c r="AL15" i="6"/>
  <c r="AN10" i="6"/>
  <c r="BE31" i="6"/>
  <c r="BE14" i="6" l="1"/>
  <c r="BC14" i="6"/>
  <c r="BC32" i="6" s="1"/>
  <c r="BC33" i="6" s="1"/>
  <c r="AL32" i="6"/>
  <c r="AL33" i="6" s="1"/>
  <c r="EV30" i="6"/>
  <c r="AN15" i="6"/>
  <c r="BC10" i="6"/>
  <c r="BC15" i="6" s="1"/>
  <c r="BE10" i="6"/>
  <c r="AO15" i="6"/>
  <c r="AS10" i="6"/>
  <c r="BE32" i="6" l="1"/>
  <c r="BE33" i="6" s="1"/>
  <c r="BC16" i="6"/>
  <c r="BE16" i="6"/>
  <c r="BE15" i="6"/>
  <c r="AU10" i="6"/>
  <c r="AS15" i="6"/>
  <c r="EV14" i="6" l="1"/>
  <c r="EV16" i="6"/>
  <c r="AU15" i="6"/>
  <c r="AW10" i="6"/>
  <c r="AY10" i="6" l="1"/>
  <c r="BB10" i="6" s="1"/>
  <c r="BB15" i="6" s="1"/>
  <c r="AW15" i="6"/>
  <c r="BD10" i="6" l="1"/>
  <c r="AY15" i="6"/>
  <c r="BA10" i="6"/>
  <c r="BA15" i="6" s="1"/>
  <c r="BD15" i="6" l="1"/>
  <c r="EV1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6" authorId="0" shapeId="0" xr:uid="{00000000-0006-0000-0000-000002000000}">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7" authorId="0" shapeId="0" xr:uid="{00000000-0006-0000-0000-000003000000}">
      <text>
        <r>
          <rPr>
            <b/>
            <sz val="9"/>
            <color rgb="FF000000"/>
            <rFont val="Tahoma"/>
            <family val="2"/>
          </rPr>
          <t>YULIED.PENARANDA:</t>
        </r>
        <r>
          <rPr>
            <sz val="9"/>
            <color rgb="FF000000"/>
            <rFont val="Tahoma"/>
            <family val="2"/>
          </rPr>
          <t xml:space="preserve">
</t>
        </r>
        <r>
          <rPr>
            <sz val="9"/>
            <color rgb="FF000000"/>
            <rFont val="Tahoma"/>
            <family val="2"/>
          </rPr>
          <t xml:space="preserve">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rgb="FF000000"/>
            <rFont val="Tahoma"/>
            <family val="2"/>
          </rPr>
          <t>YULIED.PENARANDA:</t>
        </r>
        <r>
          <rPr>
            <sz val="9"/>
            <color rgb="FF000000"/>
            <rFont val="Tahoma"/>
            <family val="2"/>
          </rPr>
          <t xml:space="preserve">
</t>
        </r>
        <r>
          <rPr>
            <sz val="9"/>
            <color rgb="FF000000"/>
            <rFont val="Tahoma"/>
            <family val="2"/>
          </rPr>
          <t xml:space="preserve">Las metas plan de desarrollo están agrupadas en temáticas afines, bajo la estructura de Programas Plan de Desarrollo. Relacionar número y nombre del programa asociado </t>
        </r>
      </text>
    </comment>
    <comment ref="EW10" authorId="0" shapeId="0" xr:uid="{00000000-0006-0000-0000-000005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10" authorId="0" shapeId="0" xr:uid="{00000000-0006-0000-0000-000006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EY10" authorId="0" shapeId="0" xr:uid="{00000000-0006-0000-0000-000007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EZ10" authorId="0" shapeId="0" xr:uid="{00000000-0006-0000-0000-000008000000}">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A10" authorId="0" shapeId="0" xr:uid="{00000000-0006-0000-0000-000009000000}">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A11" authorId="0" shapeId="0" xr:uid="{00000000-0006-0000-0000-00000A000000}">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F11" authorId="0" shapeId="0" xr:uid="{00000000-0006-0000-0000-00000C000000}">
      <text>
        <r>
          <rPr>
            <b/>
            <sz val="9"/>
            <color rgb="FF000000"/>
            <rFont val="Tahoma"/>
            <family val="2"/>
          </rPr>
          <t>YULIED.PENARANDA:</t>
        </r>
        <r>
          <rPr>
            <sz val="9"/>
            <color rgb="FF000000"/>
            <rFont val="Tahoma"/>
            <family val="2"/>
          </rPr>
          <t xml:space="preserve">
</t>
        </r>
        <r>
          <rPr>
            <sz val="9"/>
            <color rgb="FF000000"/>
            <rFont val="Tahoma"/>
            <family val="2"/>
          </rPr>
          <t>Año 3</t>
        </r>
      </text>
    </comment>
    <comment ref="CJ11" authorId="0" shapeId="0" xr:uid="{00000000-0006-0000-0000-00000D000000}">
      <text>
        <r>
          <rPr>
            <b/>
            <sz val="9"/>
            <color indexed="81"/>
            <rFont val="Tahoma"/>
            <family val="2"/>
          </rPr>
          <t>YULIED.PENARANDA:</t>
        </r>
        <r>
          <rPr>
            <sz val="9"/>
            <color indexed="81"/>
            <rFont val="Tahoma"/>
            <family val="2"/>
          </rPr>
          <t xml:space="preserve">
Año 4</t>
        </r>
      </text>
    </comment>
    <comment ref="DN11" authorId="0" shapeId="0" xr:uid="{00000000-0006-0000-0000-00000E000000}">
      <text>
        <r>
          <rPr>
            <b/>
            <sz val="9"/>
            <color rgb="FF000000"/>
            <rFont val="Tahoma"/>
            <family val="2"/>
          </rPr>
          <t>YULIED.PENARANDA:</t>
        </r>
        <r>
          <rPr>
            <sz val="9"/>
            <color rgb="FF000000"/>
            <rFont val="Tahoma"/>
            <family val="2"/>
          </rPr>
          <t xml:space="preserve">
</t>
        </r>
        <r>
          <rPr>
            <sz val="9"/>
            <color rgb="FF000000"/>
            <rFont val="Tahoma"/>
            <family val="2"/>
          </rPr>
          <t>Año 5</t>
        </r>
      </text>
    </comment>
    <comment ref="A12" authorId="0" shapeId="0" xr:uid="{00000000-0006-0000-0000-00000F000000}">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B12" authorId="0" shapeId="0" xr:uid="{00000000-0006-0000-0000-000010000000}">
      <text>
        <r>
          <rPr>
            <b/>
            <sz val="9"/>
            <color rgb="FF000000"/>
            <rFont val="Tahoma"/>
            <family val="2"/>
          </rPr>
          <t>YULIED.PENARANDA:</t>
        </r>
        <r>
          <rPr>
            <sz val="9"/>
            <color rgb="FF000000"/>
            <rFont val="Tahoma"/>
            <family val="2"/>
          </rPr>
          <t xml:space="preserve">
</t>
        </r>
        <r>
          <rPr>
            <sz val="9"/>
            <color rgb="FF000000"/>
            <rFont val="Tahoma"/>
            <family val="2"/>
          </rPr>
          <t>Número del programa al que pertenece la estructura del proyecto de inversión asociada al PDD</t>
        </r>
      </text>
    </comment>
    <comment ref="C12" authorId="0" shapeId="0" xr:uid="{00000000-0006-0000-0000-000011000000}">
      <text>
        <r>
          <rPr>
            <b/>
            <sz val="9"/>
            <color rgb="FF000000"/>
            <rFont val="Tahoma"/>
            <family val="2"/>
          </rPr>
          <t>YULIED.PENARANDA:</t>
        </r>
        <r>
          <rPr>
            <sz val="9"/>
            <color rgb="FF000000"/>
            <rFont val="Tahoma"/>
            <family val="2"/>
          </rPr>
          <t xml:space="preserve">
</t>
        </r>
        <r>
          <rPr>
            <sz val="9"/>
            <color rgb="FF000000"/>
            <rFont val="Tahoma"/>
            <family val="2"/>
          </rPr>
          <t>Número de Meta Plan de Desarrollo.</t>
        </r>
      </text>
    </comment>
    <comment ref="D12" authorId="0" shapeId="0" xr:uid="{00000000-0006-0000-0000-000012000000}">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según acuerdo.</t>
        </r>
      </text>
    </comment>
    <comment ref="E12" authorId="0" shapeId="0" xr:uid="{00000000-0006-0000-0000-000013000000}">
      <text>
        <r>
          <rPr>
            <b/>
            <sz val="9"/>
            <color rgb="FF000000"/>
            <rFont val="Tahoma"/>
            <family val="2"/>
          </rPr>
          <t>YULIED.PENARANDA:</t>
        </r>
        <r>
          <rPr>
            <sz val="9"/>
            <color rgb="FF000000"/>
            <rFont val="Tahoma"/>
            <family val="2"/>
          </rPr>
          <t xml:space="preserve">
</t>
        </r>
        <r>
          <rPr>
            <sz val="9"/>
            <color rgb="FF000000"/>
            <rFont val="Tahoma"/>
            <family val="2"/>
          </rPr>
          <t xml:space="preserve">Número asignado al indicador en la estructura del Plan de Desarrollo. </t>
        </r>
      </text>
    </comment>
    <comment ref="F12" authorId="0" shapeId="0" xr:uid="{00000000-0006-0000-0000-000014000000}">
      <text>
        <r>
          <rPr>
            <b/>
            <sz val="9"/>
            <color rgb="FF000000"/>
            <rFont val="Tahoma"/>
            <family val="2"/>
          </rPr>
          <t>YULIED.PENARANDA:</t>
        </r>
        <r>
          <rPr>
            <sz val="9"/>
            <color rgb="FF000000"/>
            <rFont val="Tahoma"/>
            <family val="2"/>
          </rPr>
          <t xml:space="preserve">
</t>
        </r>
        <r>
          <rPr>
            <sz val="9"/>
            <color rgb="FF000000"/>
            <rFont val="Tahoma"/>
            <family val="2"/>
          </rPr>
          <t>Nombre completo del indicador. Expresión verbal, precisa y concreta del patrón de evaluación.</t>
        </r>
      </text>
    </comment>
    <comment ref="G12" authorId="0" shapeId="0" xr:uid="{00000000-0006-0000-0000-000015000000}">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proyectos etc. </t>
        </r>
      </text>
    </comment>
    <comment ref="H12" authorId="0" shapeId="0" xr:uid="{00000000-0006-0000-0000-000016000000}">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I12" authorId="0" shapeId="0" xr:uid="{00000000-0006-0000-0000-000017000000}">
      <text>
        <r>
          <rPr>
            <b/>
            <sz val="9"/>
            <color rgb="FF000000"/>
            <rFont val="Tahoma"/>
            <family val="2"/>
          </rPr>
          <t>YULIED.PENARANDA:</t>
        </r>
        <r>
          <rPr>
            <sz val="9"/>
            <color rgb="FF000000"/>
            <rFont val="Tahoma"/>
            <family val="2"/>
          </rPr>
          <t xml:space="preserve">
</t>
        </r>
        <r>
          <rPr>
            <sz val="9"/>
            <color rgb="FF000000"/>
            <rFont val="Tahoma"/>
            <family val="2"/>
          </rPr>
          <t>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ES7" authorId="0" shapeId="0" xr:uid="{00000000-0006-0000-0100-000003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T7" authorId="0" shapeId="0" xr:uid="{00000000-0006-0000-0100-000004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U7" authorId="0" shapeId="0" xr:uid="{00000000-0006-0000-0100-000005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00000000-0006-0000-0100-000006000000}">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EY7" authorId="0" shapeId="0" xr:uid="{00000000-0006-0000-0100-000009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EZ7" authorId="0" shapeId="0" xr:uid="{00000000-0006-0000-0100-00000A000000}">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A7" authorId="0" shapeId="0" xr:uid="{00000000-0006-0000-0100-00000B000000}">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rgb="FF000000"/>
            <rFont val="Tahoma"/>
            <family val="2"/>
          </rPr>
          <t>YULIED.PENARANDA:</t>
        </r>
        <r>
          <rPr>
            <sz val="9"/>
            <color rgb="FF000000"/>
            <rFont val="Tahoma"/>
            <family val="2"/>
          </rPr>
          <t xml:space="preserve">
</t>
        </r>
        <r>
          <rPr>
            <sz val="9"/>
            <color rgb="FF000000"/>
            <rFont val="Tahoma"/>
            <family val="2"/>
          </rPr>
          <t>Año 5</t>
        </r>
      </text>
    </comment>
    <comment ref="A9" authorId="0" shapeId="0" xr:uid="{00000000-0006-0000-0100-000010000000}">
      <text>
        <r>
          <rPr>
            <b/>
            <sz val="9"/>
            <color rgb="FF000000"/>
            <rFont val="Tahoma"/>
            <family val="2"/>
          </rPr>
          <t>YULIED.PENARANDA:</t>
        </r>
        <r>
          <rPr>
            <sz val="9"/>
            <color rgb="FF000000"/>
            <rFont val="Tahoma"/>
            <family val="2"/>
          </rPr>
          <t xml:space="preserve">
</t>
        </r>
        <r>
          <rPr>
            <sz val="9"/>
            <color rgb="FF000000"/>
            <rFont val="Tahoma"/>
            <family val="2"/>
          </rPr>
          <t>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rgb="FF000000"/>
            <rFont val="Tahoma"/>
            <family val="2"/>
          </rPr>
          <t>YULIED.PENARANDA:</t>
        </r>
        <r>
          <rPr>
            <sz val="9"/>
            <color rgb="FF000000"/>
            <rFont val="Tahoma"/>
            <family val="2"/>
          </rPr>
          <t xml:space="preserve">
</t>
        </r>
        <r>
          <rPr>
            <sz val="9"/>
            <color rgb="FF000000"/>
            <rFont val="Tahoma"/>
            <family val="2"/>
          </rPr>
          <t>Número de la meta proyecto de inversión, según la asignación dada en  SEGPLAN</t>
        </r>
      </text>
    </comment>
    <comment ref="C9" authorId="0" shapeId="0" xr:uid="{00000000-0006-0000-0100-000012000000}">
      <text>
        <r>
          <rPr>
            <b/>
            <sz val="9"/>
            <color rgb="FF000000"/>
            <rFont val="Tahoma"/>
            <family val="2"/>
          </rPr>
          <t>YULIED.PENARANDA:</t>
        </r>
        <r>
          <rPr>
            <sz val="9"/>
            <color rgb="FF000000"/>
            <rFont val="Tahoma"/>
            <family val="2"/>
          </rPr>
          <t xml:space="preserve">
</t>
        </r>
        <r>
          <rPr>
            <sz val="9"/>
            <color rgb="FF000000"/>
            <rFont val="Tahoma"/>
            <family val="2"/>
          </rPr>
          <t>Nombre completo de la meta proyecto de inversión, igual como quedo en SEGPLAN</t>
        </r>
      </text>
    </comment>
    <comment ref="D9" authorId="0" shapeId="0" xr:uid="{00000000-0006-0000-0100-000013000000}">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E9" authorId="0" shapeId="0" xr:uid="{00000000-0006-0000-0100-000014000000}">
      <text>
        <r>
          <rPr>
            <b/>
            <sz val="9"/>
            <color rgb="FF000000"/>
            <rFont val="Tahoma"/>
            <family val="2"/>
          </rPr>
          <t>YULIED.PENARANDA:</t>
        </r>
        <r>
          <rPr>
            <sz val="9"/>
            <color rgb="FF000000"/>
            <rFont val="Tahoma"/>
            <family val="2"/>
          </rPr>
          <t xml:space="preserve">
</t>
        </r>
        <r>
          <rPr>
            <sz val="9"/>
            <color rgb="FF000000"/>
            <rFont val="Tahoma"/>
            <family val="2"/>
          </rPr>
          <t>Número de la meta Plan de Desarrollo, a la cual se encuentra asociada la meta de inversión.</t>
        </r>
      </text>
    </comment>
    <comment ref="F9" authorId="0" shapeId="0" xr:uid="{00000000-0006-0000-0100-000015000000}">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00000000-0006-0000-0100-000016000000}">
      <text>
        <r>
          <rPr>
            <b/>
            <sz val="9"/>
            <color rgb="FF000000"/>
            <rFont val="Tahoma"/>
            <family val="2"/>
          </rPr>
          <t>YULIED.PENARANDA:</t>
        </r>
        <r>
          <rPr>
            <sz val="9"/>
            <color rgb="FF000000"/>
            <rFont val="Tahoma"/>
            <family val="2"/>
          </rPr>
          <t xml:space="preserve">
</t>
        </r>
        <r>
          <rPr>
            <sz val="9"/>
            <color rgb="FF000000"/>
            <rFont val="Tahoma"/>
            <family val="2"/>
          </rPr>
          <t>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1" authorId="0" shapeId="0" xr:uid="{00000000-0006-0000-0100-000019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F12" authorId="0" shapeId="0" xr:uid="{00000000-0006-0000-0100-00001A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00000000-0006-0000-0100-00001B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adquiridos que al cierre de la vigencia fiscal no  se cumplieron.</t>
        </r>
      </text>
    </comment>
    <comment ref="F14" authorId="0" shapeId="0" xr:uid="{00000000-0006-0000-0100-00001C000000}">
      <text>
        <r>
          <rPr>
            <b/>
            <sz val="9"/>
            <color rgb="FF000000"/>
            <rFont val="Tahoma"/>
            <family val="2"/>
          </rPr>
          <t>YULIED.PENARANDA:</t>
        </r>
        <r>
          <rPr>
            <sz val="9"/>
            <color rgb="FF000000"/>
            <rFont val="Tahoma"/>
            <family val="2"/>
          </rPr>
          <t xml:space="preserve">
</t>
        </r>
        <r>
          <rPr>
            <sz val="9"/>
            <color rgb="FF000000"/>
            <rFont val="Tahoma"/>
            <family val="2"/>
          </rPr>
          <t>Son compromisos legalmente adquiridos que al cierre de la vigencia fiscal no se han atendido por no haberse completado las formalidades necesarias que hagan exigible el pago al terminarse el año.</t>
        </r>
      </text>
    </comment>
    <comment ref="F15" authorId="0" shapeId="0" xr:uid="{00000000-0006-0000-0100-00001D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 reservas). Para los demás tipos de metas se asocia el mismo dato de la vigencia.</t>
        </r>
      </text>
    </comment>
    <comment ref="F16" authorId="0" shapeId="0" xr:uid="{00000000-0006-0000-0100-00001E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17" authorId="0" shapeId="0" xr:uid="{00000000-0006-0000-0100-00001F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8" authorId="0" shapeId="0" xr:uid="{00000000-0006-0000-0100-000020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F19" authorId="0" shapeId="0" xr:uid="{00000000-0006-0000-0100-000021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20" authorId="0" shapeId="0" xr:uid="{00000000-0006-0000-0100-000022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adquiridos que al cierre de la vigencia fiscal no  se cumplieron.</t>
        </r>
      </text>
    </comment>
    <comment ref="F21" authorId="0" shapeId="0" xr:uid="{00000000-0006-0000-0100-000023000000}">
      <text>
        <r>
          <rPr>
            <b/>
            <sz val="9"/>
            <color rgb="FF000000"/>
            <rFont val="Tahoma"/>
            <family val="2"/>
          </rPr>
          <t>YULIED.PENARANDA:</t>
        </r>
        <r>
          <rPr>
            <sz val="9"/>
            <color rgb="FF000000"/>
            <rFont val="Tahoma"/>
            <family val="2"/>
          </rPr>
          <t xml:space="preserve">
</t>
        </r>
        <r>
          <rPr>
            <sz val="9"/>
            <color rgb="FF000000"/>
            <rFont val="Tahoma"/>
            <family val="2"/>
          </rPr>
          <t>Son compromisos legalmente adquiridos que al cierre de la vigencia fiscal no se han atendido por no haberse completado las formalidades necesarias que hagan exigible el pago al terminarse el año.</t>
        </r>
      </text>
    </comment>
    <comment ref="F22" authorId="0" shapeId="0" xr:uid="{00000000-0006-0000-0100-000024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 reservas). Para los demás tipos de metas se asocia el mismo dato de la vigencia.</t>
        </r>
      </text>
    </comment>
    <comment ref="F23" authorId="0" shapeId="0" xr:uid="{00000000-0006-0000-0100-000025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24" authorId="0" shapeId="0" xr:uid="{00000000-0006-0000-0100-000026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25" authorId="0" shapeId="0" xr:uid="{00000000-0006-0000-0100-000027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F27" authorId="0" shapeId="0" xr:uid="{00000000-0006-0000-0100-000028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adquiridos que al cierre de la vigencia fiscal no  se cumplieron.</t>
        </r>
      </text>
    </comment>
    <comment ref="F28" authorId="0" shapeId="0" xr:uid="{00000000-0006-0000-0100-000029000000}">
      <text>
        <r>
          <rPr>
            <b/>
            <sz val="9"/>
            <color rgb="FF000000"/>
            <rFont val="Tahoma"/>
            <family val="2"/>
          </rPr>
          <t>YULIED.PENARANDA:</t>
        </r>
        <r>
          <rPr>
            <sz val="9"/>
            <color rgb="FF000000"/>
            <rFont val="Tahoma"/>
            <family val="2"/>
          </rPr>
          <t xml:space="preserve">
</t>
        </r>
        <r>
          <rPr>
            <sz val="9"/>
            <color rgb="FF000000"/>
            <rFont val="Tahoma"/>
            <family val="2"/>
          </rPr>
          <t>Son compromisos legalmente adquiridos que al cierre de la vigencia fiscal no se han atendido por no haberse completado las formalidades necesarias que hagan exigible el pago al terminarse el año.</t>
        </r>
      </text>
    </comment>
    <comment ref="F29" authorId="0" shapeId="0" xr:uid="{00000000-0006-0000-0100-00002A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 reservas). Para los demás tipos de metas se asocia el mismo dato de la vigencia.</t>
        </r>
      </text>
    </comment>
    <comment ref="F30" authorId="0" shapeId="0" xr:uid="{00000000-0006-0000-0100-00002B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31" authorId="0" shapeId="0" xr:uid="{00000000-0006-0000-0100-00002C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vigencia, por cada meta de inversión del proyecto</t>
        </r>
      </text>
    </comment>
    <comment ref="F32" authorId="0" shapeId="0" xr:uid="{00000000-0006-0000-0100-00002D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33" authorId="0" shapeId="0" xr:uid="{00000000-0006-0000-0100-00002E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rgb="FF000000"/>
            <rFont val="Tahoma"/>
            <family val="2"/>
          </rPr>
          <t>YULIED.PENARANDA:</t>
        </r>
        <r>
          <rPr>
            <sz val="9"/>
            <color rgb="FF000000"/>
            <rFont val="Tahoma"/>
            <family val="2"/>
          </rPr>
          <t xml:space="preserve">
</t>
        </r>
        <r>
          <rPr>
            <sz val="9"/>
            <color rgb="FF000000"/>
            <rFont val="Tahoma"/>
            <family val="2"/>
          </rPr>
          <t>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rgb="FF000000"/>
            <rFont val="Tahoma"/>
            <family val="2"/>
          </rPr>
          <t>YULIED.PENARANDA:</t>
        </r>
        <r>
          <rPr>
            <sz val="9"/>
            <color rgb="FF000000"/>
            <rFont val="Tahoma"/>
            <family val="2"/>
          </rPr>
          <t xml:space="preserve">
</t>
        </r>
        <r>
          <rPr>
            <sz val="9"/>
            <color rgb="FF000000"/>
            <rFont val="Tahoma"/>
            <family val="2"/>
          </rPr>
          <t>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NanaWayuu</author>
    <author>YULIED.PENARANDA</author>
    <author>NYDIA.OVALLE</author>
  </authors>
  <commentList>
    <comment ref="AJ9" authorId="0" shapeId="0" xr:uid="{00000000-0006-0000-0300-000001000000}">
      <text>
        <r>
          <rPr>
            <b/>
            <sz val="10"/>
            <color rgb="FF000000"/>
            <rFont val="Tahoma"/>
            <family val="2"/>
          </rPr>
          <t xml:space="preserve">Paola Andrea Rodríguez Barreo:
</t>
        </r>
        <r>
          <rPr>
            <sz val="10"/>
            <color rgb="FF000000"/>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0" shapeId="0" xr:uid="{00000000-0006-0000-0300-000002000000}">
      <text>
        <r>
          <rPr>
            <b/>
            <sz val="10"/>
            <color rgb="FF000000"/>
            <rFont val="Tahoma"/>
            <family val="2"/>
          </rPr>
          <t xml:space="preserve">Paola Andrea Rodríguez Barrero:
</t>
        </r>
        <r>
          <rPr>
            <sz val="10"/>
            <color rgb="FF000000"/>
            <rFont val="Tahoma"/>
            <family val="2"/>
          </rPr>
          <t xml:space="preserve">Área de influencia que abarca la inversión:
</t>
        </r>
        <r>
          <rPr>
            <sz val="10"/>
            <color rgb="FF000000"/>
            <rFont val="Tahoma"/>
            <family val="2"/>
          </rPr>
          <t>°</t>
        </r>
        <r>
          <rPr>
            <sz val="10"/>
            <color rgb="FF000000"/>
            <rFont val="Tahoma"/>
            <family val="2"/>
          </rPr>
          <t xml:space="preserve">Área intralocal (áreas específicas de parques, suelos entre otros)
</t>
        </r>
        <r>
          <rPr>
            <sz val="10"/>
            <color rgb="FF000000"/>
            <rFont val="Tahoma"/>
            <family val="2"/>
          </rPr>
          <t>°</t>
        </r>
        <r>
          <rPr>
            <sz val="10"/>
            <color rgb="FF000000"/>
            <rFont val="Tahoma"/>
            <family val="2"/>
          </rPr>
          <t xml:space="preserve">Localidad
</t>
        </r>
        <r>
          <rPr>
            <sz val="10"/>
            <color rgb="FF000000"/>
            <rFont val="Tahoma"/>
            <family val="2"/>
          </rPr>
          <t>°</t>
        </r>
        <r>
          <rPr>
            <sz val="10"/>
            <color rgb="FF000000"/>
            <rFont val="Tahoma"/>
            <family val="2"/>
          </rPr>
          <t xml:space="preserve">Supralocal más de una localidad (Cerros orientales, subcuenca, etc).
</t>
        </r>
        <r>
          <rPr>
            <sz val="10"/>
            <color rgb="FF000000"/>
            <rFont val="Tahoma"/>
            <family val="2"/>
          </rPr>
          <t xml:space="preserve">o Comentar la incidencia que se busca obtener con desarrollo de las acciones a ejecutar en el punto de inversión.
</t>
        </r>
      </text>
    </comment>
    <comment ref="AL9" authorId="0" shapeId="0" xr:uid="{00000000-0006-0000-0300-000003000000}">
      <text>
        <r>
          <rPr>
            <b/>
            <sz val="10"/>
            <color rgb="FF000000"/>
            <rFont val="Tahoma"/>
            <family val="2"/>
          </rPr>
          <t xml:space="preserve">Paola Andrea Rodríguez Barrero:
</t>
        </r>
        <r>
          <rPr>
            <sz val="10"/>
            <color rgb="FF000000"/>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0" shapeId="0" xr:uid="{00000000-0006-0000-0300-000004000000}">
      <text>
        <r>
          <rPr>
            <b/>
            <sz val="10"/>
            <color rgb="FF000000"/>
            <rFont val="Tahoma"/>
            <family val="2"/>
          </rPr>
          <t xml:space="preserve">Paola Andrea Rodríguez Barrero:
</t>
        </r>
        <r>
          <rPr>
            <sz val="10"/>
            <color rgb="FF000000"/>
            <rFont val="Tahoma"/>
            <family val="2"/>
          </rPr>
          <t xml:space="preserve">En este campo se registra si la acción en el punto de inversión apunta a una política pública. Ej: Política pública poblacional, diversidad, humedales, entre otras. </t>
        </r>
      </text>
    </comment>
    <comment ref="AN9" authorId="0" shapeId="0" xr:uid="{00000000-0006-0000-0300-000005000000}">
      <text>
        <r>
          <rPr>
            <b/>
            <sz val="10"/>
            <color rgb="FF000000"/>
            <rFont val="Tahoma"/>
            <family val="2"/>
          </rPr>
          <t>SPCI:</t>
        </r>
        <r>
          <rPr>
            <sz val="10"/>
            <color rgb="FF000000"/>
            <rFont val="Tahoma"/>
            <family val="2"/>
          </rPr>
          <t xml:space="preserve">
</t>
        </r>
        <r>
          <rPr>
            <sz val="10"/>
            <color rgb="FF000000"/>
            <rFont val="Tahoma"/>
            <family val="2"/>
          </rPr>
          <t xml:space="preserve">Número de personas identificadas en la localización asociada al punto de inversión.
</t>
        </r>
      </text>
    </comment>
    <comment ref="AR9" authorId="1" shapeId="0" xr:uid="{00000000-0006-0000-0300-000006000000}">
      <text>
        <r>
          <rPr>
            <b/>
            <sz val="9"/>
            <color rgb="FF000000"/>
            <rFont val="Tahoma"/>
            <family val="2"/>
          </rPr>
          <t>YULIED.PENARANDA:</t>
        </r>
        <r>
          <rPr>
            <sz val="9"/>
            <color rgb="FF000000"/>
            <rFont val="Tahoma"/>
            <family val="2"/>
          </rPr>
          <t xml:space="preserve">
</t>
        </r>
        <r>
          <rPr>
            <sz val="9"/>
            <color rgb="FF000000"/>
            <rFont val="Tahoma"/>
            <family val="2"/>
          </rPr>
          <t xml:space="preserve">a. 0-5 (primera infancia)
</t>
        </r>
        <r>
          <rPr>
            <sz val="9"/>
            <color rgb="FF000000"/>
            <rFont val="Tahoma"/>
            <family val="2"/>
          </rPr>
          <t xml:space="preserve">b.6-12 (Infancia)
</t>
        </r>
        <r>
          <rPr>
            <sz val="9"/>
            <color rgb="FF000000"/>
            <rFont val="Tahoma"/>
            <family val="2"/>
          </rPr>
          <t xml:space="preserve">c. 13-17 (Adolescencia)
</t>
        </r>
        <r>
          <rPr>
            <sz val="9"/>
            <color rgb="FF000000"/>
            <rFont val="Tahoma"/>
            <family val="2"/>
          </rPr>
          <t xml:space="preserve">d. 18-26 (Juventud)
</t>
        </r>
        <r>
          <rPr>
            <sz val="9"/>
            <color rgb="FF000000"/>
            <rFont val="Tahoma"/>
            <family val="2"/>
          </rPr>
          <t xml:space="preserve">e. 27-59 (adultez)
</t>
        </r>
        <r>
          <rPr>
            <sz val="9"/>
            <color rgb="FF000000"/>
            <rFont val="Tahoma"/>
            <family val="2"/>
          </rPr>
          <t xml:space="preserve">f. 60+Adelante (Envejecimiento y vejez)
</t>
        </r>
        <r>
          <rPr>
            <sz val="9"/>
            <color rgb="FF000000"/>
            <rFont val="Tahoma"/>
            <family val="2"/>
          </rPr>
          <t>z. Grupo etario sin definir</t>
        </r>
      </text>
    </comment>
    <comment ref="AT9" authorId="0" shapeId="0" xr:uid="{00000000-0006-0000-0300-000007000000}">
      <text>
        <r>
          <rPr>
            <b/>
            <sz val="10"/>
            <color rgb="FF000000"/>
            <rFont val="Tahoma"/>
            <family val="2"/>
          </rPr>
          <t>SPCI:</t>
        </r>
        <r>
          <rPr>
            <sz val="10"/>
            <color rgb="FF000000"/>
            <rFont val="Tahoma"/>
            <family val="2"/>
          </rPr>
          <t xml:space="preserve">
</t>
        </r>
        <r>
          <rPr>
            <sz val="10"/>
            <color rgb="FF000000"/>
            <rFont val="Tahoma"/>
            <family val="2"/>
          </rPr>
          <t>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1" shapeId="0" xr:uid="{00000000-0006-0000-0300-000008000000}">
      <text>
        <r>
          <rPr>
            <b/>
            <sz val="9"/>
            <color rgb="FF000000"/>
            <rFont val="Tahoma"/>
            <family val="2"/>
          </rPr>
          <t>YULIED.PENARANDA:</t>
        </r>
        <r>
          <rPr>
            <sz val="9"/>
            <color rgb="FF000000"/>
            <rFont val="Tahoma"/>
            <family val="2"/>
          </rPr>
          <t xml:space="preserve">
</t>
        </r>
        <r>
          <rPr>
            <sz val="9"/>
            <color rgb="FF000000"/>
            <rFont val="Tahoma"/>
            <family val="2"/>
          </rPr>
          <t xml:space="preserve">Afrocolombianos, palenqueros y negritudes
</t>
        </r>
        <r>
          <rPr>
            <sz val="9"/>
            <color rgb="FF000000"/>
            <rFont val="Tahoma"/>
            <family val="2"/>
          </rPr>
          <t xml:space="preserve">Indígenas
</t>
        </r>
        <r>
          <rPr>
            <sz val="9"/>
            <color rgb="FF000000"/>
            <rFont val="Tahoma"/>
            <family val="2"/>
          </rPr>
          <t xml:space="preserve">No identifica grupo étnicos
</t>
        </r>
        <r>
          <rPr>
            <sz val="9"/>
            <color rgb="FF000000"/>
            <rFont val="Tahoma"/>
            <family val="2"/>
          </rPr>
          <t xml:space="preserve">Otros grupos étnicos
</t>
        </r>
        <r>
          <rPr>
            <sz val="9"/>
            <color rgb="FF000000"/>
            <rFont val="Tahoma"/>
            <family val="2"/>
          </rPr>
          <t xml:space="preserve">ROM
</t>
        </r>
        <r>
          <rPr>
            <sz val="9"/>
            <color rgb="FF000000"/>
            <rFont val="Tahoma"/>
            <family val="2"/>
          </rPr>
          <t xml:space="preserve">Raizales
</t>
        </r>
      </text>
    </comment>
    <comment ref="AX9" authorId="0" shapeId="0" xr:uid="{00000000-0006-0000-0300-000009000000}">
      <text>
        <r>
          <rPr>
            <b/>
            <sz val="10"/>
            <color rgb="FF000000"/>
            <rFont val="Tahoma"/>
            <family val="2"/>
          </rPr>
          <t>SPCI:</t>
        </r>
        <r>
          <rPr>
            <sz val="10"/>
            <color rgb="FF000000"/>
            <rFont val="Tahoma"/>
            <family val="2"/>
          </rPr>
          <t xml:space="preserve">
</t>
        </r>
        <r>
          <rPr>
            <sz val="10"/>
            <color rgb="FF000000"/>
            <rFont val="Tahoma"/>
            <family val="2"/>
          </rPr>
          <t xml:space="preserve">Se relaciona con el seguimiento a la población de acuerdo a la magnitud de la meta.
</t>
        </r>
      </text>
    </comment>
    <comment ref="D10" authorId="1" shapeId="0" xr:uid="{00000000-0006-0000-0300-00000A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 authorId="1" shapeId="0" xr:uid="{00000000-0006-0000-0300-00000B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 authorId="1" shapeId="0" xr:uid="{00000000-0006-0000-0300-00000C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3" authorId="1" shapeId="0" xr:uid="{00000000-0006-0000-0300-00000D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14" authorId="1" shapeId="0" xr:uid="{00000000-0006-0000-0300-00000E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5" authorId="1" shapeId="0" xr:uid="{00000000-0006-0000-0300-00000F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6" authorId="1" shapeId="0" xr:uid="{00000000-0006-0000-0300-000010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7" authorId="1" shapeId="0" xr:uid="{00000000-0006-0000-0300-000011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8" authorId="1" shapeId="0" xr:uid="{00000000-0006-0000-0300-000012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9" authorId="1" shapeId="0" xr:uid="{00000000-0006-0000-0300-000013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20" authorId="1" shapeId="0" xr:uid="{00000000-0006-0000-0300-000014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1" authorId="1" shapeId="0" xr:uid="{00000000-0006-0000-0300-000015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22" authorId="1" shapeId="0" xr:uid="{00000000-0006-0000-0300-000016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23" authorId="1" shapeId="0" xr:uid="{00000000-0006-0000-0300-000017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24" authorId="1" shapeId="0" xr:uid="{00000000-0006-0000-0300-000018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25" authorId="1" shapeId="0" xr:uid="{00000000-0006-0000-0300-000019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26" authorId="1" shapeId="0" xr:uid="{00000000-0006-0000-0300-00001A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7" authorId="1" shapeId="0" xr:uid="{00000000-0006-0000-0300-00001B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28" authorId="1" shapeId="0" xr:uid="{00000000-0006-0000-0300-00001C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29" authorId="1" shapeId="0" xr:uid="{00000000-0006-0000-0300-00001D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30" authorId="1" shapeId="0" xr:uid="{00000000-0006-0000-0300-00001E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31" authorId="1" shapeId="0" xr:uid="{00000000-0006-0000-0300-00001F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32" authorId="1" shapeId="0" xr:uid="{00000000-0006-0000-0300-000020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33" authorId="1" shapeId="0" xr:uid="{00000000-0006-0000-0300-000021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34" authorId="1" shapeId="0" xr:uid="{00000000-0006-0000-0300-000022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35" authorId="1" shapeId="0" xr:uid="{00000000-0006-0000-0300-000023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36" authorId="1" shapeId="0" xr:uid="{00000000-0006-0000-0300-000024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37" authorId="1" shapeId="0" xr:uid="{00000000-0006-0000-0300-000025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38" authorId="1" shapeId="0" xr:uid="{00000000-0006-0000-0300-000026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39" authorId="1" shapeId="0" xr:uid="{00000000-0006-0000-0300-000027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40" authorId="1" shapeId="0" xr:uid="{00000000-0006-0000-0300-000028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41" authorId="1" shapeId="0" xr:uid="{00000000-0006-0000-0300-000029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42" authorId="1" shapeId="0" xr:uid="{00000000-0006-0000-0300-00002A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43" authorId="1" shapeId="0" xr:uid="{00000000-0006-0000-0300-00002B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44" authorId="1" shapeId="0" xr:uid="{00000000-0006-0000-0300-00002C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45" authorId="1" shapeId="0" xr:uid="{00000000-0006-0000-0300-00002D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46" authorId="1" shapeId="0" xr:uid="{00000000-0006-0000-0300-00002E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47" authorId="1" shapeId="0" xr:uid="{00000000-0006-0000-0300-00002F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48" authorId="1" shapeId="0" xr:uid="{00000000-0006-0000-0300-000030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49" authorId="1" shapeId="0" xr:uid="{00000000-0006-0000-0300-000031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50" authorId="1" shapeId="0" xr:uid="{00000000-0006-0000-0300-000032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51" authorId="1" shapeId="0" xr:uid="{00000000-0006-0000-0300-000033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52" authorId="1" shapeId="0" xr:uid="{00000000-0006-0000-0300-000034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53" authorId="1" shapeId="0" xr:uid="{00000000-0006-0000-0300-000035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54" authorId="1" shapeId="0" xr:uid="{00000000-0006-0000-0300-000036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55" authorId="1" shapeId="0" xr:uid="{00000000-0006-0000-0300-000037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56" authorId="1" shapeId="0" xr:uid="{00000000-0006-0000-0300-000038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57" authorId="1" shapeId="0" xr:uid="{00000000-0006-0000-0300-000039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58" authorId="1" shapeId="0" xr:uid="{00000000-0006-0000-0300-00003A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59" authorId="1" shapeId="0" xr:uid="{00000000-0006-0000-0300-00003B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60" authorId="1" shapeId="0" xr:uid="{00000000-0006-0000-0300-00003C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61" authorId="1" shapeId="0" xr:uid="{00000000-0006-0000-0300-00003D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62" authorId="1" shapeId="0" xr:uid="{00000000-0006-0000-0300-00003E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63" authorId="1" shapeId="0" xr:uid="{00000000-0006-0000-0300-00003F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64" authorId="1" shapeId="0" xr:uid="{00000000-0006-0000-0300-000040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65" authorId="1" shapeId="0" xr:uid="{00000000-0006-0000-0300-000041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66" authorId="1" shapeId="0" xr:uid="{00000000-0006-0000-0300-000042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67" authorId="1" shapeId="0" xr:uid="{00000000-0006-0000-0300-000043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68" authorId="1" shapeId="0" xr:uid="{00000000-0006-0000-0300-000044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69" authorId="1" shapeId="0" xr:uid="{00000000-0006-0000-0300-000045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70" authorId="1" shapeId="0" xr:uid="{00000000-0006-0000-0300-000046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71" authorId="1" shapeId="0" xr:uid="{00000000-0006-0000-0300-000047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72" authorId="1" shapeId="0" xr:uid="{00000000-0006-0000-0300-000048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73" authorId="1" shapeId="0" xr:uid="{00000000-0006-0000-0300-000049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74" authorId="1" shapeId="0" xr:uid="{00000000-0006-0000-0300-00004A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75" authorId="1" shapeId="0" xr:uid="{00000000-0006-0000-0300-00004B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76" authorId="1" shapeId="0" xr:uid="{00000000-0006-0000-0300-00004C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77" authorId="1" shapeId="0" xr:uid="{00000000-0006-0000-0300-00004D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78" authorId="1" shapeId="0" xr:uid="{00000000-0006-0000-0300-00004E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79" authorId="1" shapeId="0" xr:uid="{00000000-0006-0000-0300-00004F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80" authorId="1" shapeId="0" xr:uid="{00000000-0006-0000-0300-000050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81" authorId="1" shapeId="0" xr:uid="{00000000-0006-0000-0300-000051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82" authorId="1" shapeId="0" xr:uid="{00000000-0006-0000-0300-000052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83" authorId="1" shapeId="0" xr:uid="{00000000-0006-0000-0300-000053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84" authorId="1" shapeId="0" xr:uid="{00000000-0006-0000-0300-000054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85" authorId="1" shapeId="0" xr:uid="{00000000-0006-0000-0300-000055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86" authorId="1" shapeId="0" xr:uid="{00000000-0006-0000-0300-000056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87" authorId="1" shapeId="0" xr:uid="{00000000-0006-0000-0300-000057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88" authorId="1" shapeId="0" xr:uid="{00000000-0006-0000-0300-000058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89" authorId="1" shapeId="0" xr:uid="{00000000-0006-0000-0300-000059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90" authorId="1" shapeId="0" xr:uid="{00000000-0006-0000-0300-00005A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91" authorId="1" shapeId="0" xr:uid="{00000000-0006-0000-0300-00005B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92" authorId="1" shapeId="0" xr:uid="{00000000-0006-0000-0300-00005C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93" authorId="1" shapeId="0" xr:uid="{00000000-0006-0000-0300-00005D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94" authorId="1" shapeId="0" xr:uid="{00000000-0006-0000-0300-00005E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95" authorId="1" shapeId="0" xr:uid="{00000000-0006-0000-0300-00005F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96" authorId="1" shapeId="0" xr:uid="{00000000-0006-0000-0300-000060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97" authorId="1" shapeId="0" xr:uid="{00000000-0006-0000-0300-000061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98" authorId="1" shapeId="0" xr:uid="{00000000-0006-0000-0300-000062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99" authorId="1" shapeId="0" xr:uid="{00000000-0006-0000-0300-000063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00" authorId="1" shapeId="0" xr:uid="{00000000-0006-0000-0300-000064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01" authorId="1" shapeId="0" xr:uid="{00000000-0006-0000-0300-000065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02" authorId="1" shapeId="0" xr:uid="{00000000-0006-0000-0300-000066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03" authorId="1" shapeId="0" xr:uid="{00000000-0006-0000-0300-000067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104" authorId="1" shapeId="0" xr:uid="{00000000-0006-0000-0300-000068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05" authorId="1" shapeId="0" xr:uid="{00000000-0006-0000-0300-000069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06" authorId="1" shapeId="0" xr:uid="{00000000-0006-0000-0300-00006A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07" authorId="1" shapeId="0" xr:uid="{00000000-0006-0000-0300-00006B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08" authorId="1" shapeId="0" xr:uid="{00000000-0006-0000-0300-00006C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09" authorId="1" shapeId="0" xr:uid="{00000000-0006-0000-0300-00006D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110" authorId="1" shapeId="0" xr:uid="{00000000-0006-0000-0300-00006E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11" authorId="1" shapeId="0" xr:uid="{00000000-0006-0000-0300-00006F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12" authorId="1" shapeId="0" xr:uid="{00000000-0006-0000-0300-000070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3" authorId="1" shapeId="0" xr:uid="{00000000-0006-0000-0300-000071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14" authorId="1" shapeId="0" xr:uid="{00000000-0006-0000-0300-000072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15" authorId="1" shapeId="0" xr:uid="{00000000-0006-0000-0300-000073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116" authorId="1" shapeId="0" xr:uid="{00000000-0006-0000-0300-000074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17" authorId="1" shapeId="0" xr:uid="{00000000-0006-0000-0300-000075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18" authorId="1" shapeId="0" xr:uid="{00000000-0006-0000-0300-000076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9" authorId="1" shapeId="0" xr:uid="{00000000-0006-0000-0300-000077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0" authorId="1" shapeId="0" xr:uid="{00000000-0006-0000-0300-000078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21" authorId="1" shapeId="0" xr:uid="{00000000-0006-0000-0300-000079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122" authorId="1" shapeId="0" xr:uid="{00000000-0006-0000-0300-00007A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23" authorId="1" shapeId="0" xr:uid="{00000000-0006-0000-0300-00007B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24" authorId="1" shapeId="0" xr:uid="{00000000-0006-0000-0300-00007C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BC124" authorId="2" shapeId="0" xr:uid="{EB5EF419-806B-4549-B3CD-B532ED72CE3B}">
      <text>
        <r>
          <rPr>
            <b/>
            <sz val="9"/>
            <color rgb="FF000000"/>
            <rFont val="Tahoma"/>
            <family val="2"/>
          </rPr>
          <t>NYDIA.OVALLE:</t>
        </r>
        <r>
          <rPr>
            <sz val="9"/>
            <color rgb="FF000000"/>
            <rFont val="Tahoma"/>
            <family val="2"/>
          </rPr>
          <t xml:space="preserve">
</t>
        </r>
        <r>
          <rPr>
            <sz val="9"/>
            <color rgb="FF000000"/>
            <rFont val="Tahoma"/>
            <family val="2"/>
          </rPr>
          <t>Reporte erroneo en el mes de junio por datos duplicados al interior del grupo de alcantarillado</t>
        </r>
      </text>
    </comment>
    <comment ref="D125" authorId="1" shapeId="0" xr:uid="{00000000-0006-0000-0300-00007D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BC125" authorId="2" shapeId="0" xr:uid="{18D32452-FDE6-D34A-8E88-1065E2A2DBE9}">
      <text>
        <r>
          <rPr>
            <b/>
            <sz val="9"/>
            <color rgb="FF000000"/>
            <rFont val="Tahoma"/>
            <family val="2"/>
          </rPr>
          <t>NYDIA.OVALLE:</t>
        </r>
        <r>
          <rPr>
            <sz val="9"/>
            <color rgb="FF000000"/>
            <rFont val="Tahoma"/>
            <family val="2"/>
          </rPr>
          <t xml:space="preserve">
</t>
        </r>
        <r>
          <rPr>
            <sz val="9"/>
            <color rgb="FF000000"/>
            <rFont val="Tahoma"/>
            <family val="2"/>
          </rPr>
          <t>Todos los meses los recursos de la distribución especial se redistribuyen en la medida que se establecen las localidades donde se ejecutan las acciones</t>
        </r>
      </text>
    </comment>
    <comment ref="D126" authorId="1" shapeId="0" xr:uid="{00000000-0006-0000-0300-00007E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27" authorId="1" shapeId="0" xr:uid="{00000000-0006-0000-0300-00007F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128" authorId="1" shapeId="0" xr:uid="{00000000-0006-0000-0300-000080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29" authorId="1" shapeId="0" xr:uid="{00000000-0006-0000-0300-000081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30" authorId="1" shapeId="0" xr:uid="{00000000-0006-0000-0300-000082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31" authorId="1" shapeId="0" xr:uid="{00000000-0006-0000-0300-000083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32" authorId="1" shapeId="0" xr:uid="{00000000-0006-0000-0300-000084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33" authorId="1" shapeId="0" xr:uid="{00000000-0006-0000-0300-000085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134" authorId="1" shapeId="0" xr:uid="{00000000-0006-0000-0300-000086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35" authorId="1" shapeId="0" xr:uid="{00000000-0006-0000-0300-000087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36" authorId="1" shapeId="0" xr:uid="{00000000-0006-0000-0300-000088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37" authorId="1" shapeId="0" xr:uid="{00000000-0006-0000-0300-000089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38" authorId="1" shapeId="0" xr:uid="{00000000-0006-0000-0300-00008A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39" authorId="1" shapeId="0" xr:uid="{00000000-0006-0000-0300-00008B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140" authorId="1" shapeId="0" xr:uid="{00000000-0006-0000-0300-00008C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41" authorId="1" shapeId="0" xr:uid="{00000000-0006-0000-0300-00008D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42" authorId="1" shapeId="0" xr:uid="{00000000-0006-0000-0300-00008E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43" authorId="1" shapeId="0" xr:uid="{00000000-0006-0000-0300-00008F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44" authorId="1" shapeId="0" xr:uid="{00000000-0006-0000-0300-000090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45" authorId="1" shapeId="0" xr:uid="{00000000-0006-0000-0300-000091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146" authorId="1" shapeId="0" xr:uid="{00000000-0006-0000-0300-000092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47" authorId="1" shapeId="0" xr:uid="{00000000-0006-0000-0300-000093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2"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3" authorId="0" shapeId="0" xr:uid="{00000000-0006-0000-0400-000012000000}">
      <text>
        <r>
          <rPr>
            <b/>
            <sz val="9"/>
            <color indexed="81"/>
            <rFont val="Tahoma"/>
            <family val="2"/>
          </rPr>
          <t>YULIED.PENARANDA:</t>
        </r>
        <r>
          <rPr>
            <sz val="9"/>
            <color indexed="81"/>
            <rFont val="Tahoma"/>
            <family val="2"/>
          </rPr>
          <t xml:space="preserve">
Vigencia a reportar</t>
        </r>
      </text>
    </comment>
    <comment ref="C33"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3"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3"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3" authorId="0" shapeId="0" xr:uid="{00000000-0006-0000-0400-000016000000}">
      <text>
        <r>
          <rPr>
            <b/>
            <sz val="9"/>
            <color indexed="81"/>
            <rFont val="Tahoma"/>
            <family val="2"/>
          </rPr>
          <t>YULIED.PENARANDA:</t>
        </r>
        <r>
          <rPr>
            <sz val="9"/>
            <color indexed="81"/>
            <rFont val="Tahoma"/>
            <family val="2"/>
          </rPr>
          <t xml:space="preserve">
Corresponde al pago </t>
        </r>
      </text>
    </comment>
    <comment ref="G33"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7"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8" authorId="0" shapeId="0" xr:uid="{00000000-0006-0000-0400-000019000000}">
      <text>
        <r>
          <rPr>
            <b/>
            <sz val="9"/>
            <color indexed="81"/>
            <rFont val="Tahoma"/>
            <family val="2"/>
          </rPr>
          <t>YULIED.PENARANDA:</t>
        </r>
        <r>
          <rPr>
            <sz val="9"/>
            <color indexed="81"/>
            <rFont val="Tahoma"/>
            <family val="2"/>
          </rPr>
          <t xml:space="preserve">
Vigencia a reportar</t>
        </r>
      </text>
    </comment>
    <comment ref="C48"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8"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8"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8" authorId="0" shapeId="0" xr:uid="{00000000-0006-0000-0400-00001D000000}">
      <text>
        <r>
          <rPr>
            <b/>
            <sz val="9"/>
            <color indexed="81"/>
            <rFont val="Tahoma"/>
            <family val="2"/>
          </rPr>
          <t>YULIED.PENARANDA:</t>
        </r>
        <r>
          <rPr>
            <sz val="9"/>
            <color indexed="81"/>
            <rFont val="Tahoma"/>
            <family val="2"/>
          </rPr>
          <t xml:space="preserve">
Corresponde al pago </t>
        </r>
      </text>
    </comment>
    <comment ref="G48"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400-000020000000}">
      <text>
        <r>
          <rPr>
            <b/>
            <sz val="9"/>
            <color indexed="81"/>
            <rFont val="Tahoma"/>
            <family val="2"/>
          </rPr>
          <t>YULIED.PENARANDA:</t>
        </r>
        <r>
          <rPr>
            <sz val="9"/>
            <color indexed="81"/>
            <rFont val="Tahoma"/>
            <family val="2"/>
          </rPr>
          <t xml:space="preserve">
Vigencia a reportar</t>
        </r>
      </text>
    </comment>
    <comment ref="C63"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400-000024000000}">
      <text>
        <r>
          <rPr>
            <b/>
            <sz val="9"/>
            <color indexed="81"/>
            <rFont val="Tahoma"/>
            <family val="2"/>
          </rPr>
          <t>YULIED.PENARANDA:</t>
        </r>
        <r>
          <rPr>
            <sz val="9"/>
            <color indexed="81"/>
            <rFont val="Tahoma"/>
            <family val="2"/>
          </rPr>
          <t xml:space="preserve">
Corresponde al pago </t>
        </r>
      </text>
    </comment>
    <comment ref="G63"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8" authorId="0" shapeId="0" xr:uid="{00000000-0006-0000-0400-000027000000}">
      <text>
        <r>
          <rPr>
            <b/>
            <sz val="9"/>
            <color indexed="81"/>
            <rFont val="Tahoma"/>
            <family val="2"/>
          </rPr>
          <t>YULIED.PENARANDA:</t>
        </r>
        <r>
          <rPr>
            <sz val="9"/>
            <color indexed="81"/>
            <rFont val="Tahoma"/>
            <family val="2"/>
          </rPr>
          <t xml:space="preserve">
Vigencia a reportar</t>
        </r>
      </text>
    </comment>
    <comment ref="B78"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8"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8" authorId="0" shapeId="0" xr:uid="{00000000-0006-0000-0400-00002A000000}">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E78"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8"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8"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8"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3"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4" authorId="0" shapeId="0" xr:uid="{00000000-0006-0000-0400-000030000000}">
      <text>
        <r>
          <rPr>
            <b/>
            <sz val="9"/>
            <color indexed="81"/>
            <rFont val="Tahoma"/>
            <family val="2"/>
          </rPr>
          <t>YULIED.PENARANDA:</t>
        </r>
        <r>
          <rPr>
            <sz val="9"/>
            <color indexed="81"/>
            <rFont val="Tahoma"/>
            <family val="2"/>
          </rPr>
          <t xml:space="preserve">
Vigencia a reportar</t>
        </r>
      </text>
    </comment>
    <comment ref="B94"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4"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4"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4"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4"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4"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4"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09"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0" authorId="0" shapeId="0" xr:uid="{00000000-0006-0000-0400-000039000000}">
      <text>
        <r>
          <rPr>
            <b/>
            <sz val="9"/>
            <color indexed="81"/>
            <rFont val="Tahoma"/>
            <family val="2"/>
          </rPr>
          <t>YULIED.PENARANDA:</t>
        </r>
        <r>
          <rPr>
            <sz val="9"/>
            <color indexed="81"/>
            <rFont val="Tahoma"/>
            <family val="2"/>
          </rPr>
          <t xml:space="preserve">
Vigencia a reportar</t>
        </r>
      </text>
    </comment>
    <comment ref="B110"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0"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0"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0"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0"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0"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0"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24"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5" authorId="0" shapeId="0" xr:uid="{00000000-0006-0000-0400-000042000000}">
      <text>
        <r>
          <rPr>
            <b/>
            <sz val="9"/>
            <color indexed="81"/>
            <rFont val="Tahoma"/>
            <family val="2"/>
          </rPr>
          <t>YULIED.PENARANDA:</t>
        </r>
        <r>
          <rPr>
            <sz val="9"/>
            <color indexed="81"/>
            <rFont val="Tahoma"/>
            <family val="2"/>
          </rPr>
          <t xml:space="preserve">
Vigencia a reportar</t>
        </r>
      </text>
    </comment>
    <comment ref="B125"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5"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5"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5"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5"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5"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5"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39" authorId="0" shapeId="0" xr:uid="{4A9CA412-47B7-4430-9619-FBE6D2DA2A09}">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40" authorId="0" shapeId="0" xr:uid="{E885B2EB-F9BA-482C-9B60-B716D38A21C4}">
      <text>
        <r>
          <rPr>
            <b/>
            <sz val="9"/>
            <color indexed="81"/>
            <rFont val="Tahoma"/>
            <family val="2"/>
          </rPr>
          <t>YULIED.PENARANDA:</t>
        </r>
        <r>
          <rPr>
            <sz val="9"/>
            <color indexed="81"/>
            <rFont val="Tahoma"/>
            <family val="2"/>
          </rPr>
          <t xml:space="preserve">
Vigencia a reportar</t>
        </r>
      </text>
    </comment>
    <comment ref="B140" authorId="0" shapeId="0" xr:uid="{3B135E25-0068-4DEB-98ED-90CA6CDE69F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0" authorId="0" shapeId="0" xr:uid="{C9386E27-DE4C-495C-8EF8-D702D033BD0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40" authorId="0" shapeId="0" xr:uid="{EDB9BD10-AEE3-46C1-AC54-B20221F3C5AD}">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G140" authorId="0" shapeId="0" xr:uid="{515B7882-1095-4E28-ABD3-5F235BA64055}">
      <text>
        <r>
          <rPr>
            <b/>
            <sz val="9"/>
            <color indexed="81"/>
            <rFont val="Tahoma"/>
            <family val="2"/>
          </rPr>
          <t>YULIED.PENARANDA:</t>
        </r>
        <r>
          <rPr>
            <sz val="9"/>
            <color indexed="81"/>
            <rFont val="Tahoma"/>
            <family val="2"/>
          </rPr>
          <t xml:space="preserve">
Descripción concreta del avance, máximo de caracteres 200</t>
        </r>
      </text>
    </comment>
    <comment ref="A168" authorId="0" shapeId="0" xr:uid="{00000000-0006-0000-0400-00004A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9" authorId="0" shapeId="0" xr:uid="{00000000-0006-0000-0400-00004B000000}">
      <text>
        <r>
          <rPr>
            <b/>
            <sz val="9"/>
            <color indexed="81"/>
            <rFont val="Tahoma"/>
            <family val="2"/>
          </rPr>
          <t>YULIED.PENARANDA:</t>
        </r>
        <r>
          <rPr>
            <sz val="9"/>
            <color indexed="81"/>
            <rFont val="Tahoma"/>
            <family val="2"/>
          </rPr>
          <t xml:space="preserve">
Vigencia a reportar</t>
        </r>
      </text>
    </comment>
    <comment ref="B169"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9"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9" authorId="0" shapeId="0" xr:uid="{00000000-0006-0000-0400-00004E000000}">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G169" authorId="0" shapeId="0" xr:uid="{00000000-0006-0000-0400-00004F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400-000050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9" authorId="0" shapeId="0" xr:uid="{00000000-0006-0000-0400-000051000000}">
      <text>
        <r>
          <rPr>
            <b/>
            <sz val="9"/>
            <color indexed="81"/>
            <rFont val="Tahoma"/>
            <family val="2"/>
          </rPr>
          <t>YULIED.PENARANDA:</t>
        </r>
        <r>
          <rPr>
            <sz val="9"/>
            <color indexed="81"/>
            <rFont val="Tahoma"/>
            <family val="2"/>
          </rPr>
          <t xml:space="preserve">
Vigencia a reportar</t>
        </r>
      </text>
    </comment>
    <comment ref="B209" authorId="0" shapeId="0" xr:uid="{00000000-0006-0000-0400-00005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400-00005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9" authorId="0" shapeId="0" xr:uid="{00000000-0006-0000-0400-00005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9" authorId="0" shapeId="0" xr:uid="{00000000-0006-0000-0400-000055000000}">
      <text>
        <r>
          <rPr>
            <b/>
            <sz val="9"/>
            <color indexed="81"/>
            <rFont val="Tahoma"/>
            <family val="2"/>
          </rPr>
          <t>YULIED.PENARANDA:</t>
        </r>
        <r>
          <rPr>
            <sz val="9"/>
            <color indexed="81"/>
            <rFont val="Tahoma"/>
            <family val="2"/>
          </rPr>
          <t xml:space="preserve">
Descripción concreta del avance, máximo de caracteres 200</t>
        </r>
      </text>
    </comment>
    <comment ref="A248" authorId="0" shapeId="0" xr:uid="{00000000-0006-0000-0400-00005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9" authorId="0" shapeId="0" xr:uid="{00000000-0006-0000-0400-000057000000}">
      <text>
        <r>
          <rPr>
            <b/>
            <sz val="9"/>
            <color indexed="81"/>
            <rFont val="Tahoma"/>
            <family val="2"/>
          </rPr>
          <t>YULIED.PENARANDA:</t>
        </r>
        <r>
          <rPr>
            <sz val="9"/>
            <color indexed="81"/>
            <rFont val="Tahoma"/>
            <family val="2"/>
          </rPr>
          <t xml:space="preserve">
Vigencia a reportar</t>
        </r>
      </text>
    </comment>
    <comment ref="B249" authorId="0" shapeId="0" xr:uid="{00000000-0006-0000-0400-00005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9" authorId="0" shapeId="0" xr:uid="{00000000-0006-0000-0400-00005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9" authorId="0" shapeId="0" xr:uid="{00000000-0006-0000-0400-00005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9" authorId="0" shapeId="0" xr:uid="{00000000-0006-0000-0400-00005B000000}">
      <text>
        <r>
          <rPr>
            <b/>
            <sz val="9"/>
            <color indexed="81"/>
            <rFont val="Tahoma"/>
            <family val="2"/>
          </rPr>
          <t>YULIED.PENARANDA:</t>
        </r>
        <r>
          <rPr>
            <sz val="9"/>
            <color indexed="81"/>
            <rFont val="Tahoma"/>
            <family val="2"/>
          </rPr>
          <t xml:space="preserve">
Descripción concreta del avance, máximo de caracteres 200</t>
        </r>
      </text>
    </comment>
    <comment ref="A287" authorId="0" shapeId="0" xr:uid="{DE29E030-AD34-44F1-99C0-FE10154701D5}">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8" authorId="0" shapeId="0" xr:uid="{1FD59F12-92C4-47F6-9D65-6FDA799BEB5C}">
      <text>
        <r>
          <rPr>
            <b/>
            <sz val="9"/>
            <color indexed="81"/>
            <rFont val="Tahoma"/>
            <family val="2"/>
          </rPr>
          <t>YULIED.PENARANDA:</t>
        </r>
        <r>
          <rPr>
            <sz val="9"/>
            <color indexed="81"/>
            <rFont val="Tahoma"/>
            <family val="2"/>
          </rPr>
          <t xml:space="preserve">
Vigencia a reportar</t>
        </r>
      </text>
    </comment>
    <comment ref="B288" authorId="0" shapeId="0" xr:uid="{EFEE4EC6-390D-4008-B495-955E0FEBDCF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C1F8CC9E-7766-432B-925B-6F7EA07A0AD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ECA800DC-EC7F-41DE-83FC-22331857445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A3AA5FFF-2C1F-4312-B496-26B899449A6D}">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400-00005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8" authorId="0" shapeId="0" xr:uid="{00000000-0006-0000-0400-00005D000000}">
      <text>
        <r>
          <rPr>
            <b/>
            <sz val="9"/>
            <color indexed="81"/>
            <rFont val="Tahoma"/>
            <family val="2"/>
          </rPr>
          <t>YULIED.PENARANDA:</t>
        </r>
        <r>
          <rPr>
            <sz val="9"/>
            <color indexed="81"/>
            <rFont val="Tahoma"/>
            <family val="2"/>
          </rPr>
          <t xml:space="preserve">
Vigencia a reportar</t>
        </r>
      </text>
    </comment>
    <comment ref="B308" authorId="0" shapeId="0" xr:uid="{00000000-0006-0000-0400-00005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8" authorId="0" shapeId="0" xr:uid="{00000000-0006-0000-0400-00005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8" authorId="0" shapeId="0" xr:uid="{00000000-0006-0000-0400-00006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8" authorId="0" shapeId="0" xr:uid="{00000000-0006-0000-0400-000061000000}">
      <text>
        <r>
          <rPr>
            <b/>
            <sz val="9"/>
            <color indexed="81"/>
            <rFont val="Tahoma"/>
            <family val="2"/>
          </rPr>
          <t>YULIED.PENARANDA:</t>
        </r>
        <r>
          <rPr>
            <sz val="9"/>
            <color indexed="81"/>
            <rFont val="Tahoma"/>
            <family val="2"/>
          </rPr>
          <t xml:space="preserve">
Descripción concreta del avance, máximo de caracteres 200</t>
        </r>
      </text>
    </comment>
    <comment ref="A324" authorId="0" shapeId="0" xr:uid="{00000000-0006-0000-0400-00006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5" authorId="0" shapeId="0" xr:uid="{00000000-0006-0000-0400-000063000000}">
      <text>
        <r>
          <rPr>
            <b/>
            <sz val="9"/>
            <color indexed="81"/>
            <rFont val="Tahoma"/>
            <family val="2"/>
          </rPr>
          <t>YULIED.PENARANDA:</t>
        </r>
        <r>
          <rPr>
            <sz val="9"/>
            <color indexed="81"/>
            <rFont val="Tahoma"/>
            <family val="2"/>
          </rPr>
          <t xml:space="preserve">
Vigencia a reportar</t>
        </r>
      </text>
    </comment>
    <comment ref="B325" authorId="0" shapeId="0" xr:uid="{00000000-0006-0000-0400-00006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5" authorId="0" shapeId="0" xr:uid="{00000000-0006-0000-0400-00006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5" authorId="0" shapeId="0" xr:uid="{00000000-0006-0000-0400-00006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5" authorId="0" shapeId="0" xr:uid="{00000000-0006-0000-0400-000067000000}">
      <text>
        <r>
          <rPr>
            <b/>
            <sz val="9"/>
            <color indexed="81"/>
            <rFont val="Tahoma"/>
            <family val="2"/>
          </rPr>
          <t>YULIED.PENARANDA:</t>
        </r>
        <r>
          <rPr>
            <sz val="9"/>
            <color indexed="81"/>
            <rFont val="Tahoma"/>
            <family val="2"/>
          </rPr>
          <t xml:space="preserve">
Descripción concreta del avance, máximo de caracteres 200</t>
        </r>
      </text>
    </comment>
    <comment ref="A339" authorId="0" shapeId="0" xr:uid="{00000000-0006-0000-0400-00006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0" authorId="0" shapeId="0" xr:uid="{00000000-0006-0000-0400-000069000000}">
      <text>
        <r>
          <rPr>
            <b/>
            <sz val="9"/>
            <color indexed="81"/>
            <rFont val="Tahoma"/>
            <family val="2"/>
          </rPr>
          <t>YULIED.PENARANDA:</t>
        </r>
        <r>
          <rPr>
            <sz val="9"/>
            <color indexed="81"/>
            <rFont val="Tahoma"/>
            <family val="2"/>
          </rPr>
          <t xml:space="preserve">
Vigencia a reportar</t>
        </r>
      </text>
    </comment>
    <comment ref="B340" authorId="0" shapeId="0" xr:uid="{00000000-0006-0000-0400-00006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0" authorId="0" shapeId="0" xr:uid="{00000000-0006-0000-0400-00006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0" authorId="0" shapeId="0" xr:uid="{00000000-0006-0000-0400-00006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0" authorId="0" shapeId="0" xr:uid="{00000000-0006-0000-0400-00006D000000}">
      <text>
        <r>
          <rPr>
            <b/>
            <sz val="9"/>
            <color indexed="81"/>
            <rFont val="Tahoma"/>
            <family val="2"/>
          </rPr>
          <t>YULIED.PENARANDA:</t>
        </r>
        <r>
          <rPr>
            <sz val="9"/>
            <color indexed="81"/>
            <rFont val="Tahoma"/>
            <family val="2"/>
          </rPr>
          <t xml:space="preserve">
Descripción concreta del avance, máximo de caracteres 200</t>
        </r>
      </text>
    </comment>
    <comment ref="A354" authorId="0" shapeId="0" xr:uid="{00000000-0006-0000-0400-00006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5" authorId="0" shapeId="0" xr:uid="{00000000-0006-0000-0400-00006F000000}">
      <text>
        <r>
          <rPr>
            <b/>
            <sz val="9"/>
            <color indexed="81"/>
            <rFont val="Tahoma"/>
            <family val="2"/>
          </rPr>
          <t>YULIED.PENARANDA:</t>
        </r>
        <r>
          <rPr>
            <sz val="9"/>
            <color indexed="81"/>
            <rFont val="Tahoma"/>
            <family val="2"/>
          </rPr>
          <t xml:space="preserve">
Vigencia a reportar</t>
        </r>
      </text>
    </comment>
    <comment ref="B355" authorId="0" shapeId="0" xr:uid="{00000000-0006-0000-0400-00007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5" authorId="0" shapeId="0" xr:uid="{00000000-0006-0000-0400-000071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5" authorId="0" shapeId="0" xr:uid="{00000000-0006-0000-0400-000072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5" authorId="0" shapeId="0" xr:uid="{00000000-0006-0000-0400-000073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<sst xmlns="http://schemas.openxmlformats.org/spreadsheetml/2006/main" count="3250" uniqueCount="769">
  <si>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</si>
  <si>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</si>
  <si>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</si>
  <si>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</si>
  <si>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</si>
  <si>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</si>
  <si>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</si>
  <si>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</si>
  <si>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</si>
  <si>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</si>
  <si>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</si>
  <si>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</si>
  <si>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</si>
  <si>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</si>
  <si>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</si>
  <si>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</si>
  <si>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</si>
  <si>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</si>
  <si>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</si>
  <si>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</si>
  <si>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</si>
  <si>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</si>
  <si>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</si>
  <si>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</si>
  <si>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</si>
  <si>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</si>
  <si>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</si>
  <si>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</si>
  <si>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</si>
  <si>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</si>
  <si>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</si>
  <si>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</si>
  <si>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</si>
  <si>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</si>
  <si>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</si>
  <si>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</si>
  <si>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</si>
  <si>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</si>
  <si>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</si>
  <si>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</si>
  <si>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</si>
  <si>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</si>
  <si>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</si>
  <si>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</si>
  <si>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</si>
  <si>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</si>
  <si>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</si>
  <si>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</si>
  <si>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</si>
  <si>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</si>
  <si>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</si>
  <si>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</si>
  <si>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</si>
  <si>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</si>
  <si>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</si>
  <si>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</si>
  <si>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</si>
  <si>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</si>
  <si>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</si>
  <si>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</si>
  <si>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</si>
  <si>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</si>
  <si>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</si>
  <si>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</si>
  <si>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</si>
  <si>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</si>
  <si>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</si>
  <si>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</si>
  <si>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</si>
  <si>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</si>
  <si>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</si>
  <si>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</si>
  <si>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</si>
  <si>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</si>
  <si>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</si>
  <si>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</si>
  <si>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</si>
  <si>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</si>
  <si>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</si>
  <si>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</si>
  <si>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</si>
  <si>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</si>
  <si>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</si>
  <si>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</si>
  <si>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</si>
  <si>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</si>
  <si>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</si>
  <si>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</si>
  <si>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</si>
  <si>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</si>
  <si>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</si>
  <si>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</si>
  <si>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</si>
  <si>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</si>
  <si>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</si>
  <si>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</si>
  <si>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</si>
  <si>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</si>
  <si>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</si>
  <si>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</si>
  <si>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</si>
  <si>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</si>
  <si>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</si>
  <si>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</si>
  <si>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</si>
  <si>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</si>
  <si>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</si>
  <si>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</si>
  <si>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</si>
  <si>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</si>
  <si>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</si>
  <si>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</si>
  <si>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</si>
  <si>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</si>
  <si>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</si>
  <si>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</si>
  <si>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</si>
  <si>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</si>
  <si>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</si>
  <si>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</si>
  <si>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</si>
  <si>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</si>
  <si>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</si>
  <si>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</si>
  <si>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</si>
  <si>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</si>
  <si>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</si>
  <si>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</si>
  <si>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</si>
  <si>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</si>
  <si>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</si>
  <si>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</si>
  <si>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</si>
  <si>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</si>
  <si>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</si>
  <si>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</si>
  <si>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</si>
  <si>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</si>
  <si>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</si>
  <si>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</si>
  <si>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</si>
  <si>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</si>
  <si>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</si>
  <si>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</si>
  <si>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</si>
  <si>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</si>
  <si>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</si>
  <si>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</si>
  <si>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</si>
  <si>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</si>
  <si>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</si>
  <si>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</si>
  <si>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</si>
  <si>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</si>
  <si>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</si>
  <si>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</si>
  <si>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</si>
  <si>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</si>
  <si>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</si>
  <si>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</si>
  <si>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</si>
  <si>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</si>
  <si>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</si>
  <si>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</si>
  <si>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</si>
  <si>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</si>
  <si>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</si>
  <si>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</si>
  <si>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</si>
  <si>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</si>
  <si>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</si>
  <si>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</si>
  <si>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</si>
  <si>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</si>
  <si>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</si>
  <si>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</si>
  <si>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</si>
  <si>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</si>
  <si>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</si>
  <si>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</si>
  <si>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</si>
  <si>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</si>
  <si>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</si>
  <si>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</si>
  <si>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</si>
  <si>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</si>
  <si>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</si>
  <si>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</si>
  <si>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</si>
  <si>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</si>
  <si>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</si>
  <si>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</si>
  <si>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</si>
  <si>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</si>
  <si>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</si>
  <si>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</si>
  <si>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</si>
  <si>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</si>
  <si>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</si>
  <si>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</si>
  <si>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</si>
  <si>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</si>
  <si>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</si>
  <si>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</si>
  <si>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</si>
  <si>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</si>
  <si>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</si>
  <si>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</si>
  <si>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</si>
  <si>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</si>
  <si>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</si>
  <si>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</si>
  <si>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</si>
  <si>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</si>
  <si>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</si>
  <si>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</si>
  <si>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</si>
  <si>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</si>
  <si>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</si>
  <si>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</si>
  <si>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</si>
  <si>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</si>
  <si>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</si>
  <si>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</si>
  <si>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</si>
  <si>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</si>
  <si>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</si>
  <si>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</si>
  <si>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</si>
  <si>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</si>
  <si>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</si>
  <si>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</si>
  <si>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</si>
  <si>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</si>
  <si>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</si>
  <si>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</si>
  <si>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</si>
  <si>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</si>
  <si>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</si>
  <si>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</si>
  <si>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</si>
  <si>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</si>
  <si>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</si>
  <si>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</si>
  <si>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</si>
  <si>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</si>
  <si>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</si>
  <si>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</si>
  <si>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</si>
  <si>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</si>
  <si>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</si>
  <si>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</si>
  <si>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</si>
  <si>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</si>
  <si>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</si>
  <si>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</si>
  <si>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</si>
  <si>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</si>
  <si>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</si>
  <si>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</si>
  <si>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</si>
  <si>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</si>
  <si>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</si>
  <si>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</si>
  <si>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</si>
  <si>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</si>
  <si>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</si>
  <si>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</si>
  <si>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</si>
  <si>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</si>
  <si>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</si>
  <si>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</si>
  <si>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</si>
  <si>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</si>
  <si>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</si>
  <si>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</si>
  <si>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</si>
  <si>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</si>
  <si>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</si>
  <si>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</si>
  <si>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</si>
  <si>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</si>
  <si>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</si>
  <si>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</si>
  <si>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</si>
  <si>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</si>
  <si>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</si>
  <si>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</si>
  <si>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</si>
  <si>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</si>
  <si>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</si>
  <si>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</si>
  <si>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</si>
  <si>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</si>
  <si>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</si>
  <si>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</si>
  <si>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</si>
  <si>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</si>
  <si>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</si>
  <si>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</si>
  <si>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</si>
  <si>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</si>
  <si>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</si>
  <si>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</si>
  <si>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</si>
  <si>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</si>
  <si>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PROGRAMADO ACUMULADO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</si>
  <si>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</si>
  <si>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</si>
  <si>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</si>
  <si>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</si>
  <si>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</si>
  <si>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</si>
  <si>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</si>
  <si>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</si>
  <si>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</si>
  <si>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</si>
  <si>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</si>
  <si>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</si>
  <si>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</si>
  <si>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</si>
  <si>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</si>
  <si>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</si>
  <si>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</si>
  <si>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</si>
  <si>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</si>
  <si>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</si>
  <si>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</si>
  <si>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</si>
  <si>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</si>
  <si>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</si>
  <si>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</si>
  <si>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</si>
  <si>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</si>
  <si>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</si>
  <si>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</si>
  <si>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</si>
  <si>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</si>
  <si>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</si>
  <si>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</si>
  <si>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</si>
  <si>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</si>
  <si>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</si>
  <si>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</si>
  <si>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</si>
  <si>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</si>
  <si>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</si>
  <si>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</si>
  <si>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</si>
  <si>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</si>
  <si>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</si>
  <si>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</si>
  <si>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</si>
  <si>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</si>
  <si>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</si>
  <si>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</si>
  <si>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</si>
  <si>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</si>
  <si>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</si>
  <si>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</si>
  <si>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</si>
  <si>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</si>
  <si>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</si>
  <si>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Versión: 14</t>
  </si>
  <si>
    <t>Controlar la disposición adecuada 43.000.000 de toneladas y promover el aprovechamiento de 11.000.000 de toneladas de residuos peligrosos, especiales y de manejo diferenciado</t>
  </si>
  <si>
    <t>Número de toneladas de residuos peligrosos, ordinarios, especiales y/o de manejo diferenciado controlados adecuadamente.</t>
  </si>
  <si>
    <t>Número de toneladas de residuos peligrosos, ordinarios, especiales y/o de manejo diferenciado aprovechados</t>
  </si>
  <si>
    <t>Toneladas</t>
  </si>
  <si>
    <t>suma</t>
  </si>
  <si>
    <t>Subdirección de Control Ambiental al Sector Público</t>
  </si>
  <si>
    <t>7702 - Control, evaluación, seguimiento y promoción a la cadena de gestión de residuos.</t>
  </si>
  <si>
    <t>2- Cambiar nuestros hábitos de vida para reverdecer a Bogotá y adaptarnos y mitigar la crisis climática</t>
  </si>
  <si>
    <t>38 - Ecoeficiencia, reciclaje, manejo de residuos e inclusión de la población recicladora.</t>
  </si>
  <si>
    <t>Optimizar esfuerzos y recursos, con el fin de lograr una adecuada disposición de los residuos generados en el distrito, mejorando la calidad ambiental urbana.</t>
  </si>
  <si>
    <t>1. Control a la gestión de residuos</t>
  </si>
  <si>
    <t>Formular e implementar 1 programa de actividades de evaluación, control y seguimiento ambiental encaminadas a la adecuada disposición y aprovechamiento de residuos en Bogotá.</t>
  </si>
  <si>
    <t>Constante</t>
  </si>
  <si>
    <t>2. Sancionatorio</t>
  </si>
  <si>
    <t>Atender el 100 porciento de los conceptos técnicos que recomiendan actuaciones administrativas sancionatorias durante la vigencia para mejorar la eficiencia del proceso sancionatorio ambiental.</t>
  </si>
  <si>
    <t>Suma</t>
  </si>
  <si>
    <t>3. Consumo sostenible</t>
  </si>
  <si>
    <t>Desarrollar 47 proyectos de economía circular para cerrar el ciclo de vida de los materiales</t>
  </si>
  <si>
    <t>Formular e implementar un programa de actividades de evaluación, control y seguimiento ambiental encaminadas a la adecuada disposición y aprovechamiento de residuos en Bogotá.</t>
  </si>
  <si>
    <t>1. Realizar la priorización y definición de actividades y usuarios a controlar entre la Subdirección de Control Ambiental al Sector Público y la Subdirección del Recurso Hídrico y del Suelo.</t>
  </si>
  <si>
    <t>X</t>
  </si>
  <si>
    <t>5. Controlar la disposición adecuada de las  toneladas de residuos peligrosos programadas para la Subdirección del Recurso Hídrico y del Suelo.</t>
  </si>
  <si>
    <t>2. Atender el 100% de los conceptos técnicos que recomiendan actuaciones administrativas sancionatorias durante la vigencia para mejorar la eficiencia del proceso sancionatorio ambiental.</t>
  </si>
  <si>
    <t>8. Acoger jurídicamente los conceptos técnicos mediante la proyección de los actos administrativos ambientales de carácter sancionatorio</t>
  </si>
  <si>
    <t>3. Desarrollar 47 proyectos de economía circular para cerrar el ciclo de vida de los materiales</t>
  </si>
  <si>
    <t xml:space="preserve">Se busca mejorar transversalmente el proceso sancionatorio ambiental con el fin de dar cumplimiento a las normas y lineamientos establecidos para la adecuada disposición de los residuos especiales, peligrosos, ordinarios y de manejo diferenciado y a su vez contribuir al mejoramiento de la calidad de vida de los ciudadanos, a través de la función de vigilancia y control ambiental sobre dicho recurso.
</t>
  </si>
  <si>
    <t>GIRO VIGENCIA</t>
  </si>
  <si>
    <t>Optimizar esfuerzos y recursos, con el fin de lograr el aprovechamiento de los residuos generados en el distrito, mejorando la calidad ambiental urbana.</t>
  </si>
  <si>
    <t>6. POBLACIÓN</t>
  </si>
  <si>
    <t>6.10 NÚMERO DE PERSONAS POR GRUPOS EtonICOS</t>
  </si>
  <si>
    <t>Atender el 100% de los conceptos técnicos que recomiendan actuaciones administrativas sancionatorias durante la vigencia para mejorar la eficiencia del proceso sancionatorio ambiental.</t>
  </si>
  <si>
    <t>Especial: Desarrollar los procesos sancionatorios requeridos a nivel distrital mediante la atención de los conceptos técnicos que se generan en términos de residuos ambientales en el Distrito Capital.</t>
  </si>
  <si>
    <t>Municipios - 11001 - BOGOTA D.C. [BOGOTA] - Propios</t>
  </si>
  <si>
    <t xml:space="preserve"> Incrementar el aprovechamiento y el control sobre la disposición de residuos peligrosos, especiales, ordinarios y de manejo diferenciado</t>
  </si>
  <si>
    <t>Servicio de apoyo técnico a la gestión integral de residuos sólidos</t>
  </si>
  <si>
    <t>Instrumentos técnicos generados</t>
  </si>
  <si>
    <t>Número</t>
  </si>
  <si>
    <t>Inversión - Adquisición de Bienes y Servicios: Formular e implementar un programa de actividades de evaluación, control y seguimiento ambiental encaminadas a la adecuada disposición y aprovechamiento de residuos en Bogotá</t>
  </si>
  <si>
    <t>No se reporta avance durante el periodo ya que las acciones se han desarrollado con recursos de la reserva</t>
  </si>
  <si>
    <t>Inversión - Adquisición de Bienes y Servicios: Atender el 100% de los conceptos técnicos que recomiendan actuaciones administrativas sancionatorias durante la vigencia para mejorar la eficiencia del proceso sancionatorio ambiental</t>
  </si>
  <si>
    <t>Inversión - Adquisición de Bienes y Servicios: Desarrollar 47 proyectos de economía circular para cerrar el ciclo de vida de los materiales</t>
  </si>
  <si>
    <t>III ACTIVIDADES SUIFT (PRESUPUESTO) VIGENCIA 2022</t>
  </si>
  <si>
    <t>PRESUPUESTO VIGENCIA SUIFP 2022</t>
  </si>
  <si>
    <t>PRESUPUESTO
OBLIGADO (GIRADO) 2022</t>
  </si>
  <si>
    <t xml:space="preserve">A mayo de 2021 se reporta avance del 0,42  
-Priorización y definición de actividades y usuarios a controlar: 0,1
-Ejecución de Actuaciones Técnicas y administrativas de evaluación control y seguimiento:  0,20
-Controlar la disposición adecuada de residuos : 0,049
-Controlar el aprovechamiento de residuos : 0,047
-Informe eficiencia de Actuaciones Técnicas y administrativas de evaluación control y seguimiento: 0,025
</t>
  </si>
  <si>
    <t xml:space="preserve">Para el cumplimiento de las regulaciones y control a la gestión de residuos, la Secretaría Distrital de Ambiente ha atendido el 84,05% de los conceptos técnicos que recomiendan una actuación administrativa sancionatoria y el 0,72 % de magnitud física pendiente por atender de la vigencia 2020
</t>
  </si>
  <si>
    <t xml:space="preserve">A mayo de 2021 se ha dado inicio y se presentan avances en 11 proyectos de economía circular para cerrar el ciclo de vida de los materiales 
</t>
  </si>
  <si>
    <t>Se elaboró el  programa de actividades de evaluación, control y seguimiento ambiental encaminadas a la adecuada disposición y aprovechamiento de residuos en Bogotá.</t>
  </si>
  <si>
    <t>EJECUTADO ACUMULADO AL PERIODO
 AÑO 2021</t>
  </si>
  <si>
    <t xml:space="preserve">A junio de 2021 se reporta avance del 0,51  soportado asi:
-Priorización y definición de actividades y usuarios a controlar: 0,1
-Ejecución de Actuaciones Técnicas y administrativas de evaluación control y seguimiento:  0,26
-Controlar la disposición adecuada de residuos : 0,060
-Controlar el aprovechamiento de residuos : 0,060
-Informe eficiencia de Actuaciones Técnicas y administrativas de evaluación control y seguimiento: 0,032
</t>
  </si>
  <si>
    <t xml:space="preserve">Para el cumplimiento de las regulaciones y control a la gestión de residuos, la Secretaría Distrital de Ambiente ha atendido el 91,4% de los conceptos técnicos que recomiendan una actuación administrativa sancionatoria y el 0,72 % de magnitud física pendiente por atender de la vigencia 2020
</t>
  </si>
  <si>
    <t xml:space="preserve">A junio de 2021 se ha dado inicio y se presentan avances en 11 proyectos de economía circular para cerrar el ciclo de vida de los materiales 
</t>
  </si>
  <si>
    <t>A julio de 2021 se reporta un avance del 0,59 así: 
-Priorización y definición de actividades y usuarios a controlar: 0,1
Enero  2021, con recursos de reserva se realizó la formulación del programa para el año 2021.
Febrero  2021 se aprobó la formulación del programa (informe técnico No 00185 del 3/02/2021) y se inició su implementación.
-Ejecución de actuaciones técnicas y administrativas de evaluación control y seguimiento:  0,32
A julio de 2021 se realizaron 11.345 actuaciones técnicas de evaluación, control y seguimiento a la adecuada disposición y aprovechamiento de residuos en Bogotá de las cuales 1.093 aportan  a  ton con disposiciòn adecuada, 1.407 a ton aprovechadas y las restantes 8.845 hacen parte de acciones de seguimiento al cumplimiento de la normatividad ambiental relacionada con Residuos.
Residuos de Construcción y Demolición RCD – Obras: 2.007 acciones (428 aportan al control de ton dispuestas y 286 a ton aprovechadas)
Residuos hospitalarios y similares: 2.795 acciones (379 aportan a ton dispuestas y 309 a ton aprovechadas)
RCD - proyectos especiales de infraestructura: 607 acciones (59 aportan a ton dispuestas y 45 a aprovechadas)
Residuos especiales entidades públicas: 185 acciones (25 aportan a ton dispuestas y 53 a ton aprovechadas)
Residuos llantas usadas: 2.746 acciones (714 aportan a tons aprovechadas) 
Control y vigilancia a RESPEL: 3.005 acciones (202 aportan a tons dispuestas)
-Controlar la disposición adecuada de residuos especiales, peligrosos, ordinarios y de manejo diferenciado: 0,071
-Controlar el aprovechamiento de residuos especiales, peligrosos, ordinarios y de manejo diferenciado: 0,069
Las actuaciones técnicas permitieron controlar 5.968.884,58 ton. De las cuales 4.757.610,69 ton aportan a la disposición adecuada y 1.211.273,89   ton al aprovechamiento de residuos peligrosos, ordinarios, especiales y/o de manejo diferenciado.
-Reporte y consolidación a junio de 2021 de Informe eficiencia de Actuaciones Técnicas y administrativas de evaluación control y seguimiento: 0,039</t>
  </si>
  <si>
    <t>Para el cumplimiento de las regulaciones y control a la gestión de residuos, la Secretaría Distrital de Ambiente durante los meses comprendidos entre enero a julio del año 2021, ha atendido el 90,2% de los conceptos técnicos que recomiendan una actuación administrativa sancionatoria y el 0,72 % de magnitud física pendiente por atender de la vigencia 2020, distribuida así:
Primer Trimestre 2021
Vigencia: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Segundo trimestre 2021
Abril: 
N° de Conceptos Técnicos que recomiendan actuaciones administrativas sancionatorias: 38
N° de Conceptos Técnicos atendidos jurídicamente: 25
Mayo: 
N° de Conceptos Técnicos que recomiendan actuaciones administrativas sancionatorias: 16
N° de Conceptos Técnicos atendidos jurídicamente: 15
N° de Conceptos Técnicos atendidos jurídicamente pendientes abril: 3 
Junio: 
N° de Conceptos Técnicos que recomiendan actuaciones administrativas sancionatorias:1
N° de Conceptos Técnicos atendidos jurídicamente: 1
N° de Conceptos Técnicos atendidos jurídicamente pendientes abril y mayo: 5 
Julio 
N° de Conceptos Técnicos que recomiendan actuaciones administrativas sancionatorias:2
N° de Conceptos Técnicos atendidos jurídicamente: 1
Total, avance magnitud vigencia 2021: 13.13% 
Total, avance magnitud reserva 2020: 0,72 %</t>
  </si>
  <si>
    <t>A JULIO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50%.
Ecolecta (Permanente) busca culturizar y promover a la ciudadanía sobre la disposición adecuada de residuos peligrosos. Avance: 74% 
Articulación de la ciudadanía para la gestión de residuos en propiedad horizontal busca evitar la gestión inadecuada de aceites usados en el sector residencial evitando taponamiento de tuberías y fuentes hídricas. Avance: 58,25 %
Red de economía circular: Busca disminuir la deficiencia en el flujo de información sobre los productos, servicios, procesos productivos y normatividad, relacionados con la producción y el consumo Sostenible. Avance: 65%
Caja de herramientas:  Su fin es culturizar y promover la disposición adecuada de residuos peligrosos. Avance: 61%
Capacitación para el crecimiento verde:  Fortalece el capital humano para la transición hacia el crecimiento verde, uno de los temas relevantes es el manejo responsable de los materiales y residuos en los actores de la cadena de valor. Avance: 58,25%
Actualización y desarrollo del plan de gestión integral de residuos peligroso PGIRP de Bogotá: Su objetivo es la actualización de un plan actualizado. Avance: 62%
Operación al registro de Aceite Vegetal Usado Inadecuada evita la inadecuada disposición de este residuo. Avance: 65%
Operación al registro acopiadores de llantas usadas: Busca atender los inconvenientes por la inadecuada disposición de este residuo. Avance: 65%
Difusión e información sobre economía circular. Avance: 33%
Promover el consumo responsable: busca promover estilos de consumo sostenibles. Avance: 60%
Activación 12.21 20%</t>
  </si>
  <si>
    <t>A septiembre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60%.
Ecolecta (Permanente) busca culturizar y promover a la ciudadanía sobre la disposición adecuada de residuos peligrosos. Avance: 76% 
Articulación de la ciudadanía para la gestión de residuos en propiedad horizontal busca evitar la gestión inadecuada de aceites usados en el sector residencial evitando taponamiento de tuberías y fuentes hídricas. Avance: 75%
Red de economía circular: Busca disminuir la deficiencia en el flujo de información sobre los productos, servicios, procesos productivos y normatividad, relacionados con la producción y el consumo Sostenible. Avance: 70%
Caja de herramientas:  Su fin es culturizar y promover la disposición adecuada de residuos peligrosos. Avance: 74%
Capacitación para el crecimiento verde:  Fortalece el capital humano para la transición hacia el crecimiento verde, uno de los temas relevantes es el manejo responsable de los materiales y residuos en los actores de la cadena de valor. Avance: 76%
Actualización y desarrollo del plan de gestión integral de residuos peligroso PGIRP de Bogotá: Su objetivo es la actualización de un plan actualizado. Avance: 66%
Operación al registro de Aceite Vegetal Usado Inadecuada evita la inadecuada disposición de este residuo. Avance: 74%
Operación al registro acopiadores de llantas usadas: Busca atender los inconvenientes por la inadecuada disposición de este residuo. Avance: 73%
Difusión e información sobre economía circular. Avance: 38%
Promover el consumo responsable: busca promover estilos de consumo sostenibles. Avance: 60 %
Activación 12.21 47 %</t>
  </si>
  <si>
    <t>A septiembre de 2021 se reporta un avance del 0,77 así: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0,43
A septiembre de 2021 se realizaron 15.052 actuaciones técnicas, de las cuales 1.631 aportan a disposición adecuada, 1.944 a ton aprovechadas y 11.477 hacen parte de acciones de seguimiento al cumplimiento de la normatividad ambiental relacionada con residuos así: 
Residuos de Construcción y Demolición RCD – obras: 2.560 acciones (599 aportan al control de ton dispuestas y 376 a ton aprovechadas)
Residuos hospitalarios y similares: 3.548 acciones (646 aportan a ton dispuestas y 545 a ton aprovechadas)
RCD - proyectos especiales de infraestructura: 784 acciones (77 aportan a ton dispuestas y 56 a aprovechadas)
Residuos especiales entidades públicas: 224 acciones (29 aportan a ton dispuestas y 67 a ton aprovechadas)
Residuos llantas usadas: 4.180 acciones (900 aportan a ton aprovechadas) 
Control y vigilancia a RESPEL: 3.756 acciones (280 aportan a ton dispuestas)
-Controlar la disposición adecuada de residuos especiales, peligrosos, ordinarios y de manejo diferenciado: 0,090
-Controlar el aprovechamiento de residuos especiales, peligrosos, ordinarios y de manejo diferenciado: 0,092
Las actuaciones técnicas permitieron controlar 8.062.489,45 ton. De las cuales 6.455.633,09 ton aportan a la disposición adecuada y 1.606.856,36 ton al aprovechamiento de residuos peligrosos, ordinarios, especiales y/o de manejo diferenciado.
-Reporte y consolidación a septiembre de 2021 de Informe eficiencia de actuaciones técnicas y administrativas de evaluación control y seguimiento: 0,053.</t>
  </si>
  <si>
    <t xml:space="preserve">Para el cumplimiento de las regulaciones y control a la gestión de residuos, la Secretaría Distrital de Ambiente durante los meses comprendidos entre enero a septiembre del año 2021, ha atendido el 85,41% de los conceptos técnicos representados en la atención de 82 actos administrativos y el 0,72 % de magnitud física pendiente por atender de la vigencia 2020, distribuida así:
Vigencia: 
N° de Conceptos Técnicos que recomiendan actuaciones administrativas sancionatorias: 96
N° de Conceptos Técnicos atendidos jurídicamente: 82
Reserva: 
N° de Conceptos Técnicos que recomiendan actuaciones administrativas sancionatorias pendientes vigencia 2020: 12
N° de Conceptos Técnicos atendidos jurídicamente pendientes de la vigencia 2020: 12
</t>
  </si>
  <si>
    <t>Se elaboró el  100% programa de actividades de evaluación, control y seguimiento ambiental encaminadas a la adecuada disposición y aprovechamiento de residuos en Bogotá.
Se avanza en 77% la elaboración del documento técnico sobre eficiencia de acciones de evaluación control y seguimiento ambiental en la disposición y aprovechamiento de residuos especiales y peligrosos.</t>
  </si>
  <si>
    <t>A  Noviembre de 2021 se ha dado inicio y se presentan avances en 13 proyectos de economía circular para cerrar el ciclo de vida de los materiales así:
Jornadas de devolución de residuos RECICLATÓN: busca disminuir la disposición inadecuada de residuos peligrosos generados por las empresas públicas y privadas.  Avance: 100%.
Ecolecta (Permanente) busca culturizar y promover a la ciudadanía sobre la disposición adecuada de residuos peligrosos. Avance: 95% 
Articulación de la ciudadanía para la gestión de residuos en propiedad horizontal busca evitar la gestión inadecuada de aceites usados en el sector residencial evitando taponamiento de tuberías y fuentes hídricas. Avance: 91%
Red de economía circular: Busca disminuir la deficiencia en el flujo de información sobre los productos, servicios, procesos productivos y normatividad, relacionados con la producción y el consumo Sostenible. Avance: 80%
Caja de herramientas:  Su fin es culturizar y promover la disposición adecuada de residuos peligrosos. Avance: 98%
Capacitación para el crecimiento verde:  Fortalece el capital humano para la transición hacia el crecimiento verde, uno de los temas relevantes es el manejo responsable de los materiales y residuos en los actores de la cadena de valor. Avance: 91%
Actualización y desarrollo del plan de gestión integral de residuos peligroso PGIRP de Bogotá: Su objetivo es la actualización de un plan actualizado. Avance: 90%
Operación al registro de Aceite Vegetal Usado Inadecuada evita la inadecuada disposición de este residuo. Avance: 95%
Operación al registro acopiadores de llantas usadas: Busca atender los inconvenientes por la inadecuada disposición de este residuo. Avance: 95%
Difusión e información sobre economía circular. Avance: 80%
Promover el consumo responsable: busca promover estilos de consumo sostenibles. Avance: 75%
Activación 12.21 80%
Incentivar los estilos de vida Sostenible  Participación en la mesa nacional de EVS y actividades de articulación interinstitucional sobre EVS 60%</t>
  </si>
  <si>
    <t xml:space="preserve">Para el cumplimiento de las regulaciones y control a la gestión de residuos, la Secretaría Distrital de Ambiente durante lo corrido de la vigencia a noviembre del 2021,  ha atendido el 97% de los conceptos técnicos representados en la atención de 100 actos administrativos y el 0,72 % de magnitud física pendiente por atender de la vigencia 2020, distribuida así:
Vigencia: 
N° de Conceptos Técnicos que recomiendan actuaciones administrativas sancionatorias: 103
N° de Conceptos Técnicos atendidos jurídicamente: 100
Reserva: 
N° de Conceptos Técnicos que recomiendan actuaciones administrativas sancionatorias pendientes vigencia 2020: 12
N° de Conceptos Técnicos atendidos jurídicamente pendientes de la vigencia 2020: 12
Total, avance magnitud vigencia 2021: 22,22% 
Total, avance magnitud reserva 2020: 0,72 % </t>
  </si>
  <si>
    <t xml:space="preserve">A noviembre  de 2021 se reporta un avance del 0,90 relacionado con: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0,528
A noviembre de 2021 se realizaron 19.035 actuaciones técnicas, de las cuales 2.277 aportan a disposición adecuada, 2.875 a ton aprovechadas y 13.883 hacen parte de acciones de seguimiento al cumplimiento de la normatividad ambiental relacionada con residuos así: 
Residuos de Construcción y Demolición RCD – obras: 3.314 acciones (746 aportan al control de ton dispuestas y 457 a ton aprovechadas)
Residuos hospitalarios y similares: 4.183 acciones (1.069 aportan a ton dispuestas y 899 a ton aprovechadas)
RCD - proyectos especiales de infraestructura: 925 acciones (91 aportan a ton dispuestas y 63 a aprovechadas)
Residuos especiales entidades públicas: 264 acciones (32 aportan a ton dispuestas y 70 a ton aprovechada
Residuos llantas usadas: 6.161 acciones (1.386 aportan a ton aprovechadas) 
Control y vigilancia a RESPEL: 4.188 acciones (339 aportan a ton dispuestas)
-Controlar la disposición adecuada de residuos especiales, peligrosos, ordinarios y de manejo diferenciado: 0,011
-Controlar el aprovechamiento de residuos especiales, peligrosos, ordinarios y de manejo diferenciado: 0,010
Las actuaciones técnicas permitieron controlar  9.914.204,67  ton. De las cuales 8.079.331 ton aportan a la disposición adecuada y 1.834.873,67  ton al aprovechamiento de residuos peligrosos, ordinarios, especiales y/o de manejo diferenciado.
-Reporte y consolidación a eficiencia de 2021 de Informe eficiencia de actuaciones técnicas y administrativas de evaluación control y </t>
  </si>
  <si>
    <t>Se elaboró el  100% programa de actividades de evaluación, control y seguimiento ambiental encaminadas a la adecuada disposición y aprovechamiento de residuos en Bogotá.
Se avanza en 92% la elaboración del documento técnico sobre eficiencia de acciones de evaluación control y seguimiento ambiental en la disposición y aprovechamiento de residuos especiales y peligrosos.</t>
  </si>
  <si>
    <t>EJECUTADO ACUMULADO  SEGPLAN
 AÑO 2022</t>
  </si>
  <si>
    <t>EJECUTADO ACUMULADO AL PERIODO
 AÑO 2022</t>
  </si>
  <si>
    <t>Prevenir o mitigar la degradación de áreas de importancia ecológica en la ciudad, actuando a favor de la conservación de los recursos naturales y garantizando la calidad de vida de los habitantes de la ciudad, a través de la implementación de un modelo eficiente y sostenible de gestión de Residuos especiales y peligrosos como son los residuos de Construcción y Demolición -RCD- en Bogotá D.C. residuos hospitalarios y similares entre otros. 
Optimizar esfuerzos y recursos, con el fin de lograr una adecuada disposición de los residuos generados en el distrito, mejorando la calidad ambiental urbana.</t>
  </si>
  <si>
    <t>Fortalecer la gestión y el manejo integral de los Residuos especiales y peligrosos generados en el D.C., mediante la promoción, seguimiento y control a su almacenamiento, aprovechamiento, tratamiento y/o disposición final para mitigar los impactos ambientales asociados
Optimizar esfuerzos y recursos, con el fin de lograr el aprovechamiento de los residuos generados en el Distrito, mejorando la calidad ambiental urbana.</t>
  </si>
  <si>
    <t>2. Ejecutar actuaciones técnicas y administrativas de control a la disposición y aprovechamiento de residuos especiales y peligrosos  a cargo de la Subdirección de Control Ambiental al Sector Público</t>
  </si>
  <si>
    <t>4. Controlar la disposición de residuos  de construcción y demolición, residuos hospitalarios y similares  y de manejo diferenciado  a cargo de la Subdirección de Control Ambiental al Sector Público</t>
  </si>
  <si>
    <t>6. Controlar  el aprovechamiento de  residuos de construcción y demolición, residuos hospitalarios y similares, llantas usadas a cargo de la Subdirección de Control Ambiental al Sector Público</t>
  </si>
  <si>
    <t>3. Ejecutar actuaciones Técnico administrativas de control  a la disposición de residuos peligrosos generados en actividades industriales  a cargo de la Subdirección del Recurso Hídrico y del Suelo.</t>
  </si>
  <si>
    <t>Se considera que el área de influencia de la meta está integrada por la totalidad del área  urbana de la Localidad.</t>
  </si>
  <si>
    <t>ENGATIVA</t>
  </si>
  <si>
    <t>TUNJUELITO</t>
  </si>
  <si>
    <t>ANTONIO NARIÑO</t>
  </si>
  <si>
    <t>BARRIOS UNIDOS</t>
  </si>
  <si>
    <t>BOSA</t>
  </si>
  <si>
    <t>CANDELARIA</t>
  </si>
  <si>
    <t>CHAPINERO</t>
  </si>
  <si>
    <t>CIUDAD BOLIVAR</t>
  </si>
  <si>
    <t>FONTIBON</t>
  </si>
  <si>
    <t>KENNEDY</t>
  </si>
  <si>
    <t>LOS MARTIRES</t>
  </si>
  <si>
    <t>PUENTE ARANDA</t>
  </si>
  <si>
    <t>RAFAEL URIBE URIBE</t>
  </si>
  <si>
    <t>SAN CRISTOBAL</t>
  </si>
  <si>
    <t>SANTA FE</t>
  </si>
  <si>
    <t>SUBA</t>
  </si>
  <si>
    <t>TEUSAQUILLO</t>
  </si>
  <si>
    <t>USAQUEN</t>
  </si>
  <si>
    <t>USME</t>
  </si>
  <si>
    <t>Durante el primer trimestre del 2022 se ha dado inicio a las actividades de gestion establecidas en cada uno de los proyectos  y se presenta el porcentaje de avance de 6  proyectos de economía circular para cerrar el ciclo de vida de los materiales así:
Proyectos de articulación de actores para la economía circular
1.	Reciclaton Empresarial: Busca disminuir la disposición inadecuada de residuos peligrosos generados por las empresas públicas y privadas.
Porcentaje de avance  6%
2.	Programa ECOLECTA: Busca culturizar y promover a la ciudadanía sobre la disposición adecuada de residuos peligrosos.
Porcentaje de avance 12%
3.	Ciudadanía con Estilo Verde: Fortalece el capital humano para la transición hacia el crecimiento verde, uno de los temas relevantes es el manejo responsable de los materiales y residuos en los actores de la cadena de valor
Porcentaje de avance  8%
4.	Modelos de Economía Circular (EC) para Residuos Priorizados Los modelos de economía circular consisten en identificar alternativas para la gestion de diversos tipos de residuos, vinculando a diferentes partes interesadas para concertar actividades conjuntas relacionadas con las cadenas de valor de distintos materiales.
Porcentaje de avance  5%
Proyectos de articulación de actores para la economía circular
5.	EC para la gestión de RESPEL. Su objetivo es realizar la verificación y seguimiento de actividades establecidas en el PGIRESPEL y realizar la actualización del mismo.
Porcentaje de avance  4%
6.	Instrumentos de gobernanza para la EC. La gobernanza público-privada para generar desarrollo económico sostenible, consiste en la participación de actores públicos, privados, organizaciones y comunidad, con el propósito de generar acuerdos, alianzas y toma de decisiones en torno a la sostenibilidad en el crecimiento económico y desarrollo de la ciudad-región. Para esto se requiere contar con instrumentos de gestión y política ambiental de distinta naturaleza
Porcentaje de avance  0%
Proyectos de promoción del aprovechamiento de residuos peligrosos, especiales
7.	Registro y reporte de tramites. Verificación y seguimiento a tramites de registro de aceite vegetal usado, registro de acopiadores de llantas y registro de empresas transformadoras de envases y empaques. 
Porcentaje de avance 12%</t>
  </si>
  <si>
    <t>toneladas</t>
  </si>
  <si>
    <t>A Marzo de 2022, la Secretaría Distrital de Ambiente controló la disposición adecuada de 567.695 ton y el aprovechamiento de 154.062 ton  de residuos peligrosos, ordinarios, especiales en el D.C.</t>
  </si>
  <si>
    <t>A Marzo de 2022, la Secretaría Distrital de Ambiente controló la gestión adecuada de  2.524.276,92 ton de residuos peligrosos, ordinarios, especialesde los cuales  2.130.126,94 ton corresponden a disposición adecuada  y 394.149,98 ton a  aprovechamiento de residuos  en el D.C.</t>
  </si>
  <si>
    <t>Durante el mes de enero y febrero de 2022, la Subdirección de Control Ambiental al Sector Público junto con la Subdirección del Recurso Hídrico y del Suelo con el objeto de proyectar el cumplimiento de la meta Plan de Desarrollo establecida para la vigencia 2022, formularon el documento técnico del  programa de actividades de evaluación, control y seguimiento ambiental encaminadas a la adecuada disposición y aprovechamiento de residuos en Bogotá radicado como informe técnico  0528 de 2022 y  Forest 2022IE39947.
Este documento incluye la priorización y definición de las actividades técnicas propuestas a realizar por la Subdirección de Control Ambiental al Sector Público y la Subdirección del Recurso Hídrico y del Suelo.</t>
  </si>
  <si>
    <t>Durante el mes de enero de 2021 se realizó el  proceso contractual para la vinculación de los profesionales que desarrollaran las actividades técnicas y administrativas de evaluación y control, así mismo con el valor ejecutado de la reserva se avanzó en el inicio de la formulación del  programa de actividades de evaluación, control y seguimiento ambiental encaminadas a la adecuada disposición y aprovechamiento de residuos en Bogotá.</t>
  </si>
  <si>
    <t>Para el cumplimiento de las regulaciones y control a la gestión de residuos, la Secretaría Distrital de Ambiente durante el periodo comprendido del 01 al 31 de enero  del 2022, no acogió actuaciones técnicas para generar la actuación administrativa en el marco del cumplimiento del procesos sancionatorio ambiental.</t>
  </si>
  <si>
    <t>Durante el mes de enero del año 2022 no se presenta avances en la magnitud de la meta de acuerdo a lo proyectado, teniendo en cuenta que en el mes de enero se realizo el proceso contractual para la vinculación de los profesionales del grupo de consumo sostenible.</t>
  </si>
  <si>
    <t>A febrero de 2022 se realizaron 1.751 actuaciones técnicas, de las cuales 205 aportan a disposición adecuada, 968 a ton aprovechadas y 578 hacen parte de acciones de seguimiento al cumplimiento de la normatividad ambiental relacionada con residuos. Por grupos de residuos las acciones se distribuyen así: 
Residuos de Construcción y Demolición RCD – obras: 352 acciones (41 aportan al control de ton dispuestas y 41 a ton aprovechadas)
Residuos hospitalarios y similares: 162 acciones (65 aportan a ton dispuestas y 64 a ton aprovechadas)
Residuos infecciosos y químicos.34 (23 aportan a ton dispuestas y 23 a ton aprovechadas)
RCD - proyectos especiales de infraestructura: 88 acciones (6 aportan a ton dispuestas y 6 a aprovechadas)
Evaluación control y seguimiento METRO: 57 (28 aportan a ton dispuestas y 19 a ton aprovechadas)
Residuos especiales entidades públicas: 15 acciones (Ninguna aporta)
Residuos llantas usadas: 880 acciones (815 aportan a ton aprovechadas) 
Control y vigilancia a RESPEL: 163 acciones (42 aportan a ton dispuestas)
-Controlar la disposición adecuada de residuos especiales, peligrosos, ordinarios y de manejo diferenciado: 0,009
-Controlar el aprovechamiento de residuos especiales, peligrosos, ordinarios y de manejo diferenciado: 0,007
Las actuaciones técnicas permitieron controlar  721.667,96  ton. De las cuales 567.695,46 ton aportan a la disposición adecuada y 153.972,50   ton al aprovechamiento de residuos peligrosos, ordinarios, especiales y/o de manejo diferenciado.
-Reporte y consolidación  de Informe eficiencia de actuaciones técnicas y administrativas de evaluación control y seguimiento al mes de febrero de 2022: 0,006</t>
  </si>
  <si>
    <t>Para el cumplimiento de las regulaciones y control a la gestión de residuos, la Secretaría Distrital de Ambiente durante el periodo comprendido del 01 al 28 de febrero del 2022,  acogió 29 actuaciones técnicas para generar la actuación administrativa en el marco del cumplimiento del proceso sancionatorio ambiental, de los 33 conceptos técnicos remitidos.
Frente a la reserva física se avanzó en el mes de enero, acogiendo 1 concepto técnico a través de un acto administrativo, con lo cual se da por cumplido al rezago de 0,18, causado en la vigencia 2021</t>
  </si>
  <si>
    <t>A marzo de 2022 se obtuvo un avance del  0,23 relacionado con: 
-Priorización y definición de actividades y usuarios a controlar: 0,1
Enero 2022: se avanzó en la formulación de 1  programa. En febrero se terminó el documento según informe técnico No  0528 del 28/02/2022 y se empezó su implementación con las siguientes actividades:
-Ejecución de actuaciones técnicas y administrativas de evaluación control y seguimiento: 0,079
A marzo de 2022 se realizaron 3.725 actuaciones técnicas, de las cuales 462 aportan a disposición adecuada, 810 a ton aprovechadas y 2.453 hacen parte de acciones de seguimiento al cumplimiento de la normatividad ambiental relacionada con residuos. Por grupos de residuos las acciones se distribuyen así: 
Residuos de Construcción y Demolición RCD – obras: 665 acciones ( aporta 101 a ton dispuestas y 80 a ton aprovechadas)
Residuos hospitalarios y similares: 346 acciones ( 131 aportan a ton dispuestas y 112 a ton aprovechadas)
Residuos infecciosos y químicos.129 (59 aportan a ton dispuestas y 75 a ton aprovechadas)
RCD - proyectos especiales de infraestructura: 227 acciones (25 aportan a ton dispuestas y 19 a aprovechadas)
Evaluación control y seguimiento METRO: 202 (69 aportan a ton dispuestas y 48 a ton aprovechadas)
Residuos especiales entidades públicas: 54 acciones (6 aportan a ton dispuestas y 9 a ton aprovechadas)
Residuos llantas usadas: 1716 acciones (467 aportan a ton aprovechadas) 
Control y vigilancia a RESPEL: 386 acciones (71 aportan a ton dispuestas)
-Controlar la disposición adecuada de residuos especiales, peligrosos, ordinarios y de manejo diferenciado: 0,022
-Controlar el aprovechamiento de residuos especiales, peligrosos, ordinarios y de manejo diferenciado: 0,017
Las actuaciones técnicas permitieron controlar  2.524.146,50  ton. De las cuales 2.130.126,94 ton aportan a la disposición adecuada y 394.019,56   ton a aprovechamiento.
-Reporte y consolidación  de Informe eficiencia de actuaciones técnicas y administrativas de evaluación control y seguimiento al mes de marzo de 2022: 0,012</t>
  </si>
  <si>
    <t xml:space="preserve">Para el cumplimiento de las regulaciones y control a la gestión de residuos, la Secretaría Distrital de Ambiente durante el periodo comprendido del 01 de febrero al 31 de marzo del 2022, acogió 62 actuaciones técnicas para generar la actuación administrativa en el marco del cumplimiento del proceso sancionatorio ambiental.
</t>
  </si>
  <si>
    <t xml:space="preserve">A  febrero de 2022 se ha dado inicio a las actividades de gestión establecidas en cada uno de los proyectos  y se presenta el porcentaje de avance de 6 proyectos de economía circular para cerrar el ciclo de vida de los materiales </t>
  </si>
  <si>
    <t>A julio de 2022 el avance es  0,58 así: 
-Priorización y definición de actividades y usuarios a controlar: 0,1
-Controlar la disposición adecuada de residuos especiales, peligrosos, ordinarios y de manejo diferenciado: 0,076
-Controlar el aprovechamiento de residuos especiales, peligrosos, ordinarios y de manejo diferenciado: 0,067
-Reporte y consolidación  de Informe eficiencia de actuaciones técnicas y administrativas de evaluación control y seguimiento al mes de julio de 2022: 0,037</t>
  </si>
  <si>
    <t xml:space="preserve">Para el cumplimiento de las regulaciones y control a la gestión de residuos, la Secretaría Distrital de Ambiente durante el periodo comprendido del 01 de enero al 31 de Julio del 2022, acogieron 172 actuaciones técnicas de las cuales se generaron 172 actuaciones administrativas en el marco del cumplimiento del proceso sancionatorio ambiental.
</t>
  </si>
  <si>
    <t xml:space="preserve">A JULIO de 2022 se ha dado inicio a las actividades de gestion establecidas en cada uno de los proyectos se presenta el porcentaje de avance de 7  proyectos de economía circular para cerrar el ciclo de vida de los materiales </t>
  </si>
  <si>
    <t>A junio de 2022 el avance es  0,50 así: 
-Priorización y definición de actividades y usuarios a controlar: 0,1
-Ejecución de actuaciones técnicas y administrativas de evaluación control y seguimiento: 0,251
-Controlar la disposición adecuada de residuos especiales, peligrosos, ordinarios y de manejo diferenciado: 0,050
-Controlar el aprovechamiento de residuos especiales, peligrosos, ordinarios y de manejo diferenciado: 0,064
-Reporte y consolidación  de Informe eficiencia de actuaciones técnicas y administrativas de evaluación control y seguimiento al mes de junio de 2022: 0,031</t>
  </si>
  <si>
    <t>Para el cumplimiento de las regulaciones y control a la gestión de residuos, la Secretaría Distrital de Ambiente a junio de 2022, acogió 136 actuaciones técnicas que  generaron 136 actuaciones administrativas en el marco del cumplimiento del proceso sancionatorio ambiental.</t>
  </si>
  <si>
    <t xml:space="preserve">A Junio de 2022 se ha dado inicio a las actividades de gestion establecidas en cada uno de los proyectos se presenta el porcentaje de avance de 7  proyectos de economía circular para cerrar el ciclo de vida de los materiales </t>
  </si>
  <si>
    <t>A mayo de 2022 se obtuvo un avance del  0,39 relacionado con: 
-Priorización y definición de actividades y usuarios a controlar: 0,1
-Ejecución de actuaciones técnicas y administrativas de evaluación control y seguimiento: 0,175
-Controlar la disposición adecuada de residuos especiales, peligrosos, ordinarios y de manejo diferenciado: 0,050
-Controlar el aprovechamiento de residuos especiales, peligrosos, ordinarios y de manejo diferenciado: 0,042
-Reporte y consolidación  de Informe eficiencia de actuaciones técnicas y administrativas de evaluación control y seguimiento al mes de mayo de 2022: 0,024</t>
  </si>
  <si>
    <t>A abril de 2022 se obtuvo un avance del  0,31 relacionado con: 
-Priorización y definición de actividades y usuarios a controlar: 0,1
-Ejecución de actuaciones técnicas y administrativas de evaluación control y seguimiento: 0,128
-Controlar la disposición adecuada de residuos especiales, peligrosos, ordinarios y de manejo diferenciado: 0,036
-Controlar el aprovechamiento de residuos especiales, peligrosos, ordinarios y de manejo diferenciado: 0,029
-Reporte y consolidación  de Informe eficiencia de actuaciones técnicas y administrativas de evaluación control y seguimiento al mes de abril de 2022: 0,018</t>
  </si>
  <si>
    <t>Para el cumplimiento de las regulaciones y control a la gestión de residuos, la Secretaría Distrital de Ambiente durante el periodo comprendido del 01 de enero al 31 de mayo del 2022, acogieron 117 actuaciones técnicas de las cuales se generaron 117 actuaciones administrativas en el marco del cumplimiento del proceso sancionatorio ambiental.</t>
  </si>
  <si>
    <t>A mayo de 2022 se ha dado inicio a las actividades de gestion establecidas en cada uno de los proyectos se presenta el porcentaje de avance de 7  proyectos de economía circular para cerrar el ciclo de vida de los materiales así:</t>
  </si>
  <si>
    <t>A abril de 2022 se ha dado inicio a las actividades de gestion establecidas en cada uno de los proyectos se presenta el porcentaje de avance de 7  proyectos de economía circular para cerrar el ciclo de vida de los materiales así:
Proyectos de articulación de actores para la economía circular</t>
  </si>
  <si>
    <t>Para el cumplimiento de las regulaciones y control a la gestión de residuos, la Secretaría Distrital de Ambiente durante el periodo comprendido del 01 de enero al 30 de abril del 2022, acogió 76 actuaciones técnicas a partir  de las cuales se generaron 76 actuaciones administrativas en el marco del cumplimiento del proceso sancionatorio ambiental.</t>
  </si>
  <si>
    <t>A Agosto de 2022 el avance es  0,66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0,35
-Controlar la disposición adecuada de residuos especiales, peligrosos, ordinarios y de manejo diferenciado: 0,089
-Controlar el aprovechamiento de residuos especiales, peligrosos, ordinarios y de manejo diferenciado: 0,078
Las actuaciones técnicas permitieron controlar 10.995.310,42 ton. De las cuales 9.181.875,32  ton aportan a la disposición adecuada y 1.813.435,10 ton a aprovechamiento.
-Reporte y consolidación  de Informe eficiencia de actuaciones técnicas y administrativas de evaluación control y seguimiento al mes de Agosto de 2022: 0,044</t>
  </si>
  <si>
    <t>Para el cumplimiento de las regulaciones y control a la gestión de residuos, la Secretaría Distrital de Ambiente durante el periodo comprendido del 01 de enero al 31 de agosto del 2022, se recibieron 198 conceptos técnicos  de los cuales se acogieron y generaron 175 actuaciones administrativas en el marco del cumplimiento del proceso sancionatorio ambiental.</t>
  </si>
  <si>
    <t>A AGOSTOde 2022 se ha dado inicio a las actividades de gestion establecidas en cada uno de los proyectos se presenta el porcentaje de avance de 7  proyectos de economía circular para cerrar el ciclo de vida de los materiales así:
1.	Reciclaton Empresarial: Busca disminuir la disposición inadecuada de residuos peligrosos generados por las empresas públicas y privadas. AVANCE  80%
2.	Ciudadanía con Estilo Verde: Fortalece el capital humano para la transición hacia el crecimiento verde, uno de los temas relevantes es el manejo responsable de los materiales y residuos en los actores de la cadena de valor. AVANCE  69%
3.	Modelos de EC para Residuos Priorizados: Los modelos de economía circular consisten en identificar alternativas para la gestion de diversos tipos de residuos, vinculando a diferentes partes interesadas para concertar actividades conjuntas relacionadas con las cadenas de valor de distintos materiales. AVANCE 60%
4.	EC para la gestión de RESPEL: Su objetivo es realizar la verificación y seguimiento de actividades establecidas en el PGIRESPEL y su actualización. AVANCE 40%
5.	Instrumentos de gobernanza para la EC: La gobernanza público-privada para generar desarrollo económico sostenible. Para esto se requiere contar con instrumentos de gestión y política ambiental de distinta naturaleza. AVANCE 58%
6.	Registro y reporte de tramites: Verificación y seguimiento a tramites de registro de aceite vegetal usado, registro de acopiadores de llantas y registro de empresas transformadoras de envases y empaques. AVANCE  62,5%
7. 	Programa ECOLECTA: Busca culturizar y promover a la ciudadanía sobre la disposición adecuada de residuos peligrosos. AVANCE  60%</t>
  </si>
  <si>
    <t>A Julio de 2022, la Secretaría Distrital de Ambiente controló la gestión adecuada de  9.365.682,8  ton de residuos peligrosos, ordinarios, especialesde los cuales  7.793.594,11 ton corresponden a disposición adecuada  y 1.572.088,69 ton a  aprovechamiento de residuos  en el D.C.</t>
  </si>
  <si>
    <t>A Junio de 2022, la Secretaría Distrital de Ambiente controló la gestión adecuada de  7.681.227,2  ton de residuos peligrosos, ordinarios, especialesde los cuales  6.405.762,13 ton corresponden a disposición adecuada  y 1.275.465,07 ton a  aprovechamiento de residuos  en el D.C.</t>
  </si>
  <si>
    <t>A Agosto de 2022, la Secretaría Distrital de Ambiente controló la gestión adecuada de  10.995.310,42 ton de residuos peligrosos, ordinarios, especialesde los cuales  9.181.875   ton corresponden a disposición adecuada  y 1.813.435,10 ton a  aprovechamiento de residuos  en el D.C.</t>
  </si>
  <si>
    <t xml:space="preserve">Especial: Realizar un adecuado aprovechamiento y control de residuos en Bogotá mediante acciones de evaluación, control y seguimiento desarrolladas en dos o más localidades del Distrito Capital.
</t>
  </si>
  <si>
    <t>ESPECIAL</t>
  </si>
  <si>
    <t>A septiembre de 2022 el avance es  0,76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0,42
A septiembre de 2022 se realizaron 20,519 actuaciones técnicas, Por grupos de residuos las acciones se distribuyen así:
Residuos de Construcción y Demolición RCD – obras: 2.833
Residuos hospitalarios y similares: 4.812 acciones
Residuos infecciosos y químicos Micro: 1.509 acciones
RCD - proyectos especiales de infraestructura: 1101 acciones 
Evaluación control y seguimiento Metro: 1.256 acciones 
Residuos especiales entidades públicas: 337 acciones 
Residuos llantas usadas: 5.716 acciones 
Control y vigilancia a RESPEL: 2.955 acciones 
-Controlar la disposición adecuada de residuos especiales, peligrosos, ordinarios y de manejo diferenciado: 0,10
-Controlar el aprovechamiento de residuos especiales, peligrosos, ordinarios y de manejo diferenciado:0,90
Las actuaciones técnicas permitieron controlar 12.670.714  ton. De las cuales 10.568.121,60 ton aportan a la disposición adecuada y 2.101.917,27 ton a aprovechamiento.
-Reporte y consolidación  de Informe eficiencia de actuaciones técnicas y administrativas de evaluación control y seguimiento al mes de septiembre de 2022: 0,050</t>
  </si>
  <si>
    <t>Para el cumplimiento de las regulaciones y control a la gestión de residuos, la Secretaría Distrital de Ambiente durante el periodo comprendido del 01 de enero al 30 de septiembre del 2022, recibió 232 conceptos técnicos de las cuales se acogieron y generaron 199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t>
  </si>
  <si>
    <t>A septiembre de 2022 se presenta el porcentaje de avance de 7 proyectos de economía circular para cerrar el ciclo de vida de los materiales así:
PROYECTOS DE ARTICULACIÓN DE ACTORES PARA LA ECONOMÍA CIRCULAR (EC)
1. Reciclaton Empresarial: Busca disminuir la disposición inadecuada de residuos peligrosos generados por las empresas públicas y privadas. AVANCE  82%
2. Ciudadanía con Estilo Verde: Fortalece el capital humano para la transición hacia el crecimiento verde, uno de los temas relevantes es el manejo responsable de los materiales y residuos en los actores de la cadena de valor. AVANCE  74%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AVANCE 70%
PROYECTOS DE PROCESAMIENTO, PRODUCCIÓN Y DIFUSIÓN DE INFORMACIÓN PARA LA ECONOMÍA CIRCULAR
4. EC para la gestión de RESPEL: Su objetivo es realizar la verificación y seguimiento de actividades establecidas en el PGIRESPEL y su actualización. AVANCE 50%
5. Instrumentos de gobernanza para la EC: La gobernanza público-privada para generar desarrollo económico sostenible. Para esto se requiere contar con instrumentos de gestión y política ambiental de distinta naturaleza. AVANCE 65%
PROYECTOS DE PROMOCIÓN DEL APROVECHAMIENTO DE RESIDUOS PELIGROSOS, ESPECIALES Y DE MANEJO DIFERENCIADO
6. Registro y reporte de tramites: Verificación y seguimiento a tramites de registro de aceite vegetal usado, registro de acopiadores de llantas y registro de empresas transformadoras de envases y empaques. AVANCE  72%
7.  Programa ECOLECTA: Busca culturizar y promover a la ciudadanía sobre la disposición adecuada de residuos peligrosos. AVANCE  70%</t>
  </si>
  <si>
    <t>A Septiembre de 2022, la Secretaría Distrital de Ambiente controló la gestión adecuada de  12.670.715,43 ton de. residuos peligrosos, ordinarios, especialesde los cuales  10.568.122   ton corresponden a disposición adecuada  y 2.102.593,83 ton a  aprovechamiento de residuos  en el D.C.</t>
  </si>
  <si>
    <t xml:space="preserve">Para el cumplimiento de las regulaciones y control a la gestión de residuos, la Secretaría Distrital de Ambiente durante el periodo comprendido del 01 de enero al 31 de octubre del 2022, se recibieron 248 conceptos técnicos de las cuales se acogieron y generaron 237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
</t>
  </si>
  <si>
    <t>A Octubre de 2022 se avanza en  las actividades de gestión establecidas en cada uno de los proyectos se presenta el porcentaje de avance de 7 proyectos de economía circular para cerrar el ciclo de vida de los materiales así:
PROYECTOS DE ARTICULACIÓN DE ACTORES PARA LA ECONOMÍA CIRCULAR
1. Reciclaton Empresarial: Busca disminuir la disposición inadecuada de residuos peligrosos generados por las empresas públicas y privadas. AVANCE  85%
2. Ciudadanía con Estilo Verde: Fortalece el capital humano para la transición hacia el crecimiento verde, uno de los temas relevantes es el manejo responsable de los materiales y residuos en los actores de la cadena de valor. AVANCE 87%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AVANCE 80%
PROYECTOS DE PROCESAMIENTO, PRODUCCIÓN Y DIFUSIÓN DE INFORMACIÓN PARA LA ECONOMÍA CIRCULAR
4. EC para la gestión de RESPEL: Su objetivo es realizar la verificación y seguimiento de actividades establecidas en el PGIRESPEL y su actualización. AVANCE 70%
5. Instrumentos de gobernanza para la EC: La gobernanza público-privada para generar desarrollo económico sostenible. Para esto se requiere contar con instrumentos de gestión y política ambiental de distinta naturaleza. AVANCE 80%
PROYECTOS DE PROMOCIÓN DEL APROVECHAMIENTO DE RESIDUOS PELIGROSOS, ESPECIALES Y DE MANEJO DIFERENCIADO
6. Registro y reporte de tramites: Verificación y seguimiento a tramites de registro de aceite vegetal usado, registro de acopiadores de llantas y registro de empresas transformadoras de envases y empaques. AVANCE  90%
7.  Programa ECOLECTA: Busca culturizar y promover a la ciudadanía sobre la disposición adecuada de residuos peligrosos. AVANCE  90%</t>
  </si>
  <si>
    <t>A octubre de 2022 el avance es  0,84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0,47
A octubre de 2022 se realizaron 22.835 actuaciones técnicas, Por grupos de residuos las acciones se distribuyen así:
Residuos de Construcción y Demolición RCD – obras: 3.161
Residuos hospitalarios y similares: 5.151 acciones
Residuos infecciosos y químicos Micro: 1.888 acciones
RCD - proyectos especiales de infraestructura: 1.172 acciones 
Evaluación control y seguimiento Metro: 1.443 acciones 
Residuos especiales entidades públicas: 353 acciones 
Residuos llantas usadas: 6.497 acciones 
Control y vigilancia a RESPEL: 3.170 acciones 
-Controlar la disposición adecuada de residuos especiales, peligrosos, ordinarios y de manejo diferenciado: 0,11
-Controlar el aprovechamiento de residuos especiales, peligrosos, ordinarios y de manejo diferenciado:0,099
Las actuaciones técnicas permitieron controlar 14.490.732,69  ton. De las cuales 12.166.626,72 ton aportan a la disposición adecuada y 2.324.105,97 ton a aprovechamiento.
-Reporte y consolidación  de Informe eficiencia de actuaciones técnicas y administrativas de evaluación control y seguimiento al mes de octubre de 2022: 0,056</t>
  </si>
  <si>
    <t>A Octubre de 2022, la Secretaría Distrital de Ambiente controló la gestión adecuada de  14.491.999,90 ton de residuos peligrosos, ordinarios, especialesde los cuales  12.166.626,72   ton corresponden a disposición adecuada  y 2.325.373,18 ton a  aprovechamiento de residuos  en el D.C.</t>
  </si>
  <si>
    <t>6.9  GRUPOS ETNICOS</t>
  </si>
  <si>
    <t xml:space="preserve">
01-USAQUEN</t>
  </si>
  <si>
    <t xml:space="preserve">
02-CHAPINERO</t>
  </si>
  <si>
    <t xml:space="preserve">
03-SANTA FE</t>
  </si>
  <si>
    <t xml:space="preserve">
04-SAN CRISTOBAL</t>
  </si>
  <si>
    <t xml:space="preserve">
05-USME</t>
  </si>
  <si>
    <t xml:space="preserve">
06-TUNJUELITO</t>
  </si>
  <si>
    <t xml:space="preserve">
07-BOSA  </t>
  </si>
  <si>
    <t xml:space="preserve">
08-KENNEDY</t>
  </si>
  <si>
    <t xml:space="preserve">
09-FONTIBON</t>
  </si>
  <si>
    <t xml:space="preserve">
10-ENGATIVA</t>
  </si>
  <si>
    <t xml:space="preserve">
11-SUBA</t>
  </si>
  <si>
    <t xml:space="preserve">
12-BARRIOS UNIDOS  </t>
  </si>
  <si>
    <t xml:space="preserve">
13-TEUSAQUILLO</t>
  </si>
  <si>
    <t xml:space="preserve">
14-LOS MARTIRES</t>
  </si>
  <si>
    <t xml:space="preserve">
15-ANTONIO NARIÑO  </t>
  </si>
  <si>
    <t xml:space="preserve">
16-PUENTE ARANDA</t>
  </si>
  <si>
    <t xml:space="preserve">
17-CANDELARIA</t>
  </si>
  <si>
    <t xml:space="preserve">
18-RAFAEL URIBE URIBE</t>
  </si>
  <si>
    <t>19-CIUDAD BOLIVAR</t>
  </si>
  <si>
    <t>Localidades
01-USAQUEN
02-CHAPINERO
03-SANTA FE
04-SAN CRISTOBAL
05-USME
06-TUNJUELITO
07-BOSA
08-KENNEDY
09-FONTIBON
10-ENGATIVA
11-SUBA
12-BARRIOS UNIDOS
13-TEUSAQUILLO
14-LOS MARTIRES
15-ANTONIO NARIÑO
16-PUENTE ARANDA
17-CANDELARIA
18-RAFAEL URIBE URIBE
19-CIUDAD BOLIVAR</t>
  </si>
  <si>
    <t>A Noviembre de 2022 se avanza en  las actividades de gestión establecidas en cada uno de los proyectos se presenta el porcentaje de avance de 7 proyectos de economía circular para cerrar el ciclo de vida de los materiales así:
PROYECTOS DE ARTICULACIÓN DE ACTORES PARA LA ECONOMÍA CIRCULAR
1.	Reciclaton Empresarial: Busca disminuir la disposición inadecuada de residuos peligrosos generados por las empresas públicas y privadas. AVANCE  85%
2.	Ciudadanía con Estilo Verde: Fortalece el capital humano para la transición hacia el crecimiento verde, uno de los temas relevantes es el manejo responsable de los materiales y residuos en los actores de la cadena de valor. AVANCE 87%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AVANCE 80%
PROYECTOS DE PROCESAMIENTO, PRODUCCIÓN Y DIFUSIÓN DE INFORMACIÓN PARA LA ECONOMÍA CIRCULAR
4.	EC para la gestión de RESPEL: Su objetivo es realizar la verificación y seguimiento de actividades establecidas en el PGIRESPEL y su actualización. AVANCE 70%
5.	Instrumentos de gobernanza para la EC: La gobernanza público-privada para generar desarrollo económico sostenible. Para esto se requiere contar con instrumentos de gestión y política ambiental de distinta naturaleza. AVANCE 80%
PROYECTOS DE PROMOCIÓN DEL APROVECHAMIENTO DE RESIDUOS PELIGROSOS, ESPECIALES Y DE MANEJO DIFERENCIADO
6.	Registro y reporte de tramites: Verificación y seguimiento a tramites de registro de aceite vegetal usado, registro de acopiadores de llantas y registro de empresas transformadoras de envases y empaques. AVANCE  90%
7. 	Programa ECOLECTA: Busca culturizar y promover a la ciudadanía sobre la disposición adecuada de residuos peligrosos. AVANCE  90%</t>
  </si>
  <si>
    <t xml:space="preserve">Para el cumplimiento de las regulaciones y control a la gestión de residuos, la Secretaría Distrital de Ambiente durante el periodo comprendido del 01 de enero al 30 de noviembre del 2022, se recibieron 279 conceptos técnicos de las cuales se acogieron y generaron 275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
</t>
  </si>
  <si>
    <t>A noviembre de 2022 el avance es  0,92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0,52
A Noviembre de 2022 se realizaron 25.235 actuaciones técnicas, Por grupos de residuos las acciones se distribuyen así:
Residuos de Construcción y Demolición RCD – obras: 3.500
Residuos hospitalarios y similares: 5.667 acciones
Residuos infecciosos y químicos Micro: 2.213 acciones
RCD - proyectos especiales de infraestructura: 1.247 acciones 
Evaluación control y seguimiento Metro: 1.593 acciones 
Residuos especiales entidades públicas: 370 acciones 
Residuos llantas usadas: 7.161 acciones 
Control y vigilancia a RESPEL: 3.484 acciones 
-Controlar la disposición adecuada de residuos especiales, peligrosos, ordinarios y de manejo diferenciado: 0,13
-Controlar el aprovechamiento de residuos especiales, peligrosos, ordinarios y de manejo diferenciado:0,11
Las actuaciones técnicas permitieron controlar 15.823.798,05  ton. De las cuales 15.823.798,05 ton aportan a la disposición adecuada y 2.481.363,72 ton a aprovechamiento.
-Reporte y consolidación  de Informe eficiencia de actuaciones técnicas y administrativas de evaluación control y seguimiento al mes de noviembre de 2022: 0,06</t>
  </si>
  <si>
    <t>A Noviembre de 2022, la Secretaría Distrital de Ambiente controló la gestión adecuada de  15.825.105,08  ton de residuos peligrosos, ordinarios, especialesde los cuales  13342434,33 ton corresponden a disposición adecuada  y 2.482.671 ton a  aprovechamiento de residuos  en el D.C.</t>
  </si>
  <si>
    <t>EJECUTADO ACUMULADO  SEGPLAN
 AÑO 2023</t>
  </si>
  <si>
    <r>
      <t xml:space="preserve">REPROGRAMACIÓN </t>
    </r>
    <r>
      <rPr>
        <b/>
        <sz val="12"/>
        <rFont val="Arial"/>
        <family val="2"/>
      </rPr>
      <t>VIGENCIA 2023
(VALOR INICIAL)</t>
    </r>
  </si>
  <si>
    <t>PROGRAMADO ENE.</t>
  </si>
  <si>
    <t>EJECUTADO ENE.</t>
  </si>
  <si>
    <t>PROGRAMADO FEB.</t>
  </si>
  <si>
    <t>EJECUTADO FEB.</t>
  </si>
  <si>
    <t>PROGRAMADO MAR.</t>
  </si>
  <si>
    <t>EJECUTADO MAR.</t>
  </si>
  <si>
    <t>PROGRAMADO ABR.</t>
  </si>
  <si>
    <t>EJECUTADO ABR.</t>
  </si>
  <si>
    <t>PROGRAMADO MAY.</t>
  </si>
  <si>
    <t>EJECUTADO  MAY.</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</si>
  <si>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</si>
  <si>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</si>
  <si>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</si>
  <si>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</si>
  <si>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</si>
  <si>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</si>
  <si>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</si>
  <si>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</si>
  <si>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</si>
  <si>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</si>
  <si>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</si>
  <si>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</si>
  <si>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</si>
  <si>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</si>
  <si>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REPROGRAMACIÓN VIGENCIA 
(VALOR INICIAL)</t>
  </si>
  <si>
    <t xml:space="preserve">Durante el periodo comprendido entre el 01 de enero al 31 de enero de 2023 no se realizaron actuaciones administrativas sancionatorias de impulso o de fondo.
Los avances en la magnitud de la meta están sujetos a la demanda de conceptos técnicos que remita el área técnica para ser acogidos jurídicamente, la cual para este mes no demando.
Para el 2022 no se atendieron jurídicamente 6 conceptos tecnicos,los cuales se constituyeron como productos de la reserva, sin embargo en el 2023 en el mes de enero se intervinieron 2 de estos conceptos </t>
  </si>
  <si>
    <t>NA</t>
  </si>
  <si>
    <t xml:space="preserve">Durante este periódo no se avanzó en el desarrollo de esta actividad </t>
  </si>
  <si>
    <t>Durante  el mes de enero del año 2023, la Subdirección de Recurso Hídrico y del suelo realizó control a 16.409,77 Toneladas de residuos peligrosos competencia de esta Subdirección, clasificadas de la siguiente manera:
Grandes Generadores: 14705,28 Tn
Medianos Generadores: 1549,82 Tn
Pequeños Generadores: 154,67 Tn</t>
  </si>
  <si>
    <t>A enero de 2023 se logró avanzar en el 0,028%  de la elaboración  y comienzo de la implementación de 1 programa de actividades de evaluación, control y seguimiento ambiental encaminadas a la adecuada disposición y aprovechamiento de residuos en Bogotá establecido para la vigencia 2023, el cual se encuentra definido por siete actividades cada una con una ponderación específica dependiendo de su importancia y que a enero reportan   avance en tres actividades  así: 
-Priorización y definición de actividades y usuarios a controlar: 0,025%
Enero 2023: se avanzó en la formulación de 1 programa. El avance se relaciona con la elaboración del primer capítulo componente de la Subdirección de Recurso Hídrico y del Suelo, mediante el informe técnico No. 00306 del 23/01/2023 (2023IE13811 del 23/01/2023), en el cual se priorizaron las actividades de control a la generación de residuos peligrosos competencia de la SRHS, para el año 2023. 
-Ejecución de actuaciones técnicas y administrativas de evaluación control y seguimiento: 0,0014
A enero de 2023  se realizaron 194 actuaciones técnicas,  de control y vigilancia a RESPEL
-Controlar la disposición adecuada de residuos especiales, peligrosos, ordinarios y de manejo diferenciado: 0,0013
Las actuaciones técnicas permitieron controlar   la disposición adecuada 16409,77 ton de residuos peligrosos clasificadas de la siguiente manera:
Grandes Generadores: 14705,28 Tn
Medianos Generadores: 1549,82 Tn
Pequeños Generadores: 154,67 Tn</t>
  </si>
  <si>
    <t>-</t>
  </si>
  <si>
    <t xml:space="preserve">TOTAL PRESUPUESTO DE LA META
</t>
  </si>
  <si>
    <t>1
5</t>
  </si>
  <si>
    <t>Para el año 2023 se establecieron y priorizaron 12 proyectos de economía circular enfocados en tres temáticas especificas. Durante el mes de MARZO se reporta el avance de acciones en 11 proyectos de economía circular (PEC). 
PROYECTOS DE ARTICULACIÓN DE ACTORES DE LA DE RED ECONOMÍA CIRCULAR 
PEC #1 Recolección de residuos peligrosos especiales y de manejo diferenciado en el sector empresarial en el marco de la campaña “Reciclatón Empresarial de posconsumo, especiales, envases y empaques. AVANCE 9%
PEC #2 Promoción y difusión de la adecuada gestión de residuos peligrosos y especiales en el sector residencial en el marco del proyecto “Bogotá RIE Fase I - La palabra enseña y el ejemplo moviliza” AVANCE 18%
PEC # 3 Promoción a la gestión integral de asbesto - Acuerdo 825 de 2021. AVANCE 25%
PEC # 4 Economía circular de residuos de construcción y demolición. AVANCE 12%
PEC # 5 Economía circular sector textil. AVANCE 10%
PEC # 6 Economía circular sector gastronómico y biomasa residual. AVANCE 10%
PEC # 7 Promoción a la gestión adecuada de residuos de Movilidad eléctrica - Acuerdo 811 de 2021. AVANCE 8%
PROYECTOS DE PROCESAMIENTO, PRODUCCIÓN Y DIFUSIÓN DE INFORMACIÓN DE ECONOMÍA CIRCULAR.
PEC # 9 Identificación y articulación de acciones para la promoción de estilos de vida sostenible. AVANCE 10%
PEC # 10 Promoción a la gestión integral de RESPEL. AVANCE 5%
PEC#11  Coordinación interna de actividades establecidas en el PGIRS. AVANCE 8%
PROYECTOS DE PROMOCIÓN DE APROVECHAMIENTO DE RESIDUOS PELIGROSOS, ESPECIALES Y DE MANEJO DIFERENCIADO
PEC #12 Registro y reporte de trámites de residuos - 2023 AVANCE 26%</t>
  </si>
  <si>
    <t>En el marco de las acciones de evaluación, control y seguimiento a los factores de deterioro ambiental como los son los residuos y escombros, la Secretaría Distrital de Ambiente durante el periodo comprendido entre el 01 enero al 30 de abril del año 2023, atendió el 99% de los conceptos técnicos que recomiendan una actuación administrativa sancionatoria, distribuida así:
N° de Conceptos Técnicos que recomiendan actuaciones administrativas sancionatorias: 87
N° de Conceptos Técnicos acogidos jurídicamente mediante acto administrativo: 86</t>
  </si>
  <si>
    <t>A Abril   de 2023, la Secretaría Distrital de Ambiente controló la gestión adecuada de 3.564.735,89 ton de residuos peligrosos, ordinarios, especialesde los cuales  2.761.065,74 ton corresponden a disposición adecuada  y  803.670,15  ton a  aprovechamiento de residuos  en el D.C.</t>
  </si>
  <si>
    <t>A Marzo de 2023, la Secretaría Distrital de Ambiente controló la gestión adecuada de 1.998.520,13 ton de residuos peligrosos, ordinarios, especialesde los cuales  1.551.718,69 ton corresponden a disposición adecuada  y 446.801,44 ton a  aprovechamiento de residuos  en el D.C.</t>
  </si>
  <si>
    <t>A Febrero  de 2023, la Secretaría Distrital de Ambiente controló la gestión adecuada de 532.209,06 ton de residuos peligrosos, ordinarios, especialesde los cuales  410.892 ton corresponden a disposición adecuada  y 121.137 ton a  aprovechamiento de residuos  en el D.C.</t>
  </si>
  <si>
    <t>A abril de 2023 se avanzó en el 0,32%  correspondiente a la elaboración  y comienzo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0,128%
A abril de 2023  se realizaron 5.956 actuaciones de evaluación control y seguimiento a la disposición y aprovechamiento de residuos en Bogotá así:
-Controlar la disposición adecuada de residuos especiales, peligrosos, ordinarios y de manejo diferenciado: 0,053.
Las actuaciones técnicas permitieron controlar   la disposición adecuada de  2.761.065,74 Ton de residuos peligrosos 
-Controlar el aprovechamiento de residuos especiales, peligrosos, ordinarios y de manejo diferenciado: 0,028 
 las actuaciones permitieron controla el aprovechamiento de 803.358,59 ton de residuos especiales y peligrosos generadas en el D.C. 
-Reporte y consolidación  de Informe eficiencia de actuaciones técnicas y administrativas de evaluación control y seguimiento al mes de abril  de 2023: 0,018%</t>
  </si>
  <si>
    <t>Para el año 2023 se establecieron y priorizaron 12 proyectos de economía circular enfocados en tres temáticas especificas. Durante el mes de MARZO se reporta el avance de acciones en 11 proyectos de economía circular (PEC). 
PROYECTOS DE ARTICULACIÓN DE ACTORES DE LA DE RED ECONOMÍA CIRCULAR 
PEC #1 - Recolección de residuos peligrosos especiales y de manejo diferenciado en el sector empresarial en el marco de la campaña “Reciclatón Empresarial de posconsumo, especiales, envases y empaques. AVANCE 6%
PEC #2 - Promoción y difusión de la adecuada gestión de residuos peligrosos y especiales en el sector residencial en el marco del proyecto “Bogotá RIE Fase I - La palabra enseña y el ejemplo moviliza” AVANCE 8%
PEC # 3 - Promoción a la gestión integral de asbesto - Acuerdo 825 de 2021. AVANCE 15%
PEC #4 - Economía circular de residuos de construcción y demolición. AVANCE 7%
PEC # 5 - Economía circular sector textil. AVANCE 5%
PEC # 6 - Economía circular sector gastronómico y biomasa residual. AVANCE 5%
PEC # 7- Promoción a la gestión adecuada de residuos de Movilidad eléctrica - Acuerdo 811 de 2021. AVANCE 5%
PROYECTOS DE PROCESAMIENTO, PRODUCCIÓN Y DIFUSIÓN DE INFORMACIÓN DE ECONOMÍA CIRCULAR.
PEC # 8 - Desarrollo e implementación de una app para la gestión de llantas usadas en la ciudad. AVANCE 10%
PEC # 9 - Identificación y articulación de acciones para la promoción de estilos de vida sostenible. AVANCE 5%
PEC#11 - Coordinación interna de actividades establecidas en el PGIRS. AVANCE 5%
PROYECTOS DE PROMOCIÓN DE APROVECHAMIENTO DE RESIDUOS PELIGROSOS, ESPECIALES Y DE MANEJO DIFERENCIADO
PEC #12 - Registro y reporte de trámites de residuos - 2023 AVANCE 16%</t>
  </si>
  <si>
    <t xml:space="preserve">En el marco de las acciones de evaluación, control y seguimiento a los factores de deterioro ambiental como los son los residuos y escombros, la Secretaría Distrital de Ambiente durante el periodo comprendido entre el 01 enero al 31 de marzo del año 2023, atendió el 53,5% de los conceptos técnicos que recomiendan una actuación administrativa sancionatoria, distribuida así:
N° de Conceptos Técnicos que recomiendan actuaciones administrativas sancionatorias: 43
N° de Conceptos Técnicos acogidos jurídicamente mediante acto administrativo: 23
</t>
  </si>
  <si>
    <t>A marzo de 2023 se logró avanzar en el 0,25%  correspondiente a la elaboración  y comienzo de la implementación de 1 programa de actividades de evaluación, control y seguimiento ambiental encaminadas a la adecuada disposición y aprovechamiento de residuos en Bogotá establecido para la vigencia 2023,  el cual se encuentra definido por siete actividades cada una con una ponderación específica dependiendo de su importancia y que a febrero reportan   avance en cico actividades  así: 
-Priorización y definición de actividades y usuarios a controlar: 0,10%
Enero 2023: se avanzó en la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0,079%
A marzo de 2023  se realizaron 3,317 actuaciones de evaluación control y seguimiento a la disposición y aprovechamiento de residuos en Bogotá así:
RESIDUOS DE CONSTRUCCIÓN Y DEMOLICIÓN (RCD) OBRAS:605
RCD INFRAESTRUCTURA PERMISOS DE OCUPACIÓN DE CAUCE (POC) Y ESTRUCTURA ECOLÓGICA PRINCIPAL (EPP):102
METRO POC EPP:308
RESIDUOS HOSPITALARIOS :1.214
RESIDUOS INFECCIOSOS MICROGENERADORES:459
ENTIDADES PÚBLICAS:52
LLANTAS USADAS: 277
RESPEL:300
-Controlar la disposición adecuada de residuos especiales, peligrosos, ordinarios y de manejo diferenciado: 0,043.
Las actuaciones técnicas permitieron controlar   la disposición adecuada  1.551.718,69 ton de residuos peligrosos clasificadas de la siguiente manera:
-Reporte y consolidación  de Informe eficiencia de actuaciones técnicas y administrativas de evaluación control y seguimiento al mes de marzo de 2023: 0,012%</t>
  </si>
  <si>
    <t>Para el año 2023 se establecieron y priorizaron 12 proyectos de economía circular enfocados principalmente en tres temáticas especificas. Durante el mes de febrero se realizaron acciones  en CINCO proyectos de economía circular (PEC). 
1. Proyectos de articulación de actores de la de red economía circular 
Reporte de cantidades gestionadas de Residuos de Aparatos Eléctricos y Electrónicos, generados por el sector residencial, recolectados por medio de los puntos de recolección establecidos por medio del programa ECOLECTA de la SDA en la ciudad. En el cual se reporto un total de 2,62 Toneladas
2. Proyectos de procesamiento, producción y difusión de información de economía circular
Se realizaron 2 reuniones con gestores llantas usadas a nivel distrital y regional, con el fin de establecer aaciones de articulación para la valorización de llantas usadas, teniendo en cuenta la problemática de generacion de llantas en la ciudad.
 Se avanza en la implemntacion de metodología para el manejo de información relacionada con la gestión de residuos de construcción y demolición (RCD)  
Se avanza en la solicitud de información para la elaboración del reporte de las actividades que son responsabilidad de la Secretaría Distrital de Ambiente en el Plan de Gestión Integral de Residuos Sólidos adoptado mediante Decreto 345 del 30 de diciembre de 2020. Por medio del radicado 2023IE40010. 
3. Proyectos de promoción de aprovechamiento de residuos peligrosos, especiales y de manejo diferenciado.
Se atendieron 12 solicitudes de aceite vegetal usado, se avanzo en la verificación de 964 reportes, de acuerdo a esa revisión se reporta un total de 146,16 toneladas de aceite vegetal usado gestionado. En cuanto al registro de acopiadores de llantas se atendieron 6 solitudes.</t>
  </si>
  <si>
    <t>Durante el periodo comprendido entre el 01 de enero al 28 de febrero de 2023 no se realizaron actuaciones administrativas sancionatorias de impulso o de fondo. .
Los avances en la magnitud de la meta están sujetos a la demanda de conceptos técnicos que remita el área técnica para ser acogidos jurídicamente, la cual para este mes no demando.</t>
  </si>
  <si>
    <t>A febrero de 2023 se logró avanzar en el 0,17%  correspondiente a la elaboración  y comienzo de la implementación de 1 programa de actividades de evaluación, control y seguimiento ambiental encaminadas a la adecuada disposición y aprovechamiento de residuos en Bogotá establecido para la vigencia 2023,  el cual se encuentra definido por siete actividades cada una con una ponderación específica dependiendo de su importancia y que a febrero reportan   avance en cico actividades  así: 
-Priorización y definición de actividades y usuarios a controlar: 0,025%
Enero 2023: se avanzó en la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0,029%
A febrero de 2023  se realizaron 1.252 actuaciones de evaluación control y seguimiento a la disposición y aprovechamiento de residuos en Bogotá así:
RESIDUOS DE CONSTRUCCIÓN Y DEMOLICIÓN (RCD) OBRAS:323
RCD INFRAESTRUCTURA PERMISOS DE OCUPACIÓN DE CAUCE (POC) Y ESTRUCTURA ECOLÓGICA PRINCIPAL (EPP):16
RESIDUOS HOSPITALARIOS :719
RESPEL:194
-Controlar la disposición adecuada de residuos especiales, peligrosos, ordinarios y de manejo diferenciado: 0,035.
Las actuaciones técnicas permitieron controlar   la disposición adecuada   410.892 ton de residuos peligrosos clasificadas de la siguiente manera:
Asi mismo las actuaciones permitieron controla el aprovechamiento de 121.167,88 toneladas de residuos especiales y peligrosos generadas en el Distrito Capital, acorde con los siguientes tipos de residuos:
-Reporte y consolidación  de Informe eficiencia de actuaciones técnicas y administrativas de evaluación control y seguimiento al mes de febrero de 2023: 0,006%</t>
  </si>
  <si>
    <t>Durante febrero de 2023 se estructuró y formuló el  "Programa de actividades de evaluación, control y seguimiento ambiental encaminadas a la adecuada disposición y aprovechamiento de residuos en Bogotá" Informe Tecnico No. 01158, 02 de marzo del 2023; El documento del programa describe la planificación, priorización  y ejecución de las actuaciones técnico administrativas programadas a realizar por la Subdirección de Control ambiental al Sector Público y la Subdirección de Recurso Hídrico y del Suelo durante la vigencia 2023, como parte de las acciones de evaluación control y seguimiento ambiental que realiza la Secretaría Distrital de Ambiente, en el marco del cumplimiento normativo para la adecuada disposición y aprovechamiento de residuos peligrosos, especiales,ordinarios y de manejo diferenciado en Bogotá.</t>
  </si>
  <si>
    <t xml:space="preserve">A enero de 2023 se avanzó en la estructuración del "Programa de actividades de evaluación, control y seguimiento ambiental encaminadas a la adecuada disposición y aprovechamiento de residuos en Bogotá" </t>
  </si>
  <si>
    <t>OBLIGACIÓN  / GIRO</t>
  </si>
  <si>
    <t>Se avanzó en la elaboración del  Primer instrumento técnico: Programa de actividades de evaluación, control y seguimiento ambiental encaminadas a la adecuada disposición y aprovechamiento de residuos en Bogotá.</t>
  </si>
  <si>
    <t>Se avanzó en la elaboración del segundo instrumento técnico Informe técnico eficiencia e Implementación del programa de actividades de evaluación, control y seguimiento ambiental encaminadas a la adecuada disposición y aprovechamiento de residuos en Bogotá.</t>
  </si>
  <si>
    <t>Se terminó segundo instrumento técnico Informe técnico eficiencia e Implementación del programa de actividades de evaluación, control y seguimiento ambiental encaminadas a la adecuada disposición y aprovechamiento de residuos en Bogotá.</t>
  </si>
  <si>
    <t>A Febrero de 2023 se estructuró y formuló el  "Programa de actividades de evaluación, control y seguimiento ambiental encaminadas a la adecuada disposición y aprovechamiento de residuos en Bogotá" Informe Tecnico No. 01158, 02 de marzo del 2023; El documento del programa describe la planificación, priorización  y ejecución de las actuaciones técnico administrativas programadas a realizar por la Subdirección de Control ambiental al Sector Público y la Subdirección de Recurso Hídrico y del Suelo durante la vigencia 2023, como parte de las acciones de evaluación control y seguimiento ambiental que realiza la Secretaría Distrital de Ambiente, en el marco del cumplimiento normativo para la adecuada disposición y aprovechamiento de residuos peligrosos, especiales,ordinarios y de manejo diferenciado en Bogotá.
A marzo de 2023, se avanza en 25%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 lo anterior como parte de la elaboración del segundo instrumento técnico</t>
  </si>
  <si>
    <t>A Marzo de 2023 se estructuró y formuló el  "Programa de actividades de evaluación, control y seguimiento ambiental encaminadas a la adecuada disposición y aprovechamiento de residuos en Bogotá" Informe Tecnico No. 01158, 02 de marzo del 2023
A abril de 2023, se avanza en 32%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 lo anterior como parte de la elaboración del segundo instrumento técnico</t>
  </si>
  <si>
    <t>En enero de 2021  con recursos de reserva 2020 la Subdirección de Control Ambiental al Sector Público (SCASP) y la Subdirección del Recurso Hídrico y del Suelo (SRHS) con el objeto de proyectar el cumplimiento de la meta Plan de Desarrollo establecida para la vigencia 2021, realizaron la formulación preliminar del PROGRAMA  DE ACTIVIDADES DE EVALUACIÓN, CONTROL Y SEGUIMIENTO AMBIENTAL A LA ADECUADA DISPOSICIÓN Y APROVECHAMIENTO DE RESIDUOS EN BOGOTÁ en el cual se describe la priorización, planificación y ejecución de las actuaciones técnico administrativas programadas para la vigencia 2021.
En febrero  de 2021  se aprobó la formulación del programa en mención según Informe técnico Número No 00185 del 3 de febrero de 2021  y se inició  su implementación por lo cual se realizaron actividades de evaluación, control y seguimiento que permitieron controlar la disposición adecuada de 1.447.134,15 t de residuos peligrosos, ordinarios, especiales y/o de manejo diferenciado así: 
La SCASP  controló la disposición  de 1.445.738,12 t y  el aprovechamiento de 276.259,65 t de residuos  con la realización de  2.523  Actuaciones técnicas así:
RESIDUOS DE CONSTRUCCIÓN Y DEMOLICIÓN RCD – OBRAS:   897 acciones, (163 aportan al control de  toneladas dispuestas y  a las toneladas aprovechadas)
RESIDUOS HOSPITALARIOS Y SIMILARES: 493 acciones ( 215 aportan al control de toneladas dispuestas y aprovechadas)
RCD – INFRAESTRUCTURA Y PROYECTOS ESPECIALES DE INFRAESTRUCTURA Y ESTRUCTURA ECOLÓGICA PRINCIPAL. 185 acciones  (23  aportan al control de toneladas dispuestas y  a toneladas aprovechadas)
CONTROL AMBIENTAL A ENTIDADES PÚBLICAS: 28 acciones (3 aportan al control de toneladas dispuestas y a toneladas aprovechadas.)
CONTROL AMBIENTAL MANEJO RESIDUOS LLANTAS USADAS: 920 acciones ( 870 aportan toneladas aprovechadas) 
La SRHS, controló la disposición de 1396.03 t de residuos peligrosos así:
Grandes Generadores: 1200.85 t
Medianos Generadores: 188.97 t
Pequeños Generadores: 6.21 t</t>
  </si>
  <si>
    <t xml:space="preserve">Para el cumplimiento de las regulaciones y control a la gestión de residuos, la Secretaría Distrital de Ambiente durante los meses de enero y febrero del año 2021 atendió el 100% de los conceptos técnicos que recomiendan una actuación administrativa sancionatoria y el 0,72 % de magnitud física pendiente por atender de la vigencia 2020, distribuida así:
Vigencia: 
Febrero 2021: 
N° de Conceptos Técnicos que recomiendan actuaciones administrativas sancionatorias: 14
N° de Conceptos Técnicos atendidos jurídicamente: 14
Reserva: 
N° de Conceptos Técnicos que recomiendan actuaciones administrativas sancionatorias pendientes vigencia 2020: 12
N° de Conceptos Técnicos atendidos jurídicamente pendientes vigencia 2021: 12
Total, avance magnitud vigencia 2021: 4.08 % 
Total, avance magnitud reserva 2020: 0,74 % 
Por último, es importante tener presente que los avances en la magnitud de la meta están sujetos a la demanda de conceptos técnicos que remitan las áreas para ser acogidos jurídicamente; por lo tanto, el porcentaje de la magnitud programada se subdivide en proporciones de 2.08% (enero-diciembre) y sobre este porcentaje se medirán los avances mensuales.   </t>
  </si>
  <si>
    <t xml:space="preserve">Las actividades desarrolladas durante enero de 2021 se financiaron con los recursos de la reserva y el avance se establecerá una vez se inicie la ejecución de los trece proyectos programados con recursos de la vigencia. Se relacionan las actividades adelantadas durante los meses de enero y febrero como parte de los 6 proyectos:
Proyecto 1. Programa ECOLECTA: Actualización de 85 puntos en el visor GEO; se cuenta a la fecha con un total de 1.125 puntos activos.
Proyecto 2, Articulación con la ciudadanía para la gestión de residuos en propiedad horizontal: Se realizaron 2 capacitación con un total de 27 asistentes se hizo entrega de 6 contenedores en loc. Barrios Unidos.
Proyecto 3. Dinamización de la red de economía circular: Se realiza reunión con los programas posconsumo con el fin de conocer actividades de gestión 2021. Lumina Recopila, Grupo retorna, Programa posconsumo Ecocomputo. Se realiza reunión con UAESP con el fin de articular actividades programa ECOLECTA. Se realiza reunión con el Ministerio de Ambiente con el fin de dar a conocer la implementación del registro de empresas transformadoras de envases y empaques establecida en la Resolución 1342 de 2020.
Proyecto 4. Información y capacitación en consumo responsable para el manejo de residuos. Se realizó una capacitación dirigida al gremio de los taxistas como se deben disponer los residuos de manejo diferenciado. 16 personas. Se realizo capacitación en compañía OPEL (SDA) Programas posconsumo 24 personas capacitas. 
Proyecto 5. Operación y seguimiento del registro de Aceite Vegetal Usado. Total, de aceite vegetal usado reportado durante el mes de febrero año 2021, es de 205,84 T. 
Proyecto 6. Operación y seguimiento al registro de acopiadores de llantas usadas. Se recibieron 9 solicitudes de registros de acopiadores de llantas, Y del registro de aceite vegetal usado se recibieron 43 solicitudes. </t>
  </si>
  <si>
    <t>En enero de 2021, con recursos de reserva se realizó la formulación del programa para la vigencia 2021.
En febrero de 2021 se aprobó la formulación del programa según Informe técnico  No 00185 del 3/02/2021 y se inició su implementación, gracias a lo cual se ha logrado la disposición a marzo de 2021 de 1.848.562,81 ton de residuos peligrosos, ordinarios, especiales y/o de manejo diferenciado y el aprovechamiento de 360.152,01 ton de residuos, asociadas con 3169 acciones que se distribuyeron así: 
Residuos de Construcción y Demolición RCD – Obras:   1082 acciones, (223 aportan al control de toneladas dispuestas y a las toneladas aprovechadas)
Residuos hospitalarios y similares: 768 acciones (262 aportan al control de toneladas dispuestas y aprovechadas)
RCD – Infraestructura y proyectos especiales de infraestructura y estructura ecológica principal: 185 acciones (24 aportan al control de toneladas dispuestas y a toneladas aprovechadas)
Control ambiental a entidades públicas: 65 acciones (8 aportan al control de toneladas dispuestas y 15 a toneladas aprovechadas.)
Control ambiental manejo residuos llantas usadas: 1069 acciones (384 aportan toneladas aprovechadas) 
Durante el primer trimestre de 2021 realizó el control a 3.201.79 ton de residuos peligrosos (RESPEL), asociadas con la realización de 208 actividades en cumplimiento al Programa de Control así:
Inscripción como acopiador primario de aceite usado: 29
Registros generadores de RESPEL: 51
 Registro en el Inventario Nacional de PCB: 3
Seguimiento a movilizadores de aceite usado: 1
Evaluación Solicitudes de Movilizador de aceite usado: 1
Atención a quejas y derechos de petición: 100
Validación de Planes de Contingencia: 23
Se aclara que el porcentaje de avance, del 21% en esta meta, se da en relación a controlar la disposición y aprovechamiento adecuado de 10.500.000  ton de residuos peligrosos.</t>
  </si>
  <si>
    <t>Para el cumplimiento de las regulaciones y control a la gestión de residuos, la Secretaría Distrital de Ambiente durante el primer trimestre del año 2021 atendió el 100% de los conceptos técnicos que recomiendan una actuación administrativa sancionatoria y el 0,72 % de magnitud física pendiente por atender de la vigencia 2020, distribuida así:
Vigencia: 
Primer Trimestre 2021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Total, avance magnitud vigencia 2021: 6.24 % 
Total, avance magnitud reserva 2020: 0,72 % 
Por último, es importante tener presente que el porcentaje de la magnitud programada se subdivide en proporciones de 2.08% (enero-diciembre) y sobre este porcentaje se medirán los avances mensuales.</t>
  </si>
  <si>
    <t xml:space="preserve">Durante el primer trimestre de 2021 se realizaron  actividades como parte del desarrollo de 6 proyectos de economia circular así:
Proyecto 1. Programa ECOLECTA: Actualización de 88 puntos en el visor GEO;  se cuenta a la fecha con un total de 1.125 puntos activos y 4,67 ton de Residuos de Aparatos Eléctricos y Electrónicos (RAEE) gestionados.
Proyecto 2. Articulación con la ciudadanía para la gestión de residuos en propiedad horizontal:   3 capacitaciones - 27 asistentes y entrega de 1 contenedor en la EMPRESA DE ACUEDUCTO DE BOGOTA. 
Proyecto 3. Dinamización de la red de economía circular: 
7 Reuniones de articulación con Fenalco, ACODRES, IPES, UAESP y Secretaría Distrital de Ambiente  con el objeto de obtener información  de insumos para estructurar  modelos de gestión basados en económia circular de las corrientes priorizadas de biomasa residual (residuos orgánicos), residuos de construcción y demolición (RCD), residuos sector textil. 
1 reunión con los programas posconsumo de Lumina Recopila, Grupo retorna, Ecocomputo (conocer actividades de gestión 2021). 
1 reunión con UAESP (articular actividades programa ECOLECTA)
1 reunión con el Ministerio de Ambiente  (conocer la implementación del registro de empresas transformadoras de envases y empaques según la Resolución 1342 de 2020).
Proyecto 4. Información y capacitación en consumo responsable para el manejo de residuos así:  
 Alcaldia Local de Suba (generalidad y normatividad de los residuos peligrosos y especiales -107 personas ) 
Gremio de taxistas (estilos de vida sostenible 90 personas )  
Programas posconsumo - disposición de residuos de manejo diferenciado - 40 personas 
Proyecto 5. Operación y seguimiento del registro de Aceite Vegetal Usado:  Revisión de 1127 reportes de 867 certificados de disposición final  con un  total acumulado de 299,26 ton.
Proyecto 6. Operación y seguimiento al registro de acopiadores de llantas usadas:  Se recibieron 25 solicitudes de registros de acopiadores de llantas. </t>
  </si>
  <si>
    <t xml:space="preserve">A abril de 2021 se reporta un avance  del 0,32  establecido con la ponderación de cada actividad definida en el programa así: 
-Priorización y definición de actividades y usuarios a controlar. 0,1
En enero de 2021, con recursos de reserva se realizó la formulación del programa para el año 2021.
En febrero de 2021 se aprobó la formulación del programa con Informe técnico No 00185 del 3/02/2021 y se inició su implementación.
-Ejecución de Actuaciones Técnicas y administrativas de evaluación control y seguimiento.  0,13
A abril de 2021  se han realizado 5.247 actuaciones técnicas de evaluación, control y seguimiento encaminadas a la adecuada disposición y aprovechamiento de residuos en Bogotá así:
Residuos de Construcción y Demolición RCD – Obras:   1.327 acciones, (244 aportan al control de ton dispuestas y 166 a las ton aprovechadas)
Residuos hospitalarios y similares: 801 acciones (309 aportan a ton dispuestas y aprovechadas)
RCD – Infraestructura y proyectos especiales de infraestructura y estructura ecológica principal: 306 acciones (26 aportan a  ton dispuestas y  aprovechadas)
Residuos especiales entidades públicas: 86 acciones (15 aportan a ton dispuestas y 22 a ton aprovechadas)
Residuos llantas usadas: 1.748 acciones (422 aportan ton aprovechadas) 
Control y vigilancia A respel: 979 actuaciones (112 aportan al control de ton dispuestas)
-Controlar la disposición adecuada de residuos especiales, peligrosos, ordinarios y de manejo diferenciado.  0,036
-Controlar el aprovechamiento de residuos especiales, peligrosos, ordinarios y de manejo diferenciado. 0,031
Las actuaciones técnicas realizadas permitieron controlar 2.991.493,83  ton. de las cuales   2.440.420,97 ton corresponden a la disposición adecuada  y  551.072,86 ton al aprovechamiento de residuos peligrosos, ordinarios, especiales y/o de manejo diferenciado.
-Reporte y consolidación de Informe eficiencia de Actuaciones Técnicas y administrativas de evaluación control y seguimiento 0,018
</t>
  </si>
  <si>
    <t>Para el cumplimiento de las regulaciones y control a la gestión de residuos, la Secretaría Distrital de Ambiente durante los meses comprendidos entre enero a abril del año 2021, ha atendido el 65,78% de los conceptos técnicos que recomiendan una actuación administrativa sancionatoria y el 0,72 % de magnitud física pendiente por atender de la vigencia 2020, distribuida así:
Primer Trimestre 2021
Vigencia: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Segundo trimestre 2021
Abril: 
N° de Conceptos Técnicos que recomiendan actuaciones administrativas sancionatorias: 38
N° de Conceptos Técnicos atendidos jurídicamente: 25
Total, avance magnitud vigencia 2021: 7,6% 
Total, avance magnitud reserva 2020: 0,72 % 
Por último, es importante tener presente que el porcentaje de la magnitud programada se subdivide en proporciones de 2.08% (enero-diciembre) y sobre este porcentaje se medirán los avances mensuales.</t>
  </si>
  <si>
    <t xml:space="preserve">A abril de 2021 se ha inciado e implementado 8 proyectos de economía circular a continuación se presentan los avances: 
Proyecto 1. Programa ECOLECTA: Actualización de 88 puntos en el visor GEO;  1.125 puntos activos y se han recolectado y gestionado 7,14 ton de Residuos de Aparatos Eléctricos y Electrónicos RAEE.
Proyecto 2. Articulación con la ciudadanía para la gestión de residuos en propiedad horizontal:   40 personas sensibilizadas, 5 capacitaciones, 7 conjuntos residenciales sensibilizados y 4 contenedores instalados. 
Proyecto 3. Dinamización de la red de economía circular: 
 19 Reuniones con:  Fenalco, ACODRES, IPES, UAESP: estructurar  modelos de gestión basados en económica circular de las corrientes de biomasa residual (residuos orgánicos), residuos de construcción y demolición (RCD), residuos sector textil.
Elaboración de 2 Modelos de gestión de los materiales priorizados bajo el esquema de economía circular.
1 Reunión con Ministerio de Ambiente establecer la implementación del registro de empresas transformadoras de envases y empaques
31 interacciones empresariales en BOLSA DE RESIDUOS Y SUBPRODUCTOS INDUSTRIALIZABLES BORSI
Proyecto 4. Capacitación en consumo responsable para el manejo de residuos:  
 Crecimiento Verde:  515 personas en acciones de economía circular. 
 Unidad Administrativa Especial de Servicios Públicos:  implementación de puntos de recolección de residuos posconsumo,  seguimiento a 12 puntos 
Proyecto 5. Operación y seguimiento del registro de Aceite Vegetal Usado AVU: 146 registros atendidos, revisión de 2155 y reporte de 315,25 ton de AVU gestionados.
Proyecto 6 y 7 Operación y seguimiento al registro de acopiadores de llantas usadas:  55 solicitudes 
Proyecto 8 . Se concertó el plan de acción de la mesa distrital  proyectos del PGIRP vigente y el plan de actualización
Número de registro de envases y empaques recibidos 17, número de registros aprobados 9 y 10 solicitudes de apoyo. </t>
  </si>
  <si>
    <t>A agosto de 2021 se reporta un avance del 0,67 así: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0,37
A julio de 2021 se realizaron 13.338 actuaciones técnicas, de las cuales 1.093 aportan a disposición adecuada, 1.407 a ton aprovechadas y 8.845 hacen parte de acciones de seguimiento al cumplimiento de la normatividad ambiental relacionada con residuos así: 
Residuos de Construcción y Demolición RCD – obras: 2.197 acciones (479 aportan al control de ton dispuestas y 316 a ton aprovechadas)
Residuos hospitalarios y similares: 3.143 acciones (479 aportan a ton dispuestas y 410 a ton aprovechadas)
RCD - proyectos especiales de infraestructura: 694 acciones (69 aportan a ton dispuestas y 53 a aprovechadas)
Residuos especiales entidades públicas: 212 acciones (29 aportan a ton dispuestas y 65 a ton aprovechadas)
Residuos llantas usadas: 3.708 acciones (824 aportan a ton aprovechadas) 
Control y vigilancia a RESPEL: 3.384 acciones (243 aportan a ton dispuestas)
-Controlar la disposición adecuada de residuos especiales, peligrosos, ordinarios y de manejo diferenciado: 0,077
-Controlar el aprovechamiento de residuos especiales, peligrosos, ordinarios y de manejo diferenciado: 0,078
Las actuaciones técnicas permitieron controlar 6.824.779,15 ton. De las cuales 5.456.609,62 ton aportan a la disposición adecuada y 1.368.169,53  ton al aprovechamiento de residuos peligrosos, ordinarios, especiales y/o de manejo diferenciado.
-Reporte y consolidación a agosto de 2021 de Informe eficiencia de actuaciones técnicas y administrativas de evaluación control y seguimiento: 0,046.</t>
  </si>
  <si>
    <t xml:space="preserve">Para el cumplimiento de las regulaciones y control a la gestión de residuos, la Secretaría Distrital de Ambiente durante los meses comprendidos entre enero a agosto del año 2021, ha atendido el 91,78% de los conceptos técnicos que recomiendan una actuación administrativa sancionatoria y el 0,72 % de magnitud física pendiente por atender de la vigencia 2020, distribuida así:
Primer Trimestre 2021
Vigencia: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Segundo trimestre 2021
Abril: 
N° de Conceptos Técnicos que recomiendan actuaciones administrativas sancionatorias: 38
N° de Conceptos Técnicos atendidos jurídicamente: 25
Mayo: 
N° de Conceptos Técnicos que recomiendan actuaciones administrativas sancionatorias: 16
N° de Conceptos Técnicos atendidos jurídicamente: 15
N° de Conceptos Técnicos atendidos jurídicamente pendientes abril: 3 
Junio: 
N° de Conceptos Técnicos que recomiendan actuaciones administrativas sancionatorias:1
N° de Conceptos Técnicos atendidos jurídicamente: 1
N° de Conceptos Técnicos atendidos jurídicamente pendientes abril y mayo: 5 
Julio 
N° de Conceptos Técnicos que recomiendan actuaciones administrativas sancionatorias:2
N° de Conceptos Técnicos atendidos jurídicamente: 1
Agosto: 
N° de Conceptos Técnicos que recomiendan actuaciones administrativas sancionatorias:1
N° de Conceptos Técnicos atendidos jurídicamente: 1
N° de Conceptos Técnicos atendidos jurídicamente pendiente julio:1
Total, avance magnitud vigencia 2021: 15,27% 
Total, avance magnitud reserva 2020: 0,72 % 
 </t>
  </si>
  <si>
    <t>A agosto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60%.
Ecolecta (Permanente) busca culturizar y promover a la ciudadanía sobre la disposición adecuada de residuos peligrosos. Avance: 75% 
Articulación de la ciudadanía para la gestión de residuos en propiedad horizontal busca evitar la gestión inadecuada de aceites usados en el sector residencial evitando taponamiento de tuberías y fuentes hídricas. Avance: 66,6 %
Red de economía circular: Busca disminuir la deficiencia en el flujo de información sobre los productos, servicios, procesos productivos y normatividad, relacionados con la producción y el consumo Sostenible. Avance: 66,6%
Caja de herramientas:  Su fin es culturizar y promover la disposición adecuada de residuos peligrosos. Avance: 62%
Capacitación para el crecimiento verde:  Fortalece el capital humano para la transición hacia el crecimiento verde, uno de los temas relevantes es el manejo responsable de los materiales y residuos en los actores de la cadena de valor. Avance: 68%
Actualización y desarrollo del plan de gestión integral de residuos peligroso PGIRP de Bogotá: Su objetivo es la actualización de un plan actualizado. Avance: 64%
Operación al registro de Aceite Vegetal Usado Inadecuada evita la inadecuada disposición de este residuo. Avance: 66%
Operación al registro acopiadores de llantas usadas: Busca atender los inconvenientes por la inadecuada disposición de este residuo. Avance: 66%
Difusión e información sobre economía circular. Avance: 35%
Promover el consumo responsable: busca promover estilos de consumo sostenibles. Avance: 63%
Activación 12.21 30 %</t>
  </si>
  <si>
    <t>A octubre de 2021 se reporta un avance del 0,83 relacionado con: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0,48
A octubre de 2021 se realizaron 16.683 actuaciones técnicas, de las cuales 1.908 aportan a disposición adecuada, 2.329 a ton aprovechadas y 12.446 hacen parte de acciones de seguimiento al cumplimiento de la normatividad ambiental relacionada con residuos así: 
Residuos de Construcción y Demolición RCD – obras: 2.866 acciones (668 aportan al control de ton dispuestas y 422 a ton aprovechadas)
Residuos hospitalarios y similares: 3.785 acciones (810 aportan a ton dispuestas y 675 a ton aprovechadas)
RCD - proyectos especiales de infraestructura: 856 acciones (82 aportan a ton dispuestas y 60 a aprovechadas)
Residuos especiales entidades públicas: 247 acciones (31 aportan a ton dispuestas y 69 a ton aprovechadas)
Residuos llantas usadas: 4.941 acciones (1103 aportan a ton aprovechadas) 
Control y vigilancia a RESPEL: 3.988 acciones (317 aportan a ton dispuestas)
-Controlar la disposición adecuada de residuos especiales, peligrosos, ordinarios y de manejo diferenciado: 0,098
-Controlar el aprovechamiento de residuos especiales, peligrosos, ordinarios y de manejo diferenciado: 0,097
Las actuaciones técnicas permitieron controlar 8.840.579,11 ton. De las cuales 7.138.781,73 ton aportan a la disposición adecuada y 1.701.797,38 ton al aprovechamiento de residuos peligrosos, ordinarios, especiales y/o de manejo diferenciado.
-Reporte y consolidación a eficiencia de 2021 de Informe eficiencia de actuaciones técnicas y administrativas de evaluación control y seguimiento: 0,059.</t>
  </si>
  <si>
    <t xml:space="preserve">Para el cumplimiento de las regulaciones y control a la gestión de residuos, la Secretaría Distrital de Ambiente durante los meses comprendidos entre enero a octubre del año 2021, ha atendido el 94% de los conceptos técnicos representados en la atención de 92 actos administrativos y el 0,72 % de magnitud física pendiente por atender de la vigencia 2020, distribuida así:
Vigencia: 
N° de Conceptos Técnicos que recomiendan actuaciones administrativas sancionatorias: 98
N° de Conceptos Técnicos atendidos jurídicamente: 92
Reserva: 
N° de Conceptos Técnicos que recomiendan actuaciones administrativas sancionatorias pendientes vigencia 2020: 12
N° de Conceptos Técnicos atendidos jurídicamente pendientes de la vigencia 2020: 12
Total, avance magnitud vigencia 2021: 19,05% 
Total, avance magnitud reserva 2020: 0,72 % 
Por último, es importante tener presente que el porcentaje de la magnitud programada se subdivide en proporciones de 2.08% (enero-diciembre) y sobre este porcentaje se medirán los avances mensuales.
 </t>
  </si>
  <si>
    <t>A octubre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62%.
Ecolecta (Permanente) busca culturizar y promover a la ciudadanía sobre la disposición adecuada de residuos peligrosos. Avance: 80% 
Articulación de la ciudadanía para la gestión de residuos en propiedad horizontal busca evitar la gestión inadecuada de aceites usados en el sector residencial evitando taponamiento de tuberías y fuentes hídricas. Avance: 79%
Red de economía circular: Busca disminuir la deficiencia en el flujo de información sobre los productos, servicios, procesos productivos y normatividad, relacionados con la producción y el consumo Sostenible. Avance: 77%
Caja de herramientas:  Su fin es culturizar y promover la disposición adecuada de residuos peligrosos. Avance: 80%
Capacitación para el crecimiento verde:  Fortalece el capital humano para la transición hacia el crecimiento verde, uno de los temas relevantes es el manejo responsable de los materiales y residuos en los actores de la cadena de valor. Avance: 78%
Actualización y desarrollo del plan de gestión integral de residuos peligroso PGIRP de Bogotá: Su objetivo es la actualización de un plan actualizado. Avance: 75%
Operación al registro de Aceite Vegetal Usado Inadecuada evita la inadecuada disposición de este residuo. Avance: 77%
Operación al registro acopiadores de llantas usadas: Busca atender los inconvenientes por la inadecuada disposición de este residuo. Avance: 76%
Difusión e información sobre economía circular. Avance: 65%
Promover el consumo responsable: busca promover estilos de consumo sostenibles. Avance: 66 %
Activación 12.21:   62 %</t>
  </si>
  <si>
    <t>A diciembre de 2021 se logra el cumplimiento del 100%  de la meta, así: 
-Priorización y definición de actividades y usuarios a controlar: 0,1
Enero 2021: con recursos de reserva se realizó la formulación de 1 (un)  programa (informe técnico No 00185 del 3/02/2021) y se realizó su implementación con las siguientes actividades:
-Ejecución de actuaciones técnicas y administrativas de evaluación control y seguimiento: 0,58
A diciembre de 2021 se realizaron 20.142 actuaciones técnicas, de las cuales 2.348 aportan a disposición adecuada, 3.031 a ton aprovechadas y 14.763 hacen parte de acciones de seguimiento al cumplimiento de la normatividad ambiental relacionada con residuos. Por grupos de residuos las acciones se distribuyen así: 
Residuos de Construcción y Demolición RCD – obras: 3.483 acciones (776 aportan al control de ton dispuestas y 479 a ton aprovechadas)
Residuos hospitalarios y similares: 4.572 acciones (1.096 aportan a ton dispuestas y 937 a ton aprovechadas)
RCD - proyectos especiales de infraestructura: 987 acciones (96 aportan a ton dispuestas y 68 a aprovechadas)
Residuos especiales entidades públicas: 289 acciones (32 aportan a ton dispuestas y 70 a ton aprovechada
Residuos llantas usadas: 6.254 acciones (1.477 aportan a ton aprovechadas) 
Control y vigilancia a RESPEL: 4.557 acciones (348 aportan a ton dispuestas)
-Controlar la disposición adecuada de residuos especiales, peligrosos, ordinarios y de manejo diferenciado: 0,13
-Controlar el aprovechamiento de residuos especiales, peligrosos, ordinarios y de manejo diferenciado: 0,12
Las actuaciones técnicas permitieron controlar  10.602.822,16  ton. De las cuales 8.466.949,41 ton aportan a la disposición adecuada y 2.135.872,75  ton al aprovechamiento de residuos peligrosos, ordinarios, especiales y/o de manejo diferenciado.
-Reporte y consolidación a eficiencia de 2021 de Informe eficiencia de actuaciones técnicas y administrativas de evaluación control y seguimiento: 0,07</t>
  </si>
  <si>
    <t xml:space="preserve">Para el cumplimiento de las regulaciones y control a la gestión de residuos, la Secretaría Distrital de Ambiente durante lo corrido de la vigencia 2021, se logró atender  el 99,1% de los conceptos técnicos, equivalente a un cumplimiento del 24,82% sobre la magnitud programada para la vigencia y representados en 122 actos administrativos de caracter sancionatorio y el 0,72 % de magnitud física pendiente por atender de la vigencia 2020, distribuida así:
Vigencia: 
N° de Conceptos Técnicos que recomiendan actuaciones administrativas sancionatorias: 123
N° de Conceptos Técnicos atendidos jurídicamente: 122
Reserva: 
N° de Conceptos Técnicos que recomiendan actuaciones administrativas sancionatorias pendientes vigencia 2020: 12
N° de Conceptos Técnicos atendidos jurídicamente pendientes de la vigencia 2020: 12
Total, avance magnitud vigencia 2021: 24,82% </t>
  </si>
  <si>
    <t>A diciembre de 2021 se cumplió con el 100 % de actividades programadas para cada uno de los proyectos de economia circular y se presentan los avances en los 13 proyectos de economía circular para cerrar el ciclo de vida de los materiales así:
Jornadas de devolución de residuos RECICLATÓN: busca disminuir la disposición inadecuada de residuos peligrosos generados por las empresas públicas y privadas.  Avance: 100%.
Ecolecta (Permanente) busca culturizar y promover a la ciudadanía sobre la disposición adecuada de residuos peligrosos. Avance: 100% 
Articulación de la ciudadanía para la gestión de residuos en propiedad horizontal busca evitar la gestión inadecuada de aceites usados en el sector residencial evitando taponamiento de tuberías y fuentes hídricas. Avance: 100%
Red de economía circular: Busca disminuir la deficiencia en el flujo de información sobre los productos, servicios, procesos productivos y normatividad, relacionados con la producción y el consumo Sostenible. Avance: 100%
Caja de herramientas:  Su fin es culturizar y promover la disposición adecuada de residuos peligrosos. Avance: 100%
Capacitación para el crecimiento verde:  Fortalece el capital humano para la transición hacia el crecimiento verde, uno de los temas relevantes es el manejo responsable de los materiales y residuos en los actores de la cadena de valor. Avance: 100%
Actualización y desarrollo del plan de gestión integral de residuos peligroso PGIRP de Bogotá: Su objetivo es la actualización de un plan actualizado. Avance: 100%
Operación al registro de Aceite Vegetal Usado Inadecuada evita la inadecuada disposición de este residuo. Avance: 100%
Operación al registro acopiadores de llantas usadas: Busca atender los inconvenientes por la inadecuada disposición de este residuo. Avance: 100%
Difusión e información sobre economía circular. Avance: 100%
Promover el consumo responsable: busca promover estilos de consumo sostenibles. Avance: 100%
Activación 12.21 100%
Incentivar los estilos de vida Sostenible  Participación en la mesa nacional de EVS y actividades de articulación interinstitucional sobre EVS 100%</t>
  </si>
  <si>
    <t>A diciembre de 2022 se logró alcanzar la implementación de  1 programa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0,58
A diciembre de 2022 se realizaron 27.085 actuaciones técnicas, Por tipos de residuos las acciones se distribuyen así:
Residuos de Construcción y Demolición RCD – obras: 3.659
Residuos hospitalarios y similares: 6.028 acciones
Residuos infecciosos y químicos Micro: 2.748 acciones
RCD - proyectos especiales de infraestructura: 1.313 acciones 
Evaluación control y seguimiento Metro: 1.691 acciones 
Residuos especiales entidades públicas: 385 acciones 
Residuos llantas usadas: 7.411 acciones 
Control y vigilancia a RESPEL: 3.850 acciones 
-Controlar la disposición adecuada de residuos especiales, peligrosos, ordinarios y de manejo diferenciado: 0,13
-Controlar el aprovechamiento de residuos especiales, peligrosos, ordinarios y de manejo diferenciado:0,12
Las actuaciones técnicas permitieron controlar  16.759.063,97  ton. De las cuales 13.651.068,64 ton aportan a la disposición adecuada y 3.107.995,33 ton a aprovechamiento.
-Reporte y consolidación  de Informe eficiencia de actuaciones técnicas y administrativas de evaluación control y seguimiento al mes de diciembre de 2022: 0,07</t>
  </si>
  <si>
    <t xml:space="preserve">Para el cumplimiento de las regulaciones y control a la gestión de residuos, la Secretaría Distrital de Ambiente durante el periodo comprendido del 01 de enero al 31 de diciembre del 2022, se recibieron 323 conceptos técnicos de las cuales se acogieron y generaron 317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
</t>
  </si>
  <si>
    <t xml:space="preserve">A diciembre de 2022 se realizaron actividades de gestión que permitieron la implementación al 100% de 10 proyectos de economía circular así:
1.	Reciclaton Empresarial: Busca disminuir la disposición inadecuada de residuos peligrosos generados por las empresas públicas y privadas. 
2.	Ciudadanía con Estilo Verde: Fortalece el capital humano para la transición hacia el crecimiento verde, impulsando el  manejo responsable de los materiales y residuos en los actores de la cadena de valor.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4. 	Gestión de residuos posconsumo en instituciones educativas rurales: Busca dar cumplimiento a las estrategias de conservación promovidas por la SDA conforme con su competencia en conjunto y participación con diferentes actores públicos, privados, institucionales y comunitarios 
5. 	Proyecto de participación ciencia, tecnología e innovación: hoja de ruta para avanzar en la gestión del asbesto instalado en el mediano y largo plazo. 
6.	EC para la gestión de RESPEL: Su objetivo es realizar la verificación y seguimiento de actividades establecidas en el PGIRESPEL y su actualización. 
7.	Instrumentos de gobernanza para la EC: La gobernanza público-privada para generar desarrollo económico sostenible. 
8.	Registro y reporte de trámite de registro: Verificación y seguimiento a tramites de registro de aceite vegetal usado, registro de acopiadores de llantas y registro de empresas transformadoras de envases y empaques. 
9. 	Programa ECOLECTA: Busca culturizar y promover a la ciudadanía sobre la disposición adecuada de residuos peligrosos. 
10. 	Promoción del registro y reporte de Aceites Vegetales Usados en plazas de mercado distritales a través articulación con el IPES </t>
  </si>
  <si>
    <t>A Diciembre  de 2022, la Secretaría Distrital de Ambiente controló la gestión adecuada de  16.760.475,97 ton de residuos peligrosos, ordinarios, especialesde los cuales  13.651.068,64 ton corresponden a disposición adecuada  y 3109407,33  ton a  aprovechamiento de residuos  en el D.C.</t>
  </si>
  <si>
    <t>Se incluyen   columnas con nuevos patrones de medición en los omponentes de Gestión e Inversión</t>
  </si>
  <si>
    <t>Radicado No. 2021IE106063 del 31 de mayo del 2021.</t>
  </si>
  <si>
    <t xml:space="preserve">TOTAL </t>
  </si>
  <si>
    <r>
      <t>Versión:</t>
    </r>
    <r>
      <rPr>
        <b/>
        <sz val="14"/>
        <color rgb="FFFF0000"/>
        <rFont val="Arial"/>
        <family val="2"/>
      </rPr>
      <t xml:space="preserve"> </t>
    </r>
    <r>
      <rPr>
        <b/>
        <sz val="14"/>
        <rFont val="Arial"/>
        <family val="2"/>
      </rPr>
      <t>14</t>
    </r>
  </si>
  <si>
    <t>Formato: Programación, Actualización y Seguimiento del Plan de Acción - Componente de  Territorialización</t>
  </si>
  <si>
    <t>Para el año 2023 se establecieron y priorizaron 12 proyectos de economía circular enfocados en tres temáticas especificas. Durante el mes de mayo se reporta el avance de acciones en 12 proyectos de economía circular (PEC). 
PROYECTOS DE ARTICULACIÓN DE ACTORES DE LA DE RED ECONOMÍA CIRCULAR 
PEC #1 Recolección de residuos peligrosos especiales y de manejo diferenciado en el sector empresarial en el marco de la campaña “Reciclatón Empresarial de posconsumo, especiales, envases y empaques. AVANCE 10%
PEC #2 Promoción y difusión de la adecuada gestión de residuos peligrosos y especiales en el sector residencial en el marco del proyecto “Bogotá RIE Fase I - La palabra enseña y el ejemplo moviliza” AVANCE 28%
PEC # 3 Promoción a la gestión integral de asbesto - Acuerdo 825 de 2021. AVANCE 26%
PEC # 4 Economía circular de residuos de construcción y demolición. AVANCE 19%
PEC # 5 Economía circular sector textil. AVANCE 15%
PEC # 6 Economía circular sector gastronómico y biomasa residual. AVANCE 20%
PEC # 7 Promoción a la gestión adecuada de residuos de Movilidad eléctrica - Acuerdo 811 de 2021. AVANCE 15%
PEC # 8 Proyecto educativo Ecolecta 2023 AVANCE 8%
PROYECTOS DE PROCESAMIENTO, PRODUCCIÓN Y DIFUSIÓN DE INFORMACIÓN DE ECONOMÍA CIRCULAR.
PEC # 9 Identificación y articulación de acciones para la promoción de estilos de vida sostenible. AVANCE 15%
PEC # 10 Promoción a la gestión integral de RESPEL. AVANCE 10%
PEC#11  Coordinación interna de actividades establecidas en el PGIRS. AVANCE 12%
PROYECTOS DE PROMOCIÓN DE APROVECHAMIENTO DE RESIDUOS PELIGROSOS, ESPECIALES Y DE MANEJO DIFERENCIADO
PEC #12 Registro y reporte de trámites de residuos - 2023 AVANCE 38%</t>
  </si>
  <si>
    <t xml:space="preserve">En el marco de las acciones de evaluación, control y seguimiento a los factores de deterioro ambiental como los son los residuos y escombros, la Secretaría Distrital de Ambiente durante el periodo comprendido entre el 01 enero al 31 de mayo del año 2023, atendió el 100% de los conceptos técnicos que recomiendan una actuación administrativa sancionatoria, distribuida así:
N° de Conceptos Técnicos que recomiendan actuaciones administrativas sancionatorias: 141
N° de Conceptos Técnicos acogidos jurídicamente mediante acto administrativo: 141
Para el 2022 no se atendieron jurídicamente 6 conceptos tecnicos, los cuales se constituyeron como productos de la reserva, sobre los cuales ya se han emitido las actuaciones jurídicas requeridas. </t>
  </si>
  <si>
    <t>1
2
3
4
5
6
7
8</t>
  </si>
  <si>
    <t>A mayo de 2023, se avanza en 41%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 lo anterior como parte de la elaboración del segundo instrumento técnico</t>
  </si>
  <si>
    <t>A mayo de 2023  se realizaron 8.724 actuaciones de evaluación control y seguimiento a la disposición y aprovechamiento de residuos en Bogotá 
-Controlar la disposición adecuada de residuos especiales, peligrosos, ordinarios y de manejo diferenciado: 0,064
Las actuaciones técnicas permitieron controlar   la disposición adecuada de  3.961.418 Ton de residuos peligrosos 
-Controlar el aprovechamiento de residuos especiales, peligrosos, ordinarios y de manejo diferenciado: 0,036 
 las actuaciones permitieron controla el aprovechamiento de 1.059.809,8 ton de residuos especiales y peligrosos generadas en el D.C. así:
Aprovechamiento RCD PROYECTO
-Reporte y consolidación  de Informe eficiencia de actuaciones técnicas y administrativas de evaluación control y seguimiento al mes de mayo  de 2023: 0,025%</t>
  </si>
  <si>
    <t>A Mayo   de 2023, la Secretaría Distrital de Ambiente controló la gestión adecuada de 5.021.751 ton de residuos peligrosos, ordinarios, especialesde los cuales  3.961.418,06  ton corresponden a disposición adecuada  y  1.060.333  ton a  aprovechamiento de residuos  en el D.C.</t>
  </si>
  <si>
    <t>Para el año 2023 se establecieron y priorizaron 12 proyectos de economía circular enfocados en tres temáticas especificas. Durante el mes de junio se reporta el avance de acciones en 12 proyectos de economía circular (PEC). 
PROYECTOS DE ARTICULACIÓN DE ACTORES DE LA DE RED ECONOMÍA CIRCULAR 
PROYECTOS DE ARTICULACIÓN DE ACTORES DE LA DE RED ECONOMÍA CIRCULAR 
PEC #1 Recolección de residuos peligrosos especiales y de manejo diferenciado en el sector empresarial en el marco de la campaña “Reciclatón Empresarial de posconsumo, especiales, envases y empaques. AVANCE 65%
PEC #2 Promoción y difusión de la adecuada gestión de residuos peligrosos y especiales en el sector residencial en el marco del proyecto “Bogotá RIE Fase I - La palabra enseña y el ejemplo moviliza” AVANCE 38%
PEC # 3 Promoción a la gestión integral de asbesto - Acuerdo 825 de 2021. AVANCE 30%
PEC # 4 Economía circular de residuos de construcción y demolición. AVANCE 25%
PEC # 5 Economía circular sector textil. AVANCE 30%
PEC # 6 Economía circular sector gastronómico y biomasa residual. AVANCE 25%
PEC # 7 Promoción a la gestión adecuada de residuos de Movilidad eléctrica - Acuerdo 811 de 2021. AVANCE 20%
PEC # 8 Proyecto educativo Ecolecta 2023 AVANCE 10%
PROYECTOS DE PROCESAMIENTO, PRODUCCIÓN Y DIFUSIÓN DE INFORMACIÓN DE ECONOMÍA CIRCULAR.
PEC # 9 Identificación y articulación de acciones para la promoción de estilos de vida sostenible. AVANCE 20%
PEC # 10 Promoción a la gestión integral de RESPEL. AVANCE 15%
PEC#11 Coordinación interna de actividades establecidas en el PGIRS. AVANCE 12%
PROYECTOS DE PROMOCIÓN DE APROVECHAMIENTO DE RESIDUOS PELIGROSOS, ESPECIALES Y DE MANEJO DIFERENCIADO
PEC #12 Registro y reporte de trámites de residuos - 2023 AVANCE 50%</t>
  </si>
  <si>
    <t xml:space="preserve">Sistema de información ambiental FOREST 
Archivos de la Dirección de Control Ambiental </t>
  </si>
  <si>
    <t>A junio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técncios se avanza en 50%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</si>
  <si>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A Junio de 2023 se avanzó en el 0,50%  correspondiente a la elaboración  y avance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0,253%
A junio de 2023  se realizaron 11.905 actuaciones de evaluación control y seguimiento a la disposición y aprovechamiento de residuos en Bogotá 
-Controlar la disposición adecuada de residuos especiales, peligrosos, ordinarios y de manejo diferenciado: 0,073
Las actuaciones técnicas permitieron controlar   la disposición adecuada de  5.125.794,23 Ton de residuos peligrosos  y Controlar el aprovechamiento de residuos especiales, peligrosos, ordinarios y de manejo diferenciado: 0,048 
 las actuaciones permitieron controla el aprovechamiento de 1.404.166,14 ton de residuos especiales y peligrosos generadas en el D.C. 
-Reporte y consolidación  de Informe eficiencia de actuaciones técnicas y administrativas de evaluación control y seguimiento al mes de junio  de 2023: 0,032%</t>
  </si>
  <si>
    <t xml:space="preserve">En el marco de las acciones de evaluación, control y seguimiento a los factores de deterioro ambiental como los son los residuos y escombros, la Secretaría Distrital de Ambiente durante el periodo comprendido entre el 01 enero al 30 de junio del año 2023, atendió el 100% de los conceptos técnicos que recomiendan una actuación administrativa sancionatoria, distribuida así:
N° de Conceptos Técnicos que recomiendan actuaciones administrativas sancionatorias: 173
N° de Conceptos Técnicos acogidos jurídicamente mediante acto administrativo: 173
Para el 2022 no se atendieron jurídicamente 6 conceptos tecnicos, los cuales se constituyeron como productos de la reserva, sobre los cuales ya se han emitido las actuaciones jurídicas requeridas. </t>
  </si>
  <si>
    <t>A Junio   de 2023, la Secretaría Distrital de Ambiente controló la gestión adecuada de 6.529.960,37  ton de residuos peligrosos, ordinarios, especialesde los cuales  5.125.794,23  ton corresponden a disposición adecuada  y  1.404.166,14  ton a  aprovechamiento de residuos  en el D.C.</t>
  </si>
  <si>
    <t>A Julio de 2023, la Secretaría Distrital de Ambiente controló la gestión adecuada de 8.177.649,76 ton de residuos peligrosos, ordinarios, especiales de los cuales  6.409.352  ton corresponden a disposición adecuada  y  1.768.297,76  ton a aprovechamiento de residuos  en el D.C.</t>
  </si>
  <si>
    <t>En el marco de las acciones de evaluación, control y seguimiento a los factores de deterioro ambiental como los son los residuos y escombros, la Secretaría Distrital de Ambiente durante el periodo comprendido entre el 01 enero al 31 de julio del año 2023, atendió el 99,6% de los conceptos técnicos que recomiendan una actuación administrativa sancionatoria, distribuida así:
N° de Conceptos Técnicos que recomiendan actuaciones administrativas sancionatorias: 245
N° de Conceptos Técnicos acogidos jurídicamente mediante acto administrativo: 244</t>
  </si>
  <si>
    <t>Para el año 2023 se establecieron y priorizaron 12 proyectos de economía circular enfocados en tres temáticas especificas. Durante el mes de julio se reporta el avance de acciones en 12 proyectos de economía circular (PEC).así: 
PROYECTOS DE ARTICULACIÓN DE ACTORES DE LA DE RED ECONOMÍA CIRCULAR 
PEC #1 Recolección de residuos peligrosos especiales y de manejo diferenciado en el sector empresarial en el marco de la campaña “Reciclatón Empresarial de posconsumo, especiales, envases y empaques. AVANCE 70%
PEC #2 Promoción y difusión de la adecuada gestión de residuos peligrosos y especiales en el sector residencial en el marco del proyecto “Bogotá RIE Fase I - La palabra enseña y el ejemplo moviliza” AVANCE 45%
PEC # 3 Promoción a la gestión integral de asbesto - Acuerdo 825 de 2021. AVANCE 35%
PEC # 4 Economía circular de residuos de construcción y demolición. AVANCE 37%
PEC # 5 Economía circular sector textil. AVANCE 35%
PEC # 6 Economía circular sector gastronómico y biomasa residual. AVANCE 35%
PEC # 7 Promoción a la gestión adecuada de residuos de Movilidad eléctrica - Acuerdo 811 de 2021. AVANCE 40%
PEC # 8 Proyecto educativo Ecolecta 2023 AVANCE 20%
PROYECTOS DE PROCESAMIENTO, PRODUCCIÓN Y DIFUSIÓN DE INFORMACIÓN DE ECONOMÍA CIRCULAR.
PEC # 9 Identificación y articulación de acciones para la promoción de estilos de vida sostenible. AVANCE 65%
PEC # 10 Promoción a la gestión integral de RESPEL. AVANCE 38%
PEC#11 Coordinación interna de actividades establecidas en el PGIRS. AVANCE 60%
PROYECTOS DE PROMOCIÓN DE APROVECHAMIENTO DE RESIDUOS PELIGROSOS, ESPECIALES Y DE MANEJO DIFERENCIADO
PEC #12 Registro y reporte de trámites de residuos - 2023 AVANCE 70%</t>
  </si>
  <si>
    <t>A julio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técncios se avanza en 59%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</si>
  <si>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A Julio de 2023 se avanzó en el 0,59%  correspondiente a la elaboración  y avance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0,302%
A julio de 2023  se realizaron 14.963 actuaciones de evaluación control y seguimiento a la disposición y aprovechamiento de residuos en Bogotá así:
RESIDUOS DE CONSTRUCCIÓN Y DEMOLICIÓN (RCD) OBRAS:1.819
RCD INFRAESTRUCTURA PERMISOS DE OCUPACIÓN DE CAUCE (POC) Y ESTRUCTURA ECOLÓGICA PRINCIPAL (EPP):491
METRO POC EPP:963
RESIDUOS HOSPITALARIOS : 5.057
RESIDUOS INFECCIOSOS MICROGENERADORES:2.874
ENTIDADES PÚBLICAS:449
LLANTAS USADAS: 1.403
JURIDICO: 827
RESPEL:1.080
-Controlar la disposición adecuada de residuos especiales, peligrosos, ordinarios y de manejo diferenciado: 0,085
Las actuaciones técnicas permitieron controlar   la disposición adecuada de  6.409.352  Ton de residuos peligrosos a
-Controlar el aprovechamiento de residuos especiales, peligrosos, ordinarios y de manejo diferenciado: 0,061 
 las actuaciones permitieron controla el aprovechamiento de 1.768.297,76 ton de residuos especiales y peligrosos generadas en el D.C. 
-Reporte y consolidación  de Informe eficiencia de actuaciones técnicas y administrativas de evaluación control y</t>
  </si>
  <si>
    <t>Para el año 2023 se establecieron y priorizaron 12 proyectos de economía circular enfocados en tres temáticas especificas. Durante el mes de julio se reporta el avance de acciones en 12 proyectos de economía circular (PEC).así: 
PROYECTOS DE ARTICULACIÓN DE ACTORES DE LA DE RED ECONOMÍA CIRCULAR 
PEC #1 Recolección de residuos peligrosos especiales y de manejo diferenciado en el sector empresarial en el marco de la campaña “Reciclatón Empresarial de posconsumo, especiales, envases y empaques. AVANCE 70%
PEC #2 Promoción y difusión de la adecuada gestión de residuos peligrosos y especiales en el sector residencial en el marco del proyecto “Bogotá RIE Fase I - La palabra enseña y el ejemplo moviliza” AVANCE 60%
PEC # 3 Promoción a la gestión integral de asbesto - Acuerdo 825 de 2021. AVANCE 35%
PEC # 4 Economía circular de residuos de construcción y demolición. AVANCE 40%
PEC # 5 Economía circular sector textil. AVANCE 45%
PEC # 6 Economía circular sector gastronómico y biomasa residual. AVANCE 40%
PEC # 7 Promoción a la gestión adecuada de residuos de Movilidad eléctrica - Acuerdo 811 de 2021. AVANCE 45%
PEC # 8 Proyecto educativo Ecolecta 2023 AVANCE 30%
PROYECTOS DE PROCESAMIENTO, PRODUCCIÓN Y DIFUSIÓN DE INFORMACIÓN DE ECONOMÍA CIRCULAR.
PEC # 9 Identificación y articulación de acciones para la promoción de estilos de vida sostenible. AVANCE 70%
PEC # 10 Promoción a la gestión integral de RESPEL. AVANCE 40%
PEC#11 Coordinación interna de actividades establecidas en el PGIRS. AVANCE 65%
PROYECTOS DE PROMOCIÓN DE APROVECHAMIENTO DE RESIDUOS PELIGROSOS, ESPECIALES Y DE MANEJO DIFERENCIADO
PEC #12 Registro y reporte de trámites de residuos - 2023 AVANCE 75%</t>
  </si>
  <si>
    <t xml:space="preserve">En el marco de las acciones de evaluación, control y seguimiento a los factores de deterioro ambiental como los son los residuos y escombros, la Secretaría Distrital de Ambiente durante el periodo comprendido entre el 01 enero al 31 de Agosto del año 2023, atendió el 100% de los conceptos técnicos que recomiendan una actuación administrativa sancionatoria, distribuida así:
N° de Conceptos Técnicos que recomiendan actuaciones administrativas sancionatorias: 282
N° de Conceptos Técnicos acogidos jurídicamente mediante acto administrativo: 282
Para el 2022 no se atendieron jurídicamente 6 conceptos tecnicos, los cuales se constituyeron como productos de la reserva, sobre los cuales ya se han emitido las actuaciones jurídicas requeridas. </t>
  </si>
  <si>
    <t>A Agosto de 2023, la Secretaría Distrital de Ambiente controló la gestión adecuada de 9978452,06 ton de residuos peligrosos, ordinarios, especiales de los cuales  7.558.342,51 ton corresponden a disposición adecuada  y  2.420.109,55  ton a aprovechamiento de residuos  en el D.C.</t>
  </si>
  <si>
    <t>A agosto de 2023 se avanzó en el 0,67%  correspondiente a la elaboración  y avance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0,352%
A agosto de 2023  se realizaron 17.261 actuaciones de evaluación control y seguimiento a la disposición y aprovechamiento de residuos en Bogotá así:
RESIDUOS DE CONSTRUCCIÓN Y DEMOLICIÓN (RCD) OBRAS:2.131
RCD INFRAESTRUCTURA PERMISOS DE OCUPACIÓN DE CAUCE (POC) Y ESTRUCTURA ECOLÓGICA PRINCIPAL (EPP):630
METRO POC EPP:963
RESIDUOS HOSPITALARIOS : 6.154
RESIDUOS INFECCIOSOS MICROGENERADORES:3.593
ENTIDADES PÚBLICAS:501
LLANTAS USADAS: 1.772
JURIDICO: 873
RESPEL:1.320
-Controlar la disposición adecuada de residuos especiales, peligrosos, ordinarios y de manejo diferenciado: 0,094
Las actuaciones técnicas permitieron controlar   la disposición adecuada de 7.558.342,52 Ton de residuos peligrosos 
-Controlar el aprovechamiento de residuos especiales, peligrosos, ordinarios y de manejo diferenciado: 0,083
 las actuaciones permitieron controla el aprovechamiento de 2.419.148,39 ton de residuos especiales y peligrosos generadas en el D.C. 
-Reporte y consolidación  de Informe eficiencia de actuaciones técnicas y administrativas de evaluación control y seguimiento al mes de agosto de 2023: 0,044%</t>
  </si>
  <si>
    <t>A agosto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técncios se avanza en 67%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</si>
  <si>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9. Realizar el proceso de  organización y administración de los documentos de archivos y expedientes sancionatorios</t>
  </si>
  <si>
    <t>10. Notificar los actos administrativos en cumplimiento de la normatividad establecida.</t>
  </si>
  <si>
    <t xml:space="preserve">En el marco de las acciones de evaluación, control y seguimiento a los factores de deterioro ambiental como los son los residuos y escombros, la Secretaría Distrital de Ambiente durante el periodo comprendido entre el 01 enero al 30 de septiembre del año 2023, atendió el 100% de los conceptos técnicos que recomiendan una actuación administrativa sancionatoria, distribuida así:
N° de Conceptos Técnicos que recomiendan actuaciones administrativas sancionatorias: 313
N° de Conceptos Técnicos acogidos jurídicamente mediante acto administrativo: 313
Para el 2022 no se atendieron jurídicamente 6 conceptos tecnicos, los cuales se constituyeron como productos de la reserva, sobre los cuales ya se han emitido las actuaciones jurídicas requeridas. </t>
  </si>
  <si>
    <t>A septiembre de 2023 se avanzó en el 0,78%  correspondiente a la elaboración  y avance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0,42%
A sep de 2023  se realizaron 17.944 actuaciones de evaluación control y seguimiento a la disposición y aprovechamiento de residuos en Bogotá así:
RESIDUOS DE CONSTRUCCIÓN Y DEMOLICIÓN (RCD) OBRAS:2.500
RCD INFRAESTRUCTURA PERMISOS DE OCUPACIÓN DE CAUCE (POC) Y ESTRUCTURA ECOLÓGICA PRINCIPAL (EPP):738
METRO POC EPP:1.320
RESIDUOS HOSPITALARIOS : 6.774
RESIDUOS INFECCIOSOS MICROGENERADORES:3.593
ENTIDADES PÚBLICAS:531
LLANTAS USADAS: 2.130
JURIDICO: 1.067
RESPEL:1.497
-Controlar la disposición adecuada de residuos especiales, peligrosos, ordinarios y de manejo diferenciado: 0,0105
Las actuaciones técnicas permitieron controlar   la disposición adecuada de 8.708.237 Ton de residuos peligrosos y especiales
-Controlar el aprovechamiento de residuos especiales, peligrosos, ordinarios y de manejo diferenciado: 0,099
 las actuaciones permitieron controla el aprovechamiento de  2.882.324 ton de residuos especiales y peligrosos generadas en el D.C. 
-Reporte y consolidación  de Informe eficiencia de actuaciones técnicas y administrativas de evaluación control y seguimiento al mes de septiembre de 2023: 0,050%</t>
  </si>
  <si>
    <t>Para el año 2023 se establecieron y priorizaron 12 proyectos de economía circular enfocados en tres temáticas especificas. Durante el mes de septiembre se reporta el avance de acciones en 12 proyectos de economía circular (PEC).así: 
PROYECTOS DE ARTICULACIÓN DE ACTORES DE LA DE RED ECONOMÍA CIRCULAR 
PEC #1 Recolección de residuos peligrosos especiales y de manejo diferenciado en el sector empresarial en el marco de la campaña “Reciclatón Empresarial de posconsumo, especiales, envases y empaques. AVANCE 73%
PEC #2 Promoción y difusión de la adecuada gestión de residuos peligrosos y especiales en el sector residencial en el marco del proyecto “Bogotá RIE Fase I - La palabra enseña y el ejemplo moviliza” AVANCE 70%
PEC # 3 Promoción a la gestión integral de asbesto - Acuerdo 825 de 2021. AVANCE 50%
PEC # 4 Economía circular de residuos de construcción y demolición. AVANCE 55%
PEC # 5 Economía circular sector textil. AVANCE 55%
PEC # 6 Economía circular sector gastronómico y biomasa residual. AVANCE 60%
PEC # 7 Promoción a la gestión adecuada de residuos de Movilidad eléctrica - Acuerdo 811 de 2021. AVANCE 60%
PEC # 8 Proyecto educativo Ecolecta 2023 AVANCE 50%
PROYECTOS DE PROCESAMIENTO, PRODUCCIÓN Y DIFUSIÓN DE INFORMACIÓN DE ECONOMÍA CIRCULAR.
PEC # 9 Identificación y articulación de acciones para la promoción de estilos de vida sostenible. AVANCE 75%
PEC # 10 Promoción a la gestión integral de RESPEL. AVANCE 50%
PEC#11 Coordinación interna de actividades establecidas en el PGIRS. AVANCE 70%
PROYECTOS DE PROMOCIÓN DE APROVECHAMIENTO DE RESIDUOS PELIGROSOS, ESPECIALES Y DE MANEJO DIFERENCIADO
PEC #12 Registro y reporte de trámites de residuos - 2023 AVANCE 80%</t>
  </si>
  <si>
    <t>A septiembre de 2023, la Secretaría Distrital de Ambiente controló la gestión adecuada de 11.591.508 ton de residuos peligrosos, ordinarios, especiales de los cuales  8.708.237 ton corresponden a disposición adecuada  y  2.883.271 ton a aprovechamiento de residuos  en el D.C.</t>
  </si>
  <si>
    <t xml:space="preserve">7. Realizar el reporte y consolidación de eficiencia de actuaciones técnicas y administrativas de evaluación control y  (Sgmto) </t>
  </si>
  <si>
    <t>Formato: Programación, Actualización y Sgmto) del Plan de Acción - Componente de Actividades</t>
  </si>
  <si>
    <t>7702 - Control, evaluación, Sgmto) y promoción a la cadena de gestión de residuos.</t>
  </si>
  <si>
    <t>Formular e implementar un programa de actividades de evaluación, control y Sgmto) ambiental encaminadas a la adecuada disposición y aprovechamiento de residuos en Bogotá.</t>
  </si>
  <si>
    <t xml:space="preserve">En el marco de las acciones de evaluación, control y seguimiento a los factores de deterioro ambiental como los son los residuos y escombros, la Secretaría Distrital de Ambiente durante el periodo comprendido entre el 01 enero al 31 de octubre del año 2023, atendió el 100% de los conceptos técnicos que recomiendan una actuación administrativa sancionatoria, distribuida así:
N° de Conceptos Técnicos que recomiendan actuaciones administrativas sancionatorias: 333
N° de Conceptos Técnicos acogidos jurídicamente mediante acto administrativo: 333
Para el 2022 no se atendieron jurídicamente 6 conceptos tecnicos, los cuales se constituyeron como productos de la reserva, sobre los cuales ya se han emitido las actuaciones jurídicas requeridas. </t>
  </si>
  <si>
    <t>PROYECTOS DE ARTICULACIÓN DE ACTORES DE LA DE RED ECONOMÍA CIRCULAR 
PEC #1 Recolección de residuos peligrosos especiales y de manejo diferenciado en el sector empresarial en el marco de la campaña “Reciclatón Empresarial de posconsumo, especiales, envases y empaques. AVANCE 75%
PEC #2 Promoción y difusión de la adecuada gestión de residuos peligrosos y especiales en el sector residencial en el marco del proyecto “Bogotá RIE Fase I - La palabra enseña y el ejemplo moviliza” AVANCE 80%
PEC # 3 Promoción a la gestión integral de asbesto - Acuerdo 825 de 2021. AVANCE 80%
PEC # 4 Economía circular de residuos de construcción y demolición. AVANCE 80%
PEC # 5 Economía circular sector textil. AVANCE 80%
PEC # 6 Economía circular sector gastronómico y biomasa residual. AVANCE 80%
PEC # 7 Promoción a la gestión adecuada de residuos de Movilidad eléctrica - Acuerdo 811 de 2021. AVANCE 70%
PEC # 8 Proyecto educativo Ecolecta 2023 AVANCE 70%
PROYECTOS DE PROCESAMIENTO, PRODUCCIÓN Y DIFUSIÓN DE INFORMACIÓN DE ECONOMÍA CIRCULAR.
PEC # 9 Identificación y articulación de acciones para la promoción de estilos de vida sostenible. AVANCE 90%
PEC # 10 Promoción a la gestión integral de RESPEL. AVANCE 70%
PEC#11 Coordinación interna de actividades establecidas en el PGIRS. AVANCE 70%
PROYECTOS DE PROMOCIÓN DE APROVECHAMIENTO DE RESIDUOS PELIGROSOS, ESPECIALES Y DE MANEJO DIFERENCIADO
PEC #12 Registro y reporte de trámites de residuos - 2023 AVANCE 90%</t>
  </si>
  <si>
    <t>A septiembre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técnicos se avanza en 78%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</si>
  <si>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A octubre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técnicos se avanza en 86%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</si>
  <si>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A octubre de 2023 se avanzó en el 0,86%  correspondiente a la elaboración  y avance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0,48%
A oct de 2023  se realizaron 22.626 actuaciones de evaluación control y seguimiento a la disposición y aprovechamiento de residuos en Bogotá así:
RESIDUOS DE CONSTRUCCIÓN Y DEMOLICIÓN (RCD) OBRAS:2.835
RCD INFRAESTRUCTURA PERMISOS DE OCUPACIÓN DE CAUCE (POC) Y ESTRUCTURA ECOLÓGICA PRINCIPAL (EPP):844
METRO POC EPP:1.475
RESIDUOS HOSPITALARIOS : 7.081
RESIDUOS INFECCIOSOS MICROGENERADORES: 4302
ENTIDADES PÚBLICAS:577
LLANTAS USADAS: 2.543
JURIDICO: 1.217
RESPEL:1.752
-Controlar la disposición adecuada de residuos especiales, peligrosos, ordinarios y de manejo diferenciado: 0,0113
Las actuaciones técnicas permitieron controlar   la disposición adecuada de 9.765.573,51 Ton de residuos peligrosos y especiales
-Controlar el aprovechamiento de residuos especiales, peligrosos, ordinarios y de manejo diferenciado: 0,111
 las actuaciones permitieron controla el aprovechamiento de  3.261.636,84  ton de residuos especiales y peligrosos generadas en el D.C. 
-Reporte y consolidación  de Informe eficiencia de actuaciones técnicas y administrativas de evaluación control y seguimiento al mes de septiembre de 2023: 0,056%</t>
  </si>
  <si>
    <t>A octubre  de 2023, la Secretaría Distrital de Ambiente controló la gestión adecuada de 13.091.133,66 ton de residuos peligrosos, ordinarios, especiales de los cuales   9.765.573,51 ton corresponden a disposición adecuada  y   3.325.560 3.2626.20,15  ton a aprovechamiento de residuos  en el D.C.</t>
  </si>
  <si>
    <t>A NOVIEMBRE DE 2023 SE REGISTRA EL SIGUIENTE AVANCE EN LOS PROYECTOS DE ARTICULACIÓN DE ACTORES DE LA DE RED ECONOMÍA CIRCULAR 
PEC #1 Recolección de residuos peligrosos especiales y de manejo diferenciado en el sector empresarial en el marco de la campaña “Reciclatón Empresarial de posconsumo, especiales, envases y empaques. AVANCE 100%
PEC #2 Promoción y difusión de la adecuada gestión de residuos peligrosos y especiales en el sector residencial en el marco del proyecto “Bogotá RIE Fase I - La palabra enseña y el ejemplo moviliza” AVANCE 98%
PEC # 3 Promoción a la gestión integral de asbesto - Acuerdo 825 de 2021. AVANCE 96%
PEC # 4 Economía circular de residuos de construcción y demolición. AVANCE 95%
PEC # 5 Economía circular sector textil. AVANCE 95%
PEC # 6 Economía circular sector gastronómico y biomasa residual. AVANCE 95%
PEC # 7 Promoción a la gestión adecuada de residuos de Movilidad eléctrica - Acuerdo 811 de 2021. AVANCE 98%
PEC # 8 Proyecto educativo Ecolecta 2023 AVANCE 90%
PROYECTOS DE PROCESAMIENTO, PRODUCCIÓN Y DIFUSIÓN DE INFORMACIÓN DE ECONOMÍA CIRCULAR.
PEC # 9 Identificación y articulación de acciones para la promoción de estilos de vida sostenible. AVANCE 96%
PEC # 10 Promoción a la gestión integral de RESPEL. AVANCE 90%
PEC#11 Coordinación interna de actividades establecidas en el PGIRS. AVANCE 95%
PROYECTOS DE PROMOCIÓN DE APROVECHAMIENTO DE RESIDUOS PELIGROSOS, ESPECIALES Y DE MANEJO DIFERENCIADO
PEC #12 Registro y reporte de trámites de residuos - 2023 AVANCE 97%</t>
  </si>
  <si>
    <t>A noviembre de 2023 se avanzó en el 0,94%  correspondiente a la elaboración  y avance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0,53%
A nov de 2023  se realizaron 24.569 actuaciones de evaluación control y seguimiento a la disposición y aprovechamiento de residuos en Bogotá así:
RESIDUOS DE CONSTRUCCIÓN Y DEMOLICIÓN (RCD) OBRAS:3.108
RCD INFRAESTRUCTURA PERMISOS DE OCUPACIÓN DE CAUCE (POC) Y ESTRUCTURA ECOLÓGICA PRINCIPAL (EPP):928
METRO POC EPP:1.565
RESIDUOS HOSPITALARIOS : 7.487
RESIDUOS INFECCIOSOS MICROGENERADORES: 4,657
ENTIDADES PÚBLICAS:620
LLANTAS USADAS: 2.899
JURÍDICO: 1347
RESPEL:1.958
-Controlar la disposición adecuada de residuos especiales, peligrosos, ordinarios y de manejo diferenciado: 0,012
Las actuaciones técnicas permitieron controlar   la disposición adecuada de 9.765.573,51   Ton de residuos peligrosos y especiales
-Controlar el aprovechamiento de residuos especiales, peligrosos, ordinarios y de manejo diferenciado: 0,12
 las actuaciones permitieron controla el aprovechamiento de 3.784.319,38  ton de residuos especiales y peligrosos generadas en el D.C. 
-Reporte y consolidación  de Informe eficiencia de actuaciones técnicas y administrativas de evaluación control y seguimiento al mes de noviembre de 2023: 0,06%</t>
  </si>
  <si>
    <t xml:space="preserve">En el marco de las acciones de evaluación, control y seguimiento a los factores de deterioro ambiental como los son los residuos y escombros, la Secretaría Distrital de Ambiente durante el periodo comprendido entre el 01 enero al 30 de noviembre del año 2023, atendió el 100% de los conceptos técnicos que recomiendan una actuación administrativa sancionatoria, distribuida así:
N° de Conceptos Técnicos que recomiendan actuaciones administrativas sancionatorias: 374
N° de Conceptos Técnicos acogidos jurídicamente mediante acto administrativo: 374
Para el 2022 no se atendieron jurídicamente 6 conceptos tecnicos, los cuales se constituyeron como productos de la reserva, sobre los cuales ya se han emitido las actuaciones jurídicas requeridas. </t>
  </si>
  <si>
    <t>A noviembre  de 2023, la Secretaría Distrital de Ambiente controló la gestión adecuada de 14.564.710,06 ton de residuos peligrosos, ordinarios, especiales de los cuales   10.779.406,9 ton corresponden a disposición adecuada  y  3.785.303,16  ton a aprovechamiento de residuos  en el D.C.</t>
  </si>
  <si>
    <t>A noviembre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técnicos se avanza en 94%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</si>
  <si>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A diciembre de 2023 se avanzó en el 0,99%  correspondiente a la elaboración e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0,58%
A dic de 2023  se realizaron 26.713 actuaciones de evaluación control y seguimiento a la disposición y aprovechamiento de residuos en Bogotá así:
RESIDUOS DE CONSTRUCCIÓN Y DEMOLICIÓN (RCD) OBRAS:3.262
RCD INFRAESTRUCTURA PERMISOS DE OCUPACIÓN DE CAUCE (POC) Y ESTRUCTURA ECOLÓGICA PRINCIPAL (EPP):991
METRO POC EPP:1.700
RESIDUOS HOSPITALARIOS : 7.865
RESIDUOS INFECCIOSOS MICROGENERADORES: 5.264
ENTIDADES PÚBLICAS:653
LLANTAS USADAS: 3.247
JURÍDICO: 1.569
RESPEL:2.162
-Controlar la disposición adecuada de residuos especiales, peligrosos, ordinarios y de manejo diferenciado: 0,0126
Las actuaciones técnicas permitieron controlar   la disposición adecuada de 11.549.680,01   Ton de residuos peligrosos y especiales
-Controlar el aprovechamiento de residuos especiales, peligrosos, ordinarios y de manejo diferenciado: 0,12
 las actuaciones permitieron controla el aprovechamiento de 3.923.285,19  ton de residuos especiales y peligrosos generadas en el D.C. 
-Reporte y consolidación  de Informe eficiencia de actuaciones técnicas y administrativas de evaluación control y seguimiento al mes de diciembre de 2023: 0,07%</t>
  </si>
  <si>
    <t>PROYECTOS DE ARTICULACIÓN DE ACTORES DE LA DE RED ECONOMÍA CIRCULAR 
PEC #1 Recolección de residuos peligrosos especiales y de manejo diferenciado en el sector empresarial en el marco de la campaña “Reciclatón Empresarial de posconsumo, especiales, envases y empaques. AVANCE 100%
PEC #2 Promoción y difusión de la adecuada gestión de residuos peligrosos y especiales en el sector residencial en el marco del proyecto “Bogotá RIE Fase I - La palabra enseña y el ejemplo moviliza” AVANCE 100%
PEC # 3 Promoción a la gestión integral de asbesto - Acuerdo 825 de 2021. AVANCE 100%
PEC # 4 Economía circular de residuos de construcción y demolición. AVANCE 100%
PEC # 5 Economía circular sector textil. AVANCE 100%
PEC # 6 Economía circular sector gastronómico y biomasa residual. AVANCE 100%
PEC # 7 Promoción a la gestión adecuada de residuos de Movilidad eléctrica - Acuerdo 811 de 2021. AVANCE 100%
PEC # 8 Proyecto educativo Ecolecta 2023 AVANCE 100%
PROYECTOS DE PROCESAMIENTO, PRODUCCIÓN Y DIFUSIÓN DE INFORMACIÓN DE ECONOMÍA CIRCULAR.
PEC # 9 Identificación y articulación de acciones para la promoción de estilos de vida sostenible. AVANCE 100%
PEC # 10 Promoción a la gestión integral de RESPEL. AVANCE 100%
PEC#11 Coordinación interna de actividades establecidas en el PGIRS. AVANCE 100%
PROYECTOS DE PROMOCIÓN DE APROVECHAMIENTO DE RESIDUOS PELIGROSOS, ESPECIALES Y DE MANEJO DIFERENCIADO
PEC #12 Registro y reporte de trámites de residuos - 2023 AVANCE 100%</t>
  </si>
  <si>
    <t xml:space="preserve">En el marco de las acciones de evaluación, control y seguimiento a los factores de deterioro ambiental como los son los residuos y escombros, la Secretaría Distrital de Ambiente durante el periodo comprendido entre el 01 enero al 31 de Diciembre del año 2023, atendió el 100% de los conceptos técnicos que recomiendan una actuación administrativa sancionatoria, distribuida así:
N° de Conceptos Técnicos que recomiendan actuaciones administrativas sancionatorias: 396
N° de Conceptos Técnicos acogidos jurídicamente mediante acto administrativo: 396
Para el 2022 no se atendieron jurídicamente 6 conceptos tecnicos, los cuales se constituyeron como productos de la reserva, sobre los cuales ya se han emitido las actuaciones jurídicas requeridas. </t>
  </si>
  <si>
    <t>A diciembre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técnicos se avanza en 99%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</si>
  <si>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A diciembre  de 2023, la Secretaría Distrital de Ambiente controló la gestión adecuada de 14.564.710,06 ton de residuos peligrosos, ordinarios, especiales de los cuales   11.549.680,01  ton corresponden a disposición adecuada  y  3.925.142,38  ton a aprovechamiento de residuos  en el D.C.</t>
  </si>
  <si>
    <t>Ninguno.</t>
  </si>
  <si>
    <t>11. Realizar acciones en el marco del trámite sancionatorio y/o del proceso de evaluación, control  y seguimiento ambiental.</t>
  </si>
  <si>
    <t>1, 5. PROGRAMACIÓN INICIAL AÑO 2024</t>
  </si>
  <si>
    <t>V1 - Ejec vs Prog</t>
  </si>
  <si>
    <t>V2 Ejec vs Anterior</t>
  </si>
  <si>
    <t>V3 - Ejec vs Reporte Anterior</t>
  </si>
  <si>
    <t>V4 Inv vs Terrri Ejec</t>
  </si>
  <si>
    <t>V5 - Inv vs Terri Prog</t>
  </si>
  <si>
    <t xml:space="preserve">
59
61</t>
  </si>
  <si>
    <t xml:space="preserve">
84
86
87</t>
  </si>
  <si>
    <t>BRASILIA
EL CORZO</t>
  </si>
  <si>
    <t>9,10,11,13,16
90,97,99
32,33,51
59,61
42
84,86,87
44,46,78,82
75,76,110,112,114
26,31,72,73
19,20,23,24,27
22, 98
100,107,109
38
40,108,111
94
39,53
65,68,69</t>
  </si>
  <si>
    <t>Localidades
01-USAQUEN
02-CHAPINERO
04-SAN CRISTOBAL
06-TUNJUELITO
05-USME
07-BOSA
08-KENNEDY
09-FONTIBON
10-ENGATIVA
11-SUBA
12-BARRIOS UNIDOS
13-TEUSAQUILLO
15-ANTONIO NARIÑO
16-PUENTE ARANDA
18-RAFAEL URIBE URIBE
19-CIUDAD BOLIVAR</t>
  </si>
  <si>
    <t>En el marco de las acciones de evaluación, control y seguimiento a los factores de deterioro ambiental como los son los residuos y escombros, la Secretaría Distrital de Ambiente durante el periodo comprendido entre el 01 enero al 31 de enero del año 2024, atendió el 100% de los conceptos técnicos que recomiendan una actuación administrativa sancionatoria, distribuida así:
N° de Conceptos Técnicos que recomiendan actuaciones administrativas sancionatorias: 1
N° de Conceptos Técnicos acogidos jurídicamente mediante acto administrativo: 1</t>
  </si>
  <si>
    <t>PROYECTOS DE ARTICULACIÓN DE ACTORES DE LA DE RED ECONOMÍA CIRCULAR 
PEC #1 Cooperación para el consumo responsable.. AVANCE 5 %
PROYECTOS DE PROCESAMIENTO, PRODUCCIÓN Y DIFUSIÓN DE INFORMACIÓN DE ECONOMÍA CIRCULAR.
PEC # 2 Información para Estilos de Vida Sostenible AVANCE 5%
PEC # 3 Implementación y seguimiento a planes de gestión integral de residuos AVANCE10 %
PEC # 4 Economía circular de residuos de construcción y demolición  AVANCE 5 %
PROYECTOS DE PROMOCIÓN DE APROVECHAMIENTO DE RESIDUOS PELIGROSOS, ESPECIALES Y DE MANEJO DIFERENCIADO
PEC # 5 Registro y reporte de trámites de residuos - 2024, relacionados con el registro de AVU, registro de acopiadores de llantas y registros de empresas transformadoras de envases y empaques. AVANCE 16 %</t>
  </si>
  <si>
    <t>A enero de 2024 se avanzó en el 0,07%  correspondiente al  avance en la Priorización y definición de actividades y usuarios a controlar como parte de la elaboración   de 1 instrumento  programa de actividades de evaluación, control y seguimiento ambiental encaminadas a la adecuada disposición y aprovechamiento de residuos en Bogotá establecido para el primer semestre del  año 2024.</t>
  </si>
  <si>
    <t>A enero de 2024 se avanzó en el 0,07%  correspondiente al  avance en la Priorización y definición de actividades y usuarios a controlar como parte de la elaboración   de 1 programa de actividades de evaluación, control y seguimiento ambiental encaminadas a la adecuada disposición y aprovechamiento de residuos en Bogotá establecido para el primer semestre del  año 2024.
De igual forma durante el mes de enero de 2024 se dio cumplimiento al valor 0,01 de la meta de reserva 2023 constituida lo cual correspondió al desarrollo de las siguientes actividades:
Disposición residuos de contrucción y demolición (RCD) PROYECTOS CONSTRUCTIVOS: 99.975,704
Disposición RCD INFRAESTRUCTURA:88.506,880
Disposición RCD MEGAOBRAS: 420.211,545
RESIDUOS DE CONSTRUCCIÓN Y DEMOLICIÓN (RCD) OBRAS:242/242
Revisión: obras aplicativo 108/108 Plan Gestión 55/55 Pin aplicativo 25/25 Registro gestor 2/2
Visita: Control 38/38 Informe técnico 5/5 Sitios Disposición Final 5/5
Concepto técnico 4/4
RCD INFRAESTRUCTURA PERMISOS DE OCUPACIÓN DE CAUCE (POC) Y ESTRUCTURA ECOLÓGICA PRINCIPAL (EPP):66/66
POC Evaluación: Concepto evaluació3/3 seguimiento o cierre 8/8 chek list 8/8 Visita 2/2 seguimiento o cierre 5/5
Cierre de pin 6/6
EEP:Concepto técnico 4/4 Informe técnico 2/2 Visita contro13/13 
PEI: Punto crítico2/2 concepto técnico 1/1
Revisión aplicativo 7/7 plan gestión5/5
METRO POC EPP:115/115
POC Evaluación: Concepto evaluación2/2 seguimiento o cierre2/2  chek list 5/5 requerimient2/2 Visita seguimiento o cierre 1/1
EEP Visita control 32/32 
Cierre PIN 4/4
Puntos críticos 2/2
Revisión plan gestión 14/14 pin aplicativo 48/48
PEI Visita 2/2 informe Técnico 1/1</t>
  </si>
  <si>
    <t>Se elaboró el informe técnico No. 01121, del 22 de febrero del 2024 denominado PROGRAMA DE ACTIVIDADES DE EVALUACIÓN, SEGUIMIENTO, CONTROL AMBIENTAL ENCAMINADAS A LA ADECUADA DISPOSICIÓN Y APROVECHAMIENTO DE RESIDUOS EN BOGOTÁ</t>
  </si>
  <si>
    <t>&lt;</t>
  </si>
  <si>
    <t>A febrero de 2024 se avanzó en el 0,23%  correspondiente a la elaboración  y avance de la implementación de 1 programa de actividades de evaluación, control y seguimiento ambiental encaminadas a la adecuada disposición y aprovechamiento de residuos en Bogotá establecido para el año 2024,  el cual se encuentra definido por 7 actividades cada una con una ponderación específica dependiendo de su importancia  así: 
-Priorización y definición de actividades y usuarios a controlar: 0,10%
formulación de 1 programa informe técnico No. 01121, del 22 de febrero del 2024 denominado PROGRAMA DE ACTIVIDADES DE EVALUACIÓN, SEGUIMIENTO, CONTROL AMBIENTAL ENCAMINADAS A LA ADECUADA DISPOSICIÓN Y APROVECHAMIENTO DE RESIDUOS EN BOGOTÁ
-Ejecución de actuaciones técnicas y administrativas de evaluación control y seguimiento: 0,149%
A febrero de 2024  se realizaron 1.554 actuaciones de evaluación control y seguimiento a la disposición y aprovechamiento de residuos en Bogotá así:
RESIDUOS DE CONSTRUCCIÓN Y DEMOLICIÓN (RCD) OBRAS:437
RCD INFRAESTRUCTURA PERMISOS DE OCUPACIÓN DE CAUCE (POC) Y ESTRUCTURA ECOLÓGICA PRINCIPAL (EPP):264
RESIDUOS HOSPITALARIOS : 556
ENTIDADES PÚBLICAS:501
LLANTAS USADAS: 192
RESPEL INDUSTRIALES: 105
-Controlar la disposición adecuada de residuos especiales, peligrosos, ordinarios y de manejo diferenciado: 0,020
Las actuaciones técnicas permitieron controlar   la disposición adecuada de 1.125.771,03 Ton de residuos peligrosos y especiales
-Controlar el aprovechamiento de residuos especiales, peligrosos, ordinarios y de manejo diferenciado: 0,027
 las actuaciones permitieron controla el aprovechamiento de 178.962,80 ton de residuos especiales y peligrosos generadas en el D.C. 
-Reporte y consolidación  de Informe eficiencia de actuaciones técnicas y administrativas de evaluación control y seguimiento al mes de febrero de 2024: 0,028%</t>
  </si>
  <si>
    <t>A febrero de 2024 se reporta el siguiente avance:
PROYECTOS DE ARTICULACIÓN DE ACTORES DE LA DE RED ECONOMÍA CIRCULAR 
PEC #1 Cooperación para el consumo responsable.. AVANCE 7 %
PROYECTOS DE PROCESAMIENTO, PRODUCCIÓN Y DIFUSIÓN DE INFORMACIÓN DE ECONOMÍA CIRCULAR.
PEC # 2 Información para Estilos de Vida Sostenible AVANCE 12 %
PEC # 3 Implementación y seguimiento a planes de gestión integral de residuos AVANCE12 %
PEC # 4 Economía circular de residuos de construcción y demolición  AVANCE 8 %
PROYECTOS DE PROMOCIÓN DE APROVECHAMIENTO DE RESIDUOS PELIGROSOS, ESPECIALES Y DE MANEJO DIFERENCIADO
PEC # 5 Registro y reporte de trámites de residuos - 2024, relacionados con el registro de AVU, registro de acopiadores de llantas y registros de empresas transformadoras de envases y empaques. AVANCE 19%</t>
  </si>
  <si>
    <t>10
11
12
13
14
15
16
9</t>
  </si>
  <si>
    <t>88
90
97
99</t>
  </si>
  <si>
    <t>32
33
34
50
51</t>
  </si>
  <si>
    <t>CENTRO USME URBANO
PUERTA AL LLANO DE USME</t>
  </si>
  <si>
    <t>42
62</t>
  </si>
  <si>
    <t>113
44
45
46
47
78
79
82</t>
  </si>
  <si>
    <t xml:space="preserve">110
112
114
117
75
76
77
</t>
  </si>
  <si>
    <t>100
101
104
107
109</t>
  </si>
  <si>
    <t>ARMENIA
BELALCAZAR
CENTRO ADMINISTRATIVO OCC.
CIUDAD SALITRE NOR-ORIENTAL
CIUDAD SALITRE SUR-ORIENTAL
CIUDAD UNIVERSITARIA
GRAN AMERICA
LA SOLEDAD
PALERMO</t>
  </si>
  <si>
    <t>102
37</t>
  </si>
  <si>
    <t xml:space="preserve">
35
38
</t>
  </si>
  <si>
    <t>LA HORTUA
SANTANDER
VILLA MAYOR ORIENTAL</t>
  </si>
  <si>
    <t xml:space="preserve">
39
53
55
</t>
  </si>
  <si>
    <t xml:space="preserve">Localidad </t>
  </si>
  <si>
    <t>12. Implementar proyectos de articulación de actores para la economía circular</t>
  </si>
  <si>
    <t>13. Desarrollar proyectos de procesamiento, producción y difusión de información para la economía circular</t>
  </si>
  <si>
    <t>14.  Desarrollar proyectos de promoción del aprovechamiento de 800 toneladas de residuos peligrosos, especiales y de manejo diferenciado</t>
  </si>
  <si>
    <t>A febrero de 2024 se  elaboró el informe técnico No. 01121, del 22 de febrero del 2024 denominado PROGRAMA DE ACTIVIDADES DE EVALUACIÓN, SEGUIMIENTO, CONTROL AMBIENTAL ENCAMINADAS A LA ADECUADA DISPOSICIÓN Y APROVECHAMIENTO DE RESIDUOS EN BOGOTÁ</t>
  </si>
  <si>
    <t>En el marco de las acciones de evaluación, control y seguimiento a los factores de deterioro ambiental como los son los residuos y escombros, la Secretaría Distrital de Ambiente durante el periodo comprendido entre el 01 enero al 29 de febrero del año 2024, atendió el 100% de los conceptos técnicos que recomiendan una actuación administrativa sancionatoria, distribuida así:
N° de Conceptos Técnicos que recomiendan actuaciones administrativas sancionatorias: 29
N° de Conceptos Técnicos acogidos jurídicamente mediante acto administrativo: 29</t>
  </si>
  <si>
    <t>A enero  de 2024, la Secretaría Distrital de Ambiente controló la gestión adecuada de 694.342,93 ton de residuos peligrosos, ordinarios, especiales de los cuales   609.279,43 ton corresponden a disposición adecuada  y  85.063,5  ton a aprovechamiento de residuos  en el D.C.</t>
  </si>
  <si>
    <t>A febrero  de 2024, la Secretaría Distrital de Ambiente controló la gestión adecuada de 1.304.736,34 ton de residuos peligrosos, ordinarios, especiales de los cuales  1.125.771,03 ton corresponden a disposición adecuada  y  178.965,31 ton a aprovechamiento de residuos  en el D.C.</t>
  </si>
  <si>
    <t>Durante el periodo de  agosto a diciembre de 2020 se realizó la formulación del PROGRAMA DE PRIORIZACIÓN DE ACTIVIDADES DE EVALUACIÓN, CONTROL Y SEGUIMIENTO AMBIENTAL A LA ADECUADA DISPOSICIÓN Y APROVECHAMIENTO DE RESIDUOS EN BOGOTÁ según Informe técnico Número No. 01293 del 31 de agosto del 2020 y se realizó su implementación.
Desde la Subdirección de Control Ambiental al Sector Público se realizaron  un total de  8.801  Actuaciones técnicas de evaluación control y seguimiento así:
RESIDUOS DE CONSTRUCCIÓN Y DEMOLICIÓN – OBRAS:   1337, de los cuales 382 aportan al control de  toneladas dispuestas y 216 aportan a las toneladas aprovechadas
RESIDUOS HOSPITALARIOS Y SIMILARES: 2105 de las cuales 824 aportan al control de toneladas dispuestas y 543 aportan toneladas aprovechadas
RESIDUOS DE CONSTRUCCIÓN Y DEMOLICIÓN – INFRAESTRUCTURA Y PROYECTOS ESPECIALES DE INFRAESTRUCTURA Y ESTRUCTURA ECOLÓGICA PRINCIPAL. 461 actuaciones de las cuales 61  aportan al control de toneladas dispuestas y 46 a toneladas aprovechadas
CONTROL AMBIENTAL A ENTIDADES PÚBLICAS: 153 de las cuales 43 aportan al control de toneladas dispuestas y 65 a toneladas aprovechadas.
CONTROL AMBIENTAL MANEJO RESIDUOS LLANTAS USADAS: 4745 de las cuales 1208 aportan toneladas aprovechadas. 
Desde la Subdirección del recurso Hídrico y del Suelo, se realizaron las siguientes actividades en cumplimiento del programa de control:
Inscripción como acopiador primario  de aceite usado: 209
Registros generadores de RESPEL (Residuos peligrosos): 143
Registro en el Inventario Nacional de PCB: 14
Evaluación a movilizadores de aceite usado: 1
Seguimiento a movilizadores de aceite usado: 8 
Atención a quejas y derechos de petición: 148
Validación de Planes de Contingencia: 22
Control a Toneladas de RESPEL competencia de la SRHS: 10688,85 toneladas emitiendo 81 conceptos técnicos y 2 informes de control y vigilancia.</t>
  </si>
  <si>
    <t xml:space="preserve">Para el cumplimiento de las regulaciones y control a la gestión de residuos, la Secretaría Distrital de Ambiente durante el periodo comprendido entre agosto y diciembre de 2020 recibió un total de 210 conceptos técnicos que recomiendan una actuación administrativa, de los cuales se acogieron jurídicamente un total de 198 distribuidos así: 
Agosto 2020 
N° de Conceptos Técnicos que recomiendan actuaciones administrativas sancionatorias: 1  
N° de Conceptos Técnicos atendidos jurídicamente: 1 
Septiembre 2020
N° de Conceptos Técnicos que recomiendan actuaciones administrativas sancionatorias: 24
N° de Conceptos Técnicos atendidos jurídicamente: 24
Octubre 2020
N° de Conceptos Técnicos que recomiendan actuaciones administrativas sancionatorias: 3
N° de Conceptos Técnicos atendidos jurídicamente: 3
Noviembre 2020
N° de Conceptos Técnicos que recomiendan actuaciones administrativas sancionatorias: 27
N° de Conceptos Técnicos atendidos jurídicamente: 26
Diciembre 2020
N° de Conceptos Técnicos que recomiendan actuaciones administrativas sancionatorias: 155
N° de Conceptos Técnicos atendidos jurídicamente: 144
Por último, es importante tener presente que los avances en la magnitud de la meta están sujetos a la demanda de conceptos técnicos que remitan las áreas para ser acogidos jurídicamente; por lo tanto, el porcentaje de la magnitud programada se subdivide en proporciones de 2.5% (agosto-diciembre) y sobre este porcentaje se medirán los avances mensuales.   </t>
  </si>
  <si>
    <t>Durante el año 2020 mediante la ejecución de 7 proyectos se realizaron las siguientes actividades:
Se dio capacitación e información en consumo responsable para el manejo de residuos a un total de 441 personas. 
Jornada de Reciclatón. Cantidad de residuos gestionados en los eventos de la reciclatón 3,5 Ton.
Programa Ecolecta Cantidad de residuos gestionados en el programa 3,25 Ton. 
Número de actualizaciones o revisión de los puntos en Visor GEO
1 Foro realizado, número de personas participantes en el foro 1985
Información y capacitación en consumo responsable para el manejo de residuos 1194, capacitaciones realizadas con OPEL (EVS, Consumo Sostenible, Plásticos y Residuos Posconsumo), PIGA,RCD y Convenios internacionales 41 
Operación y seguimiento del registro de Aceite Vegetal Usado, # de solicitudes de registro aprobadas 117, # de personas capacitadas sobre el registro y Reporte de AVU 378, Segumiento a la gestión adecuada de aceite vegetal usado Toneladas 710,87 
Operación y seguimiento al registro de acopiadores de llantas usadas. # de personas capacitadas sobre el registro de acopiadores de llantas usadas 210, # de solicitudes de registro aprobadas 33
Mesas de trabajo con los actores de la cadena de gestión de residuos peligrosos en Bogotá, con el objetivo de identificar las necesidades y problemáticas que presentan los gestores de residuos peligrosos que operan en la ciudad, para diseñar mecanismos de fortalecimiento e incentivar la gestión de los residuos de corrientes de bajo volumen de generación. Mesa de trabajo con UNIANDES, con el objetivo de identificar acciones para promover la gestión adecuada de Asbesto; se da inicio a la estructuración del proyecto de investigación en ciencia y tecnología, aplicar al sistema de regalías y se realiza la primer revisión del árbol de problemas - Proyecto para abordar el problema del asbesto instalado en Bogotá, desarrollado bajo la metodología de MGA.</t>
  </si>
  <si>
    <t>Al mes de Marzo de 2024 la Subdirección de Control Ambiental al Sector Público realizó 2205 actuaciones de evaluación control y seguimiento a la disposición y aprovechamiento de residuos en Bogotá así
RESIDUOS HOSPITALARIOS: 888
 Oficios Visita control 49 Oficios requerimiento 5 visitas 50
Concepto técnico 53 Caracterización 370
Atención emergencias 18 Registro RESPEL 248 APAU 6 PCB 2 Revisión reporte RESPEL 2
Análisis informe gestión SDA 76 SIRHO7
Gestor 2
RESIDUOS DE CONSTRUCCIÓN Y DEMOLICIÓN (RCD) OBRAS:601
Revisión: obras aplicativo 194 Plan Gestión 116 Pin aplicativo 137 Registro gestor 5
Visita: Control 92 Informe técnico 20 Sitios Disposición Final 15
Concepto técnico 5
Cierre de Pin17
RCD INFRAESTRUCTURA PERMISOS DE OCUPACIÓN DE CAUCE (POC) Y ESTRUCTURA ECOLÓGICA PRINCIPAL (EPP):333
POC Evaluación: Concepto evaluación17 seguimiento o cierre 12 chek list 20
Visita 17 seguimiento o cierre 8 requerimiento 2 Cierre de pin 25
EEP:Concepto técnico 4 Informe técnico 2 Visita control 96 operativos 3
PEI: visita 11 punto crítico 4 informe técnico 2
Revisión aplicativo 81 plan gestión 29
LLANTAS USADAS:323
Visita gestor 5
Verificación aplicativo 264
Visitas control26
Punto Crítico 18
visita operativo 10
ENTIDADES PÚBLICAS 60
Registro RESPEL 4 Policlorobifenilos 4 APAU 1
PIGA Oficios 8 seguimiento 1 Control Entidades Públicas control 6 seguimiento 6
Requerimiento 21
Certificados de Gestión 1
Conceptos 8</t>
  </si>
  <si>
    <t>Durante lo transcurrido de la vigencia 2024, se realizaron 247 actuaciones técnicas de las cuales 5 aportan al control de toneladas. El detalle de las actuaciones se presenta a continuación:
Se emitieron 2 conceptos técnicos, 1 informe tecnico y 2 oficios/requerimientos de control y vigilancia en el tema de residuos peligrosos y aceites usados, que aportaron a la meta de control de 10.984,72 toneladas de residuos peligrosos competencia de la SRHS.                                                                                                                                                                                                                    
Se emitieron 8 informes y/o conceptos técnicos de control y vigilancia en materia de residuos peligrosos y aceites usados.
Se emitieron 57 oficios y/o requerimientos en materia de residuos peligrosos y aceites usados, los cuales son derivados de conceptos técnicos y/o visitas de control y vigilancia.
Se atendieron 105 quejas, derechos de petición y/o entes de control.                                                                                                                                                               
Se realizaron otras actividades de control de acuerdo con lo establecido en el programa, en las cuales se incluyen la atención a registros como acopiador primario de aceite usado, atención a registros como generadores de residuos peligrosos, atención a registros en el inventario nacional de PCB,  por lo que han sido atendidos 72 radicados relacionados con estos instrumentos ambientales.
Se presenta retraso en las gestiones relacionadas con evaluación y seguimiento a movilizadores de aceites usados, sin embargo, se priorizaran estas acciones para el mes de abril de 2024.</t>
  </si>
  <si>
    <t>Durante lo transcurrido de la vigencia 2024, la Subdirección de Recurso Hídrico y del suelo realizó control a 13510,16 Toneladas de residuos peligrosos competencia de esta Subdirección, clasificadas de la siguiente manera:
Grandes Generadores: 9139,06 Tn
Medianos Generadores: 4220 Tn
Pequeños Generadores: 151,1 Tn
El avance del 122,99% se reporta sobre las 10.984,72 toneladas programadas para la vigencia.</t>
  </si>
  <si>
    <t>A Marzo de 2024, la Subdirección de Control Ambiental al Sector Público (SCASP) en cumplimiento de la meta de reserva vigencia 2023, realizó acciones de evaluación, control y seguimiento que permitieron  controlar la disposición adecuada de 1.651.441,9 Ton de residuos especiales y peligrosos generadas en el Distrito Capital acorde con los siguientes tipos de residuos:  
Disposición RCD 	727.992,03
Disposición RCD INFRAESTRUCTURA	919.033,18
Disposición Residuos Hospitalarios y similares	4.411,49
Disposición Entidades Públicas	 5,20 
El avance reportado a la fecha es del 33,33 % y se establece sobre el total de las  4.955.411 toneladas definidas como objeto de control para la vigencia 2024.</t>
  </si>
  <si>
    <r>
      <t>7, LOGROS CORTE A</t>
    </r>
    <r>
      <rPr>
        <b/>
        <u/>
        <sz val="14"/>
        <rFont val="Arial"/>
        <family val="2"/>
      </rPr>
      <t>_</t>
    </r>
    <r>
      <rPr>
        <b/>
        <sz val="14"/>
        <rFont val="Arial"/>
        <family val="2"/>
      </rPr>
      <t xml:space="preserve"> MARZO DEL  AÑO __2024</t>
    </r>
  </si>
  <si>
    <t>Durante el primer trimestre de 2024,  la Subdirección de Control Ambiental al Sector Público (SCASP) realizó acciones de evaluación, control y Seguimiento que permitieron controlar el aprovechamiento de 433.282,27  toneladas de residuos especiales y peligrosos generadas en el Distrito Capital, acorde con los siguientes tipos de residuos:
Aprovechamiento RCD PROYECTOS CONSTRUCTIVOS 188.655,35
Aprovechamiento RCD INFRAESTRUCTURA	242.042,76
Aprovechamiento Residuos Hospitalarios y similares	1.134,24
Aprovechamiento Llantas	1.396,38
Aprovechamiento Entidades Públicas	53,54
El avance reportado a la fecha es del 53,50%  y se establece sobre el total de las  809.912  toneladas definidas como objeto de control de aprovechamiento para la vigencia 2023.</t>
  </si>
  <si>
    <t xml:space="preserve">PROYECTOS DE PROCESAMIENTO, PRODUCCIÓN Y DIFUSIÓN DE INFORMACIÓN DE ECONOMÍA CIRCULAR.
PEC # 2 Información para Estilos de Vida Sostenible AVANCE 25 %
Durante el mes de marzo se realizaron siete sesiones de sensibilización con una particiapcion de 197 personas. 
Se actualizaron indicadores en el Observatorio Ambiental de Bogotá relacionados con Gestiona Ambiental Empresarial.
Durante este periodo se realizaron 7 reuniones de articulación para desarrollar los productos del CONPES 35 PDEC.
Se presentó propuesta de proyecto de Puntos de Economía circular en Mesa de Bogotá circular y la actualización de 3 indicadores del ORARBO
PEC # 3 Implementación y seguimiento a planes de gestión integral de residuos AVANCE 20 %
Dentro de las acciones establecidas para el mes de marzo se participo en las siguientes reuniones:
Mesa de biomasa residual MADS 
SESIÓN DE TRABAJO: RETOS Y OPORTUNIDADES DE LAS CIUDADES CAPITALES EN GIRS ASocapitales.
Atención a presentación de propuestas de gestión de residuos: 
Alternativas de gestión de residuos orgánicos/abonos.
9R Sostenible.
Procesamiento de RCD PROCEMCO.
Propuesta procesamiento de madera Rad 2024ER27957 
Acciones de acompañamiento se participó en reunión Mesa de Paqueros por Bogotá, para la gestión de residuos orgánicos (21/02/2024).  
PEC # 4 Economía circular de residuos de construcción y demolición  AVANCE 30 %
Se realiza mesa de trabajo con integrantes del proyecto Re Genera, con el fin de revisar avances, dando como consolidado a la fecha 70 puntos de recolección, 11 nuevos y 59 ya existentes, que en total se han recolectado 102 Ton de residuos orgánicos y se han obtenido 10,2 Ton de compost; en esta sesión de trabajo se presentó la opción por parte de la SDA de que los establecimientos vinculados al proyecto Re Genera sean reconocidos como negocios verdes. 
Se realizan ajustes al documento con la Información requerida para la expedición de lineamientos orientados a la instalación y operación de puntos de la tierra en virtud del artículo 208 del Decreto 555 de 2021. 
Se realiza recolección de ropa y calzado en desuso en los centros comerciales Santafé y Plaza de las Américas a través del gestor Loop&amp;Cero.
Se avanza con el ajuste a los lineamientos para la sustitución y gestión integral de asbesto, de acuerdo con los comentarios realizados por diferentes actores. </t>
  </si>
  <si>
    <t>"PROYECTOS DE PROMOCIÓN DE APROVECHAMIENTO DE RESIDUOS PELIGROSOS, ESPECIALES Y DE MANEJO DIFERENCIADO
PEC # 5 Registro y reporte de trámites de residuos - 2024, relacionados con el registro de AVU, registro de acopiadores de llantas y registros de empresas transformadoras de envases y empaques. AVANCE 40 %
Durante el mes de marzo se relizo verificación de 24 solicitudes del tramite de registro de aceite vegetal usado. De acuerdo a la verificación de reportes se  revisaron 882 reportes de los cuales fueron aprobados 620 y se requerimiento por inconsistencias a 262 reportes.
Se atienden 13 solicitudes de registro como acopiadores de llantasy atendieron 2 PQRS. 
En cuanto al seguimiento del tramite de registro de Empresas Transformadores de Envases y Empaques se realizo la capacitación de 2 usuarios acerca del tramite de registro, se recibieron 5 solicitudes de registro 
Se reporta 0,581 toneladas de RAEE recolectados por medio del programa ECOLECTA
Se reporta 413,24 toneladas de Aceite vegetal usado gestionados adecuadamente bajo los reportes revisados por aplicativo web.</t>
  </si>
  <si>
    <t>PROYECTOS DE ARTICULACIÓN DE ACTORES DE LA DE RED ECONOMÍA CIRCULAR 
PEC #1 Cooperación para el consumo responsable.. AVANCE 20 %
Dentro de las acciones realizadas en el mes de marzo, se acordó junto a los programas posconsumo que los días del 28 y 29 de mayo se llevará a cabo la primera jornada de Reciclatón Empresarial en el año 2024. 
En coordinación con el grupo de Sustancias Químicas del Ministerio de Ambiente y Desarrollo Sostenible, se acuerda realizar una mesa de trabajo el día miércoles 3 de abril, con la finalidad de realizar unas precisiones al documento guía sobre la gestión adecuada de las baterías de litio, se tiene previsto para el viernes 26 de abril.
Se reluaza la gestión de instalcion de contenedores de RAEE con programas posocsumo de acueros a solicitud del colegio Gimnasio Bilingüe Campestre Marie Curie, asi mismo se realiza la asesoría a la institución en este tema.                                      
Con relación a los puntos de recolección de aceite vegetal usado, durante el mes de marzo se realizo la recolección de 240,58 kg</t>
  </si>
  <si>
    <r>
      <rPr>
        <b/>
        <u/>
        <sz val="12"/>
        <rFont val="Arial"/>
        <family val="2"/>
      </rPr>
      <t xml:space="preserve">PROYECTOS DE ARTICULACIÓN DE ACTORES DE LA DE RED ECONOMÍA CIRCULAR </t>
    </r>
    <r>
      <rPr>
        <sz val="12"/>
        <rFont val="Arial"/>
        <family val="2"/>
      </rPr>
      <t xml:space="preserve">
PEC #1 Cooperación para el consumo responsable.. AVANCE 7 %
</t>
    </r>
    <r>
      <rPr>
        <b/>
        <u/>
        <sz val="12"/>
        <rFont val="Arial"/>
        <family val="2"/>
      </rPr>
      <t>PROYECTOS DE PROCESAMIENTO, PRODUCCIÓN Y DIFUSIÓN DE INFORMACIÓN DE ECONOMÍA CIRCULAR.</t>
    </r>
    <r>
      <rPr>
        <sz val="12"/>
        <rFont val="Arial"/>
        <family val="2"/>
      </rPr>
      <t xml:space="preserve">
PEC # 2 Información para Estilos de Vida Sostenible AVANCE 12 %
PEC # 3 Implementación y seguimiento a planes de gestión integral de residuos AVANCE12 %
PEC # 4 Economía circular de residuos de construcción y demolición  AVANCE 8 %
</t>
    </r>
    <r>
      <rPr>
        <b/>
        <u/>
        <sz val="12"/>
        <rFont val="Arial"/>
        <family val="2"/>
      </rPr>
      <t xml:space="preserve">PROYECTOS DE PROMOCIÓN DE APROVECHAMIENTO DE RESIDUOS PELIGROSOS, ESPECIALES Y DE MANEJO DIFERENCIADO
</t>
    </r>
    <r>
      <rPr>
        <sz val="12"/>
        <rFont val="Arial"/>
        <family val="2"/>
      </rPr>
      <t xml:space="preserve">
PEC # 5 Registro y reporte de trámites de residuos - 2024, relacionados con el registro de AVU, registro de acopiadores de llantas y registros de empresas transformadoras de envases y empaques. AVANCE 19%</t>
    </r>
  </si>
  <si>
    <r>
      <t>En el marco de las acciones de evaluación, control y seguimiento a los factores de deterioro ambiental como los son los residuos y escombros, la Secretaría Distrital de Ambiente durante el periodo comprendido entre el 01 enero al 31 de marzo del año 2024, atendió el</t>
    </r>
    <r>
      <rPr>
        <sz val="12"/>
        <color theme="1"/>
        <rFont val="Arial"/>
        <family val="2"/>
      </rPr>
      <t xml:space="preserve"> </t>
    </r>
    <r>
      <rPr>
        <b/>
        <sz val="12"/>
        <color theme="1"/>
        <rFont val="Arial"/>
        <family val="2"/>
      </rPr>
      <t>100</t>
    </r>
    <r>
      <rPr>
        <b/>
        <sz val="12"/>
        <rFont val="Arial"/>
        <family val="2"/>
      </rPr>
      <t>%</t>
    </r>
    <r>
      <rPr>
        <sz val="12"/>
        <rFont val="Arial"/>
        <family val="2"/>
      </rPr>
      <t xml:space="preserve"> de los conceptos técnicos que recomiendan una actuación administrativa sancionatoria, distribuida así:
N° de Conceptos Técnicos que recomiendan actuaciones administrativas sancionatorias: </t>
    </r>
    <r>
      <rPr>
        <b/>
        <sz val="12"/>
        <rFont val="Arial"/>
        <family val="2"/>
      </rPr>
      <t>57</t>
    </r>
    <r>
      <rPr>
        <sz val="12"/>
        <rFont val="Arial"/>
        <family val="2"/>
      </rPr>
      <t xml:space="preserve">
N° de Conceptos Técnicos acogidos jurídicamente mediante acto administrativo: </t>
    </r>
    <r>
      <rPr>
        <b/>
        <sz val="12"/>
        <rFont val="Arial"/>
        <family val="2"/>
      </rPr>
      <t>57</t>
    </r>
  </si>
  <si>
    <r>
      <t xml:space="preserve">Durante el periodo comprendido entre el 01 de enero al 31 de marzo 2024, se realizaron </t>
    </r>
    <r>
      <rPr>
        <b/>
        <sz val="12"/>
        <rFont val="Arial"/>
        <family val="2"/>
      </rPr>
      <t>520</t>
    </r>
    <r>
      <rPr>
        <sz val="12"/>
        <rFont val="Arial"/>
        <family val="2"/>
      </rPr>
      <t xml:space="preserve"> acciones archivísticas, derivadas de la atención de los conceptos técnicos que recomiendan actuaciones administrativas en el marco del trámite sancionatorio así:
Apertura: 6			
Inserción: 8			
Encarpetado de expedientes: 17			
Préstamo de expedientes: 35			
Organización de expedientes: 40			
Hoja de control: 54			
Revisión, depuración, levantamiento base de datos expedientes permisivos DCA:14	
Verificación procesos sancionatorios: 221			
Foliación: 3  			
Control de Calidad: 9			
Asociación de radicados - Forest: 2			
Entrega de Inserciones Protech: 47			
Atención ventanilla:38			
Perdida o extravió de documentos: 25			
Inserción permisivos: 1</t>
    </r>
    <r>
      <rPr>
        <sz val="12"/>
        <color rgb="FFFF0000"/>
        <rFont val="Arial"/>
        <family val="2"/>
      </rPr>
      <t xml:space="preserve">	</t>
    </r>
  </si>
  <si>
    <r>
      <t xml:space="preserve">Durante el periodo comprendido entre el 01 de enero al 31 de marzo del 2024, se notificaron </t>
    </r>
    <r>
      <rPr>
        <b/>
        <sz val="12"/>
        <rFont val="Arial"/>
        <family val="2"/>
      </rPr>
      <t xml:space="preserve">30 </t>
    </r>
    <r>
      <rPr>
        <sz val="12"/>
        <rFont val="Arial"/>
        <family val="2"/>
      </rPr>
      <t xml:space="preserve"> actuaciones administrativas derivadas de las acciones del tramite sancionatorio.</t>
    </r>
  </si>
  <si>
    <r>
      <t xml:space="preserve">Durante el periodo comprendido entre el 1 de enero al 31 de marzo de 2024 Se realizo el seguimiento a </t>
    </r>
    <r>
      <rPr>
        <b/>
        <sz val="12"/>
        <rFont val="Arial"/>
        <family val="2"/>
      </rPr>
      <t>2</t>
    </r>
    <r>
      <rPr>
        <sz val="12"/>
        <rFont val="Arial"/>
        <family val="2"/>
      </rPr>
      <t xml:space="preserve"> procesos 6102261 y  6102273  de evaluación control y seguimiento.</t>
    </r>
  </si>
  <si>
    <r>
      <t>En el marco de las acciones de evaluación, control y seguimiento a los factores de deterioro ambiental como los son los residuos especiales y peligrosos, la Secretaría Distrital de Ambiente durante el periodo comprendido entre el 01 enero al 31 de marzo del año 2024, atendió el</t>
    </r>
    <r>
      <rPr>
        <sz val="12"/>
        <color rgb="FFFF0000"/>
        <rFont val="Arial"/>
        <family val="2"/>
      </rPr>
      <t xml:space="preserve"> </t>
    </r>
    <r>
      <rPr>
        <b/>
        <sz val="12"/>
        <color theme="1"/>
        <rFont val="Arial"/>
        <family val="2"/>
      </rPr>
      <t>100</t>
    </r>
    <r>
      <rPr>
        <b/>
        <sz val="12"/>
        <rFont val="Arial"/>
        <family val="2"/>
      </rPr>
      <t>%</t>
    </r>
    <r>
      <rPr>
        <sz val="12"/>
        <rFont val="Arial"/>
        <family val="2"/>
      </rPr>
      <t xml:space="preserve"> de los conceptos técnicos que recomiendan una actuación administrativa sancionatoria, distribuida así:
N° de Conceptos Técnicos que recomiendan actuaciones administrativas sancionatorias:</t>
    </r>
    <r>
      <rPr>
        <b/>
        <sz val="12"/>
        <rFont val="Arial"/>
        <family val="2"/>
      </rPr>
      <t xml:space="preserve"> 57</t>
    </r>
    <r>
      <rPr>
        <sz val="12"/>
        <rFont val="Arial"/>
        <family val="2"/>
      </rPr>
      <t xml:space="preserve">
N° de Conceptos Técnicos acogidos jurídicamente mediante acto administrativo: </t>
    </r>
    <r>
      <rPr>
        <b/>
        <sz val="12"/>
        <rFont val="Arial"/>
        <family val="2"/>
      </rPr>
      <t>57</t>
    </r>
    <r>
      <rPr>
        <sz val="12"/>
        <color rgb="FFFF0000"/>
        <rFont val="Arial"/>
        <family val="2"/>
      </rPr>
      <t xml:space="preserve">
</t>
    </r>
    <r>
      <rPr>
        <sz val="12"/>
        <rFont val="Arial"/>
        <family val="2"/>
      </rPr>
      <t xml:space="preserve">
 </t>
    </r>
  </si>
  <si>
    <t>A marzo de 2024 se avanzó en el 0,46%  correspondiente a la elaboración  y avance de la implementación de 1 programa de actividades de evaluación, control y seguimiento ambiental encaminadas a la adecuada disposición y aprovechamiento de residuos en Bogotá establecido para el año 2024,  el cual se encuentra definido por 7 actividades cada una con una ponderación específica dependiendo de su importancia  así: 
-Priorización y definición de actividades y usuarios a controlar: 0,10%
formulación de 1 programa informe técnico No. 01121, del 22 de febrero del 2024 denominado PROGRAMA DE ACTIVIDADES DE EVALUACIÓN, SEGUIMIENTO, CONTROL AMBIENTAL ENCAMINADAS A LA ADECUADA DISPOSICIÓN Y APROVECHAMIENTO DE RESIDUOS EN BOGOTÁ
-Ejecución de actuaciones técnicas y administrativas de evaluación control y seguimiento: 0,273%
A marzo de 2024  se realizaron  2.452 actuaciones de evaluación control y seguimiento a la disposición y aprovechamiento de residuos en Bogotá así:
RESIDUOS DE CONSTRUCCIÓN Y DEMOLICIÓN (RCD) OBRAS:601
RCD INFRAESTRUCTURA PERMISOS DE OCUPACIÓN DE CAUCE (POC) Y ESTRUCTURA ECOLÓGICA PRINCIPAL (EPP):333
RESIDUOS HOSPITALARIOS : 888
ENTIDADES PÚBLICAS:60
LLANTAS USADAS: 323
RESPEL INDUSTRIALES: 247
-Controlar la disposición adecuada de residuos especiales, peligrosos, ordinarios y de manejo diferenciado: 0,070
Las actuaciones técnicas permitieron controlar   la disposición adecuada de 1.664.952,06  Ton de residuos peligrosos y especiales
-Controlar el aprovechamiento de residuos especiales, peligrosos, ordinarios y de manejo diferenciado: 0,064
 las actuaciones permitieron controla el aprovechamiento de 433.282,27 ton de residuos especiales y peligrosos generadas en el D.C. 
-Reporte y consolidación  de Informe eficiencia de actuaciones técnicas y administrativas de evaluación control y seguimiento al mes de febrero de 2024: 0,042%</t>
  </si>
  <si>
    <t xml:space="preserve">BARRANCAS NORTE
BELLA SUIZA
BOSQUE DE PINOS III
COUNTRY CLUB
ESCUELA DE INFANTERIA
LA CALLEJA
LA GRANJA NORTE
LA PRADERA NORTE
LAS ORQUIDEAS
LOS CEDROS
LOS CEDROS ORIENTAL
RINCON DEL CHICO
SAN ANTONIO NOROCCIDENTAL
SAN JOSE DE USAQUEN
SAN PATRICIO
SANTA BARBARA CENTRAL
SANTA BARBARA OCCIDENTAL
SANTA BARBARA ORIENTAL
SANTA BIBIANA
TIBABITA
VERBENAL SAN ANTONIO
</t>
  </si>
  <si>
    <t xml:space="preserve">POL_7702_1_3_2024_DETALLADA
</t>
  </si>
  <si>
    <t xml:space="preserve">ANTIGUO COUNTRY
ANTIGUO COUNTRY
BELLAVISTA
CATALUNA
CHAPINERO CENTRAL
CHICO NORTE
CHICO NORTE II SECTOR
CHICO NORTE III SECTOR
EL CHICO
EL NOGAL
EL RETIRO
ESPARTILLAL
GRANADA
INGEMAR
LA CABRERA
LAGO GAITAN
MARLY
PARDO RUBIO
QUINTA CAMACHO
</t>
  </si>
  <si>
    <t>91
93
96</t>
  </si>
  <si>
    <t>EL GUAVIO
LA MERCED
LAS NIEVES
SAMPER
SAN MARTIN</t>
  </si>
  <si>
    <t xml:space="preserve">ALTAMIRA
ARBOLEDA SANTA TERESITA
BELLO HORIZONTE
LA GLORIA ORIENTAL
LA VICTORIA
LOS ALPES
MODELO SUR
SANTA INES SUR II
SOCIEGO
SURAMERICA
VEINTE DE JULIO
</t>
  </si>
  <si>
    <t>PARQUE EL TUNAL
SAMORE
SAN BENITO
TUNAL ORIENTAL</t>
  </si>
  <si>
    <t xml:space="preserve">ALQUERIA LA FRAGUA NORTE
BAVARIA
CIUDAD KENNEDY CENTRAL
CIUDAD KENNEDY NORTE
EL JAZMIN
EL TINTAL IV
HIPOTECHO SUR
MARSELLA
NUEVO TECHO
PROVIVIENDA ORIENTAL
TINTALA
</t>
  </si>
  <si>
    <t>AEROPUERTO EL DORADO
BRISAS ALDEA FONTIBON
CIUDAD HAYUELOS
EL CHANCO I
FRANCO
GRANJAS DE TECHO
LA CABANA FONTIBON
LA ESPERANZA SUR
LOS ALAMOS
MODELIA
MODELIA OCCIDENTAL
MONTEVIDEO
PUENTE GRANDE
SALITRE OCCIDENTAL
SAN PABLO JERICO
SANTA CECILIA
VILLEMAR</t>
  </si>
  <si>
    <t>105
26
29
30
31
72
73</t>
  </si>
  <si>
    <t>EL GACO
JARDIN BOTANICO
LA ESTRADA
LAS FERIAS
LAS FERIAS OCCIDENTAL
NORMANDIA OCCIDENTAL
PARIS
PARIS GAITAN
SAN IGNACIO
SANTA MONICA
SANTA ROSA</t>
  </si>
  <si>
    <t>19
2
20
23
24
25
27
28</t>
  </si>
  <si>
    <t>BATAN
CANODROMO
CASA BLANCA SUBA I
CASABLANCA SUBA URBANO
EL PINO
EL PLAN
EL POA
ESTORIL
JULIO FLOREZ
LAS FLORES
MONACO
NIZA NORTE
POTOSI
PRADO VERANIEGO NORTE
PUENTE LARGO
SUBA CERROS
TUNA BAJA
VEREDA SUBA NARANJOS
VICTORIA NORTE</t>
  </si>
  <si>
    <t>103
21
22
98</t>
  </si>
  <si>
    <t>BENJAMIN HERRERA
CONCEPCION NORTE
EL ROSARIO
LA CASTELLANA
LA MERCED NORTE
QUINTA MUTIS
RIONEGRO
SAN FERNANDO</t>
  </si>
  <si>
    <t xml:space="preserve">EL LISTON
LA FAVORITA
SANTA ISABEL
SANTA ISABEL SUR
VERAGUAS
</t>
  </si>
  <si>
    <t>108
111
40
41
43</t>
  </si>
  <si>
    <t>ALQUERIA
CENTRO INDUSTRIAL
COMUNEROS
ESTACION CENTRAL
GORGONZOLA
INDUSTRIAL CENTENARIO
PENSILVANIA
PUENTE ARANDA
SALAZAR GOMEZ
SAN RAFAEL
SANTA MATILDE
TIBANA</t>
  </si>
  <si>
    <t>BELEN
EGIPTO
LA CATEDRAL
LAS AGUAS
SANTA BARBARA</t>
  </si>
  <si>
    <t>CLARET
DIANA TURBAY
GRANJAS SAN PABLO
INGLES
LA RESURRECCION
LIBERTADOR
MURILLO TORO
OLAYA
SAN JORGE SUR
SANTIAGO PEREZ</t>
  </si>
  <si>
    <t>65
66
67
68
69</t>
  </si>
  <si>
    <t>CANDELARIA LA NUEVA
EL ENSUENO
EL MOCHUELO
EL MOCHUELO ORIENTAL
LA CORUNA
LA ESTANCIA
LAS ACACIAS
MEISSEN
PERDOMO ALTO
RAFAEL ESCAMILLA
RINCON DE LA VALVANERA
SAN FRANCISCO</t>
  </si>
  <si>
    <t>POL_7702_1_3_2024</t>
  </si>
  <si>
    <t xml:space="preserve">POL_7702_1_3_2024
POL_7702_1_3_2024_DETALLADA
</t>
  </si>
  <si>
    <t>CORTE A MARZO 2024</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</si>
  <si>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USAQUEN  75924,84749  ton de las cuales son GEOREFERENCIABLES 67001,96349  y no GEOREFERENCIABLES 8922,884</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</si>
  <si>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CHAPINERO  69496,76725  ton de las cuales son GEOREFERENCIABLES 68067,04725  y no GEOREFERENCIABLES 1429,72</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</si>
  <si>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SANTA FE  30850,21196  ton de las cuales son GEOREFERENCIABLES 30850,21196  y no GEOREFERENCIABLES 0</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</si>
  <si>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SAN CRISTOBAL  92185,55052  ton de las cuales son GEOREFERENCIABLES 7302,92052  y no GEOREFERENCIABLES 84882,63</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</si>
  <si>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USME  4375,26195  ton de las cuales son GEOREFERENCIABLES 4375,26195  y no GEOREFERENCIABLES 0</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</si>
  <si>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TUNJUELITO  30441,009  ton de las cuales son GEOREFERENCIABLES 30441,009  y no GEOREFERENCIABLES 0</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</si>
  <si>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BOSA  74882,098  ton de las cuales son GEOREFERENCIABLES 5005,826  y no GEOREFERENCIABLES 69876,272</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</si>
  <si>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KENNEDY  255467,2809  ton de las cuales son GEOREFERENCIABLES 52564,9289  y no GEOREFERENCIABLES 202902,352</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</si>
  <si>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FONTIBON  136631,1918  ton de las cuales son GEOREFERENCIABLES 131331,7438  y no GEOREFERENCIABLES 5299,448</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</si>
  <si>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ENGATIVA  307717,42651  ton de las cuales son GEOREFERENCIABLES 23439,11651  y no GEOREFERENCIABLES 284278,31</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</si>
  <si>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SUBA  99170,02024  ton de las cuales son GEOREFERENCIABLES 73049,44024  y no GEOREFERENCIABLES 26120,58</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</si>
  <si>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BARRIOS UNIDOS  3182,43741  ton de las cuales son GEOREFERENCIABLES 3182,43741  y no GEOREFERENCIABLES 0</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</si>
  <si>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TEUSAQUILLO  16585,85308  ton de las cuales son GEOREFERENCIABLES 16585,85308  y no GEOREFERENCIABLES 0</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</si>
  <si>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LOS MARTIRES  5211,00506  ton de las cuales son GEOREFERENCIABLES 4194,44506  y no GEOREFERENCIABLES 1016,56</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</si>
  <si>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ANTONIO NARIÑO  3458,878  ton de las cuales son GEOREFERENCIABLES 3458,878  y no GEOREFERENCIABLES 0</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</si>
  <si>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PUENTE ARANDA  22387,43971  ton de las cuales son GEOREFERENCIABLES 22387,43971  y no GEOREFERENCIABLES 0</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</si>
  <si>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CANDELARIA  2256,1391  ton de las cuales son GEOREFERENCIABLES 2256,1391  y no GEOREFERENCIABLES 0</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</si>
  <si>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RAFAEL URIBE URIBE  117747,58219  ton de las cuales son GEOREFERENCIABLES 5506,00219  y no GEOREFERENCIABLES 112241,58</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</si>
  <si>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CIUDAD BOLIVAR  30264,033  ton de las cuales son GEOREFERENCIABLES 30264,033  y no GEOREFERENCIABLES 0</t>
  </si>
  <si>
    <t>La implementación del programa de actividades de evaluación, control y seguimiento ambiental a la adecuada disposición y aprovechamiento de residuos en Bogotá esta orientado al control de toneladas; el valor del presupuesto ejecutado a marzo  de 2024 para esta meta  es directamente proporcional al número total de toneladas controladas en cada localidad para este caso ESPECIAL  719999,275  ton de las cuales son GEOREFERENCIABLES 491,085  y no GEOREFERENCIABLES 719508,19</t>
  </si>
  <si>
    <t>En el marco de las acciones de evaluación, control y seguimiento a los factores de deterioro ambiental como los son los residuos especiales y peligrosos, la Secretaría Distrital de Ambiente durante el periodo comprendido entre el 01 enero al 31 de marzo del año 2024, atendió el 100% de los conceptos técnicos que recomiendan una actuación administrativa sancionatoria, distribuida así:
N° de Conceptos Técnicos que recomiendan actuaciones administrativas sancionatorias: 57
N° de Conceptos Técnicos acogidos jurídicamente mediante acto administrativo: 57</t>
  </si>
  <si>
    <t>PROYECTOS DE ARTICULACIÓN DE ACTORES DE LA DE RED ECONOMÍA CIRCULAR 
PEC #1 Cooperación para el consumo responsable.. AVANCE 7 %
PROYECTOS DE PROCESAMIENTO, PRODUCCIÓN Y DIFUSIÓN DE INFORMACIÓN DE ECONOMÍA CIRCULAR.
PEC # 2 Información para Estilos de Vida Sostenible AVANCE 12 %
PEC # 3 Implementación y seguimiento a planes de gestión integral de residuos AVANCE12 %
PEC # 4 Economía circular de residuos de construcción y demolición  AVANCE 8 %
PROYECTOS DE PROMOCIÓN DE APROVECHAMIENTO DE RESIDUOS PELIGROSOS, ESPECIALES Y DE MANEJO DIFERENCIADO
PEC # 5 Registro y reporte de trámites de residuos - 2024, relacionados con el registro de AVU, registro de acopiadores de llantas y registros de empresas transformadoras de envases y empaques. AVANCE 19%</t>
  </si>
  <si>
    <t>A febrero de 2024 se  elaboró el informe técnico No. 01121, del 22 de febrero del 2024 denominado PROGRAMA DE ACTIVIDADES DE EVALUACIÓN, SEGUIMIENTO, CONTROL AMBIENTAL ENCAMINADAS A LA ADECUADA DISPOSICIÓN Y APROVECHAMIENTO DE RESIDUOS EN BOGOTÁ
En cuanto al 2do instrumento técnicos se avanza en 46%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</si>
  <si>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A Marzo  de 2024, la Secretaría Distrital de Ambiente controló la gestión adecuada de 2.098.975,123  ton de residuos peligrosos, ordinarios, especiales de los cuales  1.664.952,06 ton corresponden a disposición adecuada  y  434.023,063 ton a aprovechamiento de residuos  en el D.C.</t>
  </si>
  <si>
    <t>A Marzo de 2024 , se realizó el reporte de eficiencia de las actuaciones técnicas y administrativas de evaluación control y seguimiento para cada uno de los tipos de usuarios controlados según se soporta en los  informes técnicos con numero de proceso forest SDA  así:
Informe técnico eficiencia Marzo  RCD PROCESO 6218579
Informe técnico eficiencia Marzo  LLANTAS PROCESO 6194222
Informe técnico eficiencia Marzo   HOSPITALARIOS 6220330 
Informe técnico eficiencia Marzo  INFRAESTRUCTURA 6213845
Informe técnico eficiencia Marzo   CAEP 6218079</t>
  </si>
  <si>
    <t>Sistema de información ambiental FOREST 
Archivos de la Subdirección de Control Ambiental
https://drive.google.com/drive/folders/19yyvWvvRIvW40_ziu0ukK4F2z8mSwi7N?usp=drive_link</t>
  </si>
  <si>
    <t>https://drive.google.com/drive/folders/19yyvWvvRIvW40_ziu0ukK4F2z8mSwi7N?usp=drive_link</t>
  </si>
  <si>
    <t>Archivo de gestión Subdirección de Control Ambiental al Sector Público - Subdirección del Recurso Hídrico y del Suelo.
https://drive.google.com/drive/folders/19yyvWvvRIvW40_ziu0ukK4F2z8mSwi7N?usp=drive_link</t>
  </si>
  <si>
    <t>Archivo de gestión Subdirección de Control Ambiental al Sector Público - Subdirección del Recurso Hídrico y del Suelo.
https://drive.google.com/drive/folders/19yyvWvvRIvW40_ziu0ukK4F2z8mSwi7N?usp=drive_link</t>
  </si>
  <si>
    <r>
      <t>Para el cumplimiento de la meta plan de desarrollo, durante lo corrido del cuatrienio a marzo</t>
    </r>
    <r>
      <rPr>
        <b/>
        <sz val="12"/>
        <color rgb="FFFF0000"/>
        <rFont val="Calibri"/>
        <family val="2"/>
        <scheme val="minor"/>
      </rPr>
      <t xml:space="preserve">  </t>
    </r>
    <r>
      <rPr>
        <sz val="12"/>
        <rFont val="Calibri"/>
        <family val="2"/>
        <scheme val="minor"/>
      </rPr>
      <t>de 2024 la SDA ha realizado el control y disposición adecuada d</t>
    </r>
    <r>
      <rPr>
        <b/>
        <sz val="12"/>
        <rFont val="Calibri"/>
        <family val="2"/>
        <scheme val="minor"/>
      </rPr>
      <t>e 39.698.556,65</t>
    </r>
    <r>
      <rPr>
        <sz val="12"/>
        <rFont val="Calibri"/>
        <family val="2"/>
        <scheme val="minor"/>
      </rPr>
      <t xml:space="preserve"> ton de las cuales 4.365.906,53 ton se controlaron en el segundo semestre de 2020; en la vigencia 2021 se controlaron  8.466.949,41  ton,  13.651.068,64  en la vigencia 2022,   a diciembre del año 2023, se  realizó control a 11.549.680,01 Toneladas de residuos peligrosos, y a marzo de 2024 un total de </t>
    </r>
    <r>
      <rPr>
        <b/>
        <sz val="12"/>
        <rFont val="Calibri"/>
        <family val="2"/>
        <scheme val="minor"/>
      </rPr>
      <t>1.664.952,06</t>
    </r>
    <r>
      <rPr>
        <sz val="12"/>
        <rFont val="Calibri"/>
        <family val="2"/>
        <scheme val="minor"/>
      </rPr>
      <t xml:space="preserve"> de los clasificadas de la siguiente manera:
Disposición RCD 	727.992,03
Disposición RCD INFRAESTRUCTURA	919.033,18
Disposición Residuos Hospitalarios y similares	4.411,49
Disposición Entidades Públicas	 5,20 
Residuos peligrosos: 13510,16
</t>
    </r>
  </si>
  <si>
    <t>5, PONDERACIÓN HORIZONTAL AÑO: 2024</t>
  </si>
  <si>
    <r>
      <t xml:space="preserve">Para el cumplimiento de esta meta plan de desarrollo, se han realizado diversas actuaciones técnicas de gestión y control que permitieron obtener en lo corrido del cuatrienio a Marzo de 2024 el aprovechamiento de   </t>
    </r>
    <r>
      <rPr>
        <b/>
        <sz val="12"/>
        <rFont val="Calibri"/>
        <family val="2"/>
        <scheme val="minor"/>
      </rPr>
      <t>10.624.111,52</t>
    </r>
    <r>
      <rPr>
        <sz val="12"/>
        <rFont val="Calibri"/>
        <family val="2"/>
        <scheme val="minor"/>
      </rPr>
      <t xml:space="preserve">  toneladas de residuos peligrosos, ordinarios, especiales y/o de manejo diferenciado, de los cuales 1.019.665,43 ton fueron controladas durante el segundo semestre de 2020, en la vigencia 2021 se controlaron   2.135.872,75 ton,a diciembre de 2022 fueron controladas   3.109.407,33 ton , a diciembre de 2023 un total de  3.925.142,38 Tn y a marzo de 2024  un total de</t>
    </r>
    <r>
      <rPr>
        <b/>
        <sz val="12"/>
        <rFont val="Calibri"/>
        <family val="2"/>
        <scheme val="minor"/>
      </rPr>
      <t xml:space="preserve"> 434.023,63 </t>
    </r>
    <r>
      <rPr>
        <sz val="12"/>
        <rFont val="Calibri"/>
        <family val="2"/>
        <scheme val="minor"/>
      </rPr>
      <t xml:space="preserve"> clasificadas de la siguiente manera:
Aprovechamiento RCD PROYECTOS CONSTRUCTIVOS 188.655,35
Aprovechamiento RCD INFRAESTRUCTURA	242.042,76
Aprovechamiento Residuos Hospitalarios y similares	1.134,24
Aprovechamiento Llantas	1.396,38
Aprovechamiento Entidades Públicas	53,54
Aprovechamiento de RAEE programa ECOLECTA en el sector residencial  3,09 TON
Aprovechamiento de Aceite vegetal usado  738,27 TON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</si>
</sst>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_);_(&quot;$&quot;\ * \(#,##0\);_(&quot;$&quot;\ * &quot;-&quot;_);_(@_)"/>
    <numFmt numFmtId="167" formatCode="_(&quot;$&quot;\ * #,##0.00_);_(&quot;$&quot;\ * \(#,##0.00\);_(&quot;$&quot;\ * &quot;-&quot;??_);_(@_)"/>
    <numFmt numFmtId="168" formatCode="_(* #,##0.00_);_(* \(#,##0.00\);_(*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000"/>
    <numFmt numFmtId="180" formatCode="&quot;$&quot;\ #,##0"/>
    <numFmt numFmtId="181" formatCode="&quot;$&quot;\ #,##0.00"/>
    <numFmt numFmtId="182" formatCode="#,##0.0000"/>
    <numFmt numFmtId="183" formatCode="#,##0.0"/>
    <numFmt numFmtId="184" formatCode="&quot;$&quot;#,##0.00"/>
    <numFmt numFmtId="185" formatCode="_([$$-240A]\ * #,##0_);_([$$-240A]\ * \(#,##0\);_([$$-240A]\ * &quot;-&quot;??_);_(@_)"/>
    <numFmt numFmtId="186" formatCode="_-&quot;$&quot;\ * #,##0_-;\-&quot;$&quot;\ * #,##0_-;_-&quot;$&quot;\ * &quot;-&quot;??_-;_-@_-"/>
    <numFmt numFmtId="187" formatCode="0.00000000"/>
    <numFmt numFmtId="188" formatCode="_-&quot;$&quot;\ * #,##0.00_-;\-&quot;$&quot;\ * #,##0.00_-;_-&quot;$&quot;\ * &quot;-&quot;_-;_-@_-"/>
    <numFmt numFmtId="189" formatCode="_-&quot;$&quot;\ * #,##0.000_-;\-&quot;$&quot;\ * #,##0.000_-;_-&quot;$&quot;\ * &quot;-&quot;_-;_-@_-"/>
    <numFmt numFmtId="190" formatCode="0.000"/>
    <numFmt numFmtId="191" formatCode="#,##0.00000"/>
    <numFmt numFmtId="192" formatCode="_-[$$-240A]\ * #,##0.00_-;\-[$$-240A]\ * #,##0.00_-;_-[$$-240A]\ * &quot;-&quot;??_-;_-@_-"/>
    <numFmt numFmtId="193" formatCode="0.000%"/>
  </numFmts>
  <fonts count="97"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sz val="14"/>
      <name val="Arial"/>
      <family val="2"/>
    </font>
    <font>
      <b/>
      <sz val="14"/>
      <color theme="1"/>
      <name val="Calibri"/>
      <family val="2"/>
      <scheme val="minor"/>
    </font>
    <font>
      <b/>
      <sz val="16"/>
      <name val="Arial"/>
      <family val="2"/>
    </font>
    <font>
      <sz val="14"/>
      <color theme="1"/>
      <name val="Arial"/>
      <family val="2"/>
    </font>
    <font>
      <b/>
      <sz val="14"/>
      <name val="Calibri"/>
      <family val="2"/>
      <scheme val="minor"/>
    </font>
    <font>
      <sz val="16"/>
      <name val="Arial"/>
      <family val="2"/>
    </font>
    <font>
      <b/>
      <sz val="30"/>
      <name val="Arial"/>
      <family val="2"/>
    </font>
    <font>
      <sz val="30"/>
      <name val="Arial"/>
      <family val="2"/>
    </font>
    <font>
      <b/>
      <sz val="30"/>
      <name val="Calibri"/>
      <family val="2"/>
      <scheme val="minor"/>
    </font>
    <font>
      <sz val="24"/>
      <name val="Arial"/>
      <family val="2"/>
    </font>
    <font>
      <sz val="8"/>
      <color theme="1"/>
      <name val="Arial"/>
      <family val="2"/>
    </font>
    <font>
      <b/>
      <sz val="10"/>
      <color theme="1"/>
      <name val="Calibri"/>
      <family val="2"/>
      <scheme val="minor"/>
    </font>
    <font>
      <sz val="10"/>
      <name val="Calibri"/>
      <family val="2"/>
      <scheme val="minor"/>
    </font>
    <font>
      <b/>
      <sz val="10"/>
      <name val="Calibri"/>
      <family val="2"/>
      <scheme val="minor"/>
    </font>
    <font>
      <sz val="9"/>
      <color theme="1"/>
      <name val="Calibri"/>
      <family val="2"/>
      <scheme val="minor"/>
    </font>
    <font>
      <sz val="12"/>
      <color theme="1"/>
      <name val="Arial"/>
      <family val="2"/>
    </font>
    <font>
      <b/>
      <sz val="16"/>
      <color theme="1"/>
      <name val="Calibri"/>
      <family val="2"/>
      <scheme val="minor"/>
    </font>
    <font>
      <sz val="8"/>
      <color rgb="FF000000"/>
      <name val="Calibri"/>
      <family val="2"/>
      <scheme val="minor"/>
    </font>
    <font>
      <b/>
      <sz val="11"/>
      <name val="Arial"/>
      <family val="2"/>
    </font>
    <font>
      <b/>
      <sz val="10"/>
      <color theme="0"/>
      <name val="Arial"/>
      <family val="2"/>
    </font>
    <font>
      <sz val="9"/>
      <name val="Calibri"/>
      <family val="2"/>
    </font>
    <font>
      <u/>
      <sz val="11"/>
      <color theme="10"/>
      <name val="Calibri"/>
      <family val="2"/>
      <scheme val="minor"/>
    </font>
    <font>
      <u/>
      <sz val="11"/>
      <color theme="11"/>
      <name val="Calibri"/>
      <family val="2"/>
      <scheme val="minor"/>
    </font>
    <font>
      <b/>
      <sz val="14"/>
      <color rgb="FFFF0000"/>
      <name val="Arial"/>
      <family val="2"/>
    </font>
    <font>
      <b/>
      <u/>
      <sz val="14"/>
      <name val="Arial"/>
      <family val="2"/>
    </font>
    <font>
      <b/>
      <sz val="10"/>
      <color rgb="FF000000"/>
      <name val="Tahoma"/>
      <family val="2"/>
    </font>
    <font>
      <sz val="10"/>
      <color rgb="FF000000"/>
      <name val="Tahoma"/>
      <family val="2"/>
    </font>
    <font>
      <sz val="11"/>
      <color rgb="FFFF0000"/>
      <name val="Calibri"/>
      <family val="2"/>
      <scheme val="minor"/>
    </font>
    <font>
      <sz val="12"/>
      <color rgb="FFFF0000"/>
      <name val="Arial"/>
      <family val="2"/>
    </font>
    <font>
      <b/>
      <sz val="12"/>
      <name val="Calibri"/>
      <family val="2"/>
      <scheme val="minor"/>
    </font>
    <font>
      <sz val="7"/>
      <color theme="1"/>
      <name val="Arial"/>
      <family val="2"/>
    </font>
    <font>
      <b/>
      <sz val="9"/>
      <name val="Calibri"/>
      <family val="2"/>
      <scheme val="minor"/>
    </font>
    <font>
      <sz val="10"/>
      <name val="Calibri"/>
      <family val="2"/>
    </font>
    <font>
      <sz val="8"/>
      <name val="Calibri"/>
      <family val="2"/>
      <scheme val="minor"/>
    </font>
    <font>
      <b/>
      <sz val="12"/>
      <color rgb="FFFF0000"/>
      <name val="Calibri"/>
      <family val="2"/>
      <scheme val="minor"/>
    </font>
    <font>
      <b/>
      <u/>
      <sz val="12"/>
      <name val="Arial"/>
      <family val="2"/>
    </font>
    <font>
      <b/>
      <sz val="12"/>
      <color theme="1"/>
      <name val="Arial"/>
      <family val="2"/>
    </font>
    <font>
      <sz val="12"/>
      <name val="Calibri"/>
      <family val="2"/>
    </font>
  </fonts>
  <fills count="3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theme="0"/>
      </patternFill>
    </fill>
    <fill>
      <patternFill patternType="solid">
        <fgColor theme="7" tint="0.39997558519241921"/>
        <bgColor indexed="64"/>
      </patternFill>
    </fill>
    <fill>
      <patternFill patternType="solid">
        <fgColor rgb="FFFFC000"/>
        <bgColor indexed="64"/>
      </patternFill>
    </fill>
    <fill>
      <patternFill patternType="solid">
        <fgColor theme="0"/>
        <bgColor rgb="FF3AEE3A"/>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diagonal/>
    </border>
    <border>
      <left style="medium">
        <color auto="1"/>
      </left>
      <right/>
      <top style="thin">
        <color auto="1"/>
      </top>
      <bottom/>
      <diagonal/>
    </border>
    <border>
      <left style="thin">
        <color auto="1"/>
      </left>
      <right/>
      <top style="medium">
        <color auto="1"/>
      </top>
      <bottom style="medium">
        <color auto="1"/>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7906">
    <xf numFmtId="0" fontId="0" fillId="0" borderId="0"/>
    <xf numFmtId="172" fontId="8"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8" fontId="19"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7" fontId="19" fillId="0" borderId="0" applyFont="0" applyFill="0" applyBorder="0" applyAlignment="0" applyProtection="0"/>
    <xf numFmtId="175" fontId="12"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7" fontId="36" fillId="0" borderId="0" applyFill="0" applyBorder="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39"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19" fillId="0" borderId="0" applyFont="0" applyFill="0" applyBorder="0" applyAlignment="0" applyProtection="0"/>
    <xf numFmtId="167" fontId="4" fillId="0" borderId="0" applyFont="0" applyFill="0" applyBorder="0" applyAlignment="0" applyProtection="0"/>
    <xf numFmtId="165"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3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1" fillId="9" borderId="0" applyNumberFormat="0" applyBorder="0" applyAlignment="0" applyProtection="0"/>
    <xf numFmtId="0" fontId="19" fillId="0" borderId="0"/>
    <xf numFmtId="0" fontId="4" fillId="0" borderId="0"/>
    <xf numFmtId="0" fontId="39" fillId="0" borderId="0"/>
    <xf numFmtId="0" fontId="33" fillId="0" borderId="0"/>
    <xf numFmtId="0" fontId="33" fillId="0" borderId="0"/>
    <xf numFmtId="0" fontId="39" fillId="0" borderId="0"/>
    <xf numFmtId="0" fontId="4" fillId="0" borderId="0"/>
    <xf numFmtId="0" fontId="19"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34" fillId="0" borderId="0"/>
    <xf numFmtId="170" fontId="1" fillId="0" borderId="0" applyFont="0" applyFill="0" applyBorder="0" applyAlignment="0" applyProtection="0"/>
    <xf numFmtId="0" fontId="56" fillId="0" borderId="0"/>
    <xf numFmtId="169"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3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39"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1" fontId="1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1" fontId="1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0" fontId="4" fillId="0" borderId="0"/>
    <xf numFmtId="170"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0"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3" fontId="2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19" fillId="0" borderId="0" applyFont="0" applyFill="0" applyBorder="0" applyAlignment="0" applyProtection="0"/>
    <xf numFmtId="43" fontId="2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1" fillId="0" borderId="0" applyFont="0" applyFill="0" applyBorder="0" applyAlignment="0" applyProtection="0"/>
    <xf numFmtId="43" fontId="25" fillId="0" borderId="0" applyFont="0" applyFill="0" applyBorder="0" applyAlignment="0" applyProtection="0"/>
  </cellStyleXfs>
  <cellXfs count="1305">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1"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1" fillId="0" borderId="0" xfId="0" applyFont="1"/>
    <xf numFmtId="0" fontId="0" fillId="0" borderId="0" xfId="0" applyAlignment="1">
      <alignment horizontal="center"/>
    </xf>
    <xf numFmtId="0" fontId="21" fillId="0" borderId="0" xfId="0" applyFont="1" applyAlignment="1">
      <alignment horizontal="center" vertical="center"/>
    </xf>
    <xf numFmtId="0" fontId="27" fillId="0" borderId="0" xfId="0" applyFont="1"/>
    <xf numFmtId="0" fontId="29" fillId="0" borderId="0" xfId="0" applyFont="1"/>
    <xf numFmtId="0" fontId="22" fillId="0" borderId="0" xfId="0" applyFont="1"/>
    <xf numFmtId="0" fontId="0" fillId="0" borderId="1" xfId="0" applyBorder="1" applyAlignment="1">
      <alignment horizontal="center" vertical="center"/>
    </xf>
    <xf numFmtId="0" fontId="22" fillId="3" borderId="0" xfId="0" applyFont="1" applyFill="1"/>
    <xf numFmtId="0" fontId="4" fillId="3" borderId="0" xfId="0" applyFont="1" applyFill="1"/>
    <xf numFmtId="0" fontId="5" fillId="3" borderId="0" xfId="0" applyFont="1" applyFill="1" applyAlignment="1">
      <alignment horizontal="center"/>
    </xf>
    <xf numFmtId="0" fontId="43" fillId="15" borderId="0" xfId="0" applyFont="1" applyFill="1"/>
    <xf numFmtId="4" fontId="43" fillId="15" borderId="0" xfId="0" applyNumberFormat="1" applyFont="1" applyFill="1"/>
    <xf numFmtId="0" fontId="45" fillId="15" borderId="0" xfId="0" applyFont="1" applyFill="1"/>
    <xf numFmtId="0" fontId="23" fillId="15" borderId="0" xfId="0" applyFont="1" applyFill="1" applyProtection="1">
      <protection locked="0"/>
    </xf>
    <xf numFmtId="0" fontId="24" fillId="15" borderId="0" xfId="0" applyFont="1" applyFill="1" applyAlignment="1" applyProtection="1">
      <alignment horizontal="center"/>
      <protection locked="0"/>
    </xf>
    <xf numFmtId="0" fontId="45" fillId="16" borderId="1" xfId="0" applyFont="1" applyFill="1" applyBorder="1" applyAlignment="1">
      <alignment horizontal="center" vertical="center"/>
    </xf>
    <xf numFmtId="0" fontId="43" fillId="15" borderId="0" xfId="0" applyFont="1" applyFill="1" applyAlignment="1">
      <alignment horizontal="center"/>
    </xf>
    <xf numFmtId="0" fontId="23" fillId="15" borderId="0" xfId="0" applyFont="1" applyFill="1" applyAlignment="1" applyProtection="1">
      <alignment horizontal="center"/>
      <protection locked="0"/>
    </xf>
    <xf numFmtId="0" fontId="55" fillId="18" borderId="18" xfId="0" applyFont="1" applyFill="1" applyBorder="1" applyAlignment="1">
      <alignment horizontal="center" vertical="center"/>
    </xf>
    <xf numFmtId="0" fontId="55" fillId="19" borderId="1" xfId="2867" applyFont="1" applyFill="1" applyBorder="1" applyAlignment="1">
      <alignment horizontal="center" vertical="center" wrapText="1"/>
    </xf>
    <xf numFmtId="0" fontId="55" fillId="19" borderId="11" xfId="2867" applyFont="1" applyFill="1" applyBorder="1" applyAlignment="1">
      <alignment horizontal="center" vertical="center" wrapText="1"/>
    </xf>
    <xf numFmtId="0" fontId="56"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3" xfId="0" applyBorder="1"/>
    <xf numFmtId="0" fontId="55" fillId="19" borderId="1" xfId="2867" applyFont="1" applyFill="1" applyBorder="1" applyAlignment="1">
      <alignment horizontal="center" vertical="top" wrapText="1"/>
    </xf>
    <xf numFmtId="0" fontId="0" fillId="0" borderId="12" xfId="0" applyBorder="1"/>
    <xf numFmtId="0" fontId="55" fillId="19" borderId="4" xfId="2867" applyFont="1" applyFill="1" applyBorder="1" applyAlignment="1">
      <alignment horizontal="center" vertical="center" wrapText="1"/>
    </xf>
    <xf numFmtId="0" fontId="55" fillId="19" borderId="12" xfId="2867" applyFont="1" applyFill="1" applyBorder="1" applyAlignment="1">
      <alignment horizontal="center" vertical="center" wrapText="1"/>
    </xf>
    <xf numFmtId="0" fontId="56" fillId="0" borderId="1" xfId="0" applyFont="1" applyBorder="1"/>
    <xf numFmtId="0" fontId="56" fillId="0" borderId="11" xfId="0" applyFont="1" applyBorder="1"/>
    <xf numFmtId="0" fontId="56"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3"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41" fontId="0" fillId="0" borderId="1" xfId="0" applyNumberFormat="1" applyBorder="1"/>
    <xf numFmtId="0" fontId="56" fillId="0" borderId="0" xfId="0" applyFont="1"/>
    <xf numFmtId="0" fontId="55" fillId="18" borderId="17" xfId="0" applyFont="1" applyFill="1" applyBorder="1" applyAlignment="1">
      <alignment horizontal="center" vertical="center"/>
    </xf>
    <xf numFmtId="0" fontId="55" fillId="19" borderId="3" xfId="2867" applyFont="1" applyFill="1" applyBorder="1" applyAlignment="1">
      <alignment horizontal="center" vertical="center" wrapText="1"/>
    </xf>
    <xf numFmtId="0" fontId="55" fillId="19" borderId="3" xfId="2867" applyFont="1" applyFill="1" applyBorder="1" applyAlignment="1">
      <alignment horizontal="center" vertical="top" wrapText="1"/>
    </xf>
    <xf numFmtId="0" fontId="55" fillId="19" borderId="10" xfId="2867" applyFont="1" applyFill="1" applyBorder="1" applyAlignment="1">
      <alignment horizontal="center" vertical="center" wrapText="1"/>
    </xf>
    <xf numFmtId="0" fontId="55" fillId="18" borderId="20" xfId="0" applyFont="1" applyFill="1" applyBorder="1" applyAlignment="1">
      <alignment horizontal="center" vertical="center"/>
    </xf>
    <xf numFmtId="0" fontId="55" fillId="19" borderId="2" xfId="2867" applyFont="1" applyFill="1" applyBorder="1" applyAlignment="1">
      <alignment horizontal="center" vertical="center" wrapText="1"/>
    </xf>
    <xf numFmtId="0" fontId="55" fillId="19"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56" fillId="0" borderId="1" xfId="0" applyFont="1" applyBorder="1" applyAlignment="1">
      <alignment horizontal="center"/>
    </xf>
    <xf numFmtId="0" fontId="56" fillId="0" borderId="4" xfId="0" applyFont="1" applyBorder="1" applyAlignment="1">
      <alignment horizontal="center"/>
    </xf>
    <xf numFmtId="0" fontId="0" fillId="0" borderId="0" xfId="0" applyAlignment="1">
      <alignment vertical="center"/>
    </xf>
    <xf numFmtId="0" fontId="56" fillId="0" borderId="18" xfId="0" applyFont="1" applyBorder="1" applyAlignment="1">
      <alignment vertical="center"/>
    </xf>
    <xf numFmtId="42" fontId="0" fillId="0" borderId="1" xfId="2866" applyFont="1" applyBorder="1"/>
    <xf numFmtId="42" fontId="0" fillId="0" borderId="1" xfId="0" applyNumberFormat="1" applyBorder="1"/>
    <xf numFmtId="42" fontId="19" fillId="0" borderId="1" xfId="2866" applyFont="1" applyBorder="1"/>
    <xf numFmtId="0" fontId="19" fillId="0" borderId="11" xfId="0" applyFont="1" applyBorder="1"/>
    <xf numFmtId="0" fontId="56" fillId="0" borderId="0" xfId="0" applyFont="1" applyAlignment="1">
      <alignment horizontal="center"/>
    </xf>
    <xf numFmtId="0" fontId="56" fillId="0" borderId="1" xfId="0" applyFont="1" applyBorder="1" applyAlignment="1">
      <alignment horizontal="center" wrapText="1"/>
    </xf>
    <xf numFmtId="0" fontId="53" fillId="17" borderId="3" xfId="0" applyFont="1" applyFill="1" applyBorder="1" applyAlignment="1">
      <alignment horizontal="center" vertical="center" wrapText="1"/>
    </xf>
    <xf numFmtId="0" fontId="53" fillId="17" borderId="2" xfId="0" applyFont="1" applyFill="1" applyBorder="1" applyAlignment="1">
      <alignment horizontal="center" vertical="center" wrapText="1"/>
    </xf>
    <xf numFmtId="0" fontId="56" fillId="0" borderId="17" xfId="0" applyFont="1" applyBorder="1"/>
    <xf numFmtId="0" fontId="56" fillId="0" borderId="3" xfId="0" applyFont="1" applyBorder="1"/>
    <xf numFmtId="0" fontId="56" fillId="0" borderId="3" xfId="0" applyFont="1" applyBorder="1" applyAlignment="1">
      <alignment horizontal="center"/>
    </xf>
    <xf numFmtId="0" fontId="56" fillId="0" borderId="10" xfId="0" applyFont="1" applyBorder="1"/>
    <xf numFmtId="0" fontId="0" fillId="0" borderId="1" xfId="0" applyBorder="1" applyAlignment="1">
      <alignment horizontal="center"/>
    </xf>
    <xf numFmtId="0" fontId="55" fillId="19" borderId="16" xfId="2867" applyFont="1" applyFill="1" applyBorder="1" applyAlignment="1">
      <alignment horizontal="center" vertical="center" wrapText="1"/>
    </xf>
    <xf numFmtId="0" fontId="55" fillId="19" borderId="17" xfId="2867" applyFont="1" applyFill="1" applyBorder="1" applyAlignment="1">
      <alignment horizontal="center" vertical="center" wrapText="1"/>
    </xf>
    <xf numFmtId="0" fontId="55" fillId="19" borderId="8" xfId="2867" applyFont="1" applyFill="1" applyBorder="1" applyAlignment="1">
      <alignment horizontal="center" vertical="center" wrapText="1"/>
    </xf>
    <xf numFmtId="4" fontId="43" fillId="15" borderId="0" xfId="0" applyNumberFormat="1" applyFont="1" applyFill="1" applyAlignment="1">
      <alignment horizontal="center" vertical="center"/>
    </xf>
    <xf numFmtId="0" fontId="43" fillId="15" borderId="0" xfId="0" applyFont="1" applyFill="1" applyAlignment="1">
      <alignment horizontal="center" vertical="center"/>
    </xf>
    <xf numFmtId="180" fontId="5" fillId="0" borderId="0" xfId="0" applyNumberFormat="1" applyFont="1" applyAlignment="1">
      <alignment horizontal="center"/>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19" fillId="0" borderId="1" xfId="2866" applyFont="1" applyFill="1" applyBorder="1" applyAlignment="1">
      <alignment vertical="center"/>
    </xf>
    <xf numFmtId="42" fontId="0" fillId="0" borderId="1" xfId="0" applyNumberFormat="1" applyBorder="1" applyAlignment="1">
      <alignment vertical="center"/>
    </xf>
    <xf numFmtId="42" fontId="0" fillId="0" borderId="1" xfId="2866" applyFont="1" applyFill="1" applyBorder="1" applyAlignment="1">
      <alignment vertical="center"/>
    </xf>
    <xf numFmtId="0" fontId="0" fillId="0" borderId="26" xfId="0" applyBorder="1" applyAlignment="1">
      <alignment horizontal="center" vertical="center" wrapText="1"/>
    </xf>
    <xf numFmtId="0" fontId="0" fillId="0" borderId="0" xfId="0" applyAlignment="1">
      <alignment horizontal="center" vertical="center" wrapText="1"/>
    </xf>
    <xf numFmtId="0" fontId="43" fillId="0" borderId="1" xfId="0" applyFont="1" applyBorder="1" applyAlignment="1">
      <alignment horizontal="center" vertic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56" fillId="20" borderId="63"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Border="1"/>
    <xf numFmtId="42" fontId="0" fillId="0" borderId="0" xfId="0" applyNumberFormat="1"/>
    <xf numFmtId="0" fontId="56" fillId="0" borderId="18" xfId="0" applyFont="1" applyBorder="1" applyAlignment="1">
      <alignment horizontal="left" vertical="center"/>
    </xf>
    <xf numFmtId="42" fontId="0" fillId="20" borderId="4" xfId="0" applyNumberFormat="1" applyFill="1" applyBorder="1"/>
    <xf numFmtId="0" fontId="56"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56" fillId="0" borderId="1" xfId="24" applyFont="1" applyFill="1" applyBorder="1"/>
    <xf numFmtId="0" fontId="56" fillId="20" borderId="4" xfId="0" applyFont="1" applyFill="1" applyBorder="1" applyAlignment="1">
      <alignment horizontal="center" wrapText="1"/>
    </xf>
    <xf numFmtId="0" fontId="56" fillId="20" borderId="4" xfId="0" applyFont="1" applyFill="1" applyBorder="1"/>
    <xf numFmtId="9" fontId="56" fillId="20" borderId="4" xfId="24" applyFont="1" applyFill="1" applyBorder="1"/>
    <xf numFmtId="2" fontId="56" fillId="0" borderId="1" xfId="0" applyNumberFormat="1" applyFont="1" applyBorder="1"/>
    <xf numFmtId="0" fontId="56" fillId="20" borderId="4" xfId="0" applyFont="1" applyFill="1" applyBorder="1" applyAlignment="1">
      <alignment horizontal="center"/>
    </xf>
    <xf numFmtId="9" fontId="56"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19" fillId="0" borderId="11" xfId="0" applyFont="1" applyBorder="1" applyAlignment="1">
      <alignment vertical="center"/>
    </xf>
    <xf numFmtId="0" fontId="56" fillId="0" borderId="40" xfId="0" applyFont="1" applyBorder="1"/>
    <xf numFmtId="42" fontId="0" fillId="0" borderId="1" xfId="2866" applyFont="1" applyBorder="1" applyAlignment="1"/>
    <xf numFmtId="42" fontId="19" fillId="0" borderId="5" xfId="2866" applyFont="1" applyBorder="1" applyAlignment="1"/>
    <xf numFmtId="0" fontId="19" fillId="0" borderId="21" xfId="0" applyFont="1" applyBorder="1"/>
    <xf numFmtId="180" fontId="0" fillId="0" borderId="1" xfId="0" applyNumberFormat="1" applyBorder="1"/>
    <xf numFmtId="180" fontId="0" fillId="0" borderId="3" xfId="0" applyNumberFormat="1" applyBorder="1"/>
    <xf numFmtId="180" fontId="0" fillId="0" borderId="4" xfId="0" applyNumberFormat="1" applyBorder="1"/>
    <xf numFmtId="41" fontId="0" fillId="0" borderId="16" xfId="0" applyNumberFormat="1" applyBorder="1"/>
    <xf numFmtId="41" fontId="0" fillId="0" borderId="65" xfId="2865" applyFont="1" applyFill="1" applyBorder="1"/>
    <xf numFmtId="41" fontId="0" fillId="0" borderId="8" xfId="0" applyNumberFormat="1" applyBorder="1"/>
    <xf numFmtId="41" fontId="0" fillId="0" borderId="67" xfId="2865" applyFont="1" applyFill="1" applyBorder="1"/>
    <xf numFmtId="41" fontId="0" fillId="0" borderId="68" xfId="0" applyNumberFormat="1" applyBorder="1"/>
    <xf numFmtId="41" fontId="0" fillId="0" borderId="69" xfId="2865" applyFont="1" applyFill="1" applyBorder="1"/>
    <xf numFmtId="0" fontId="0" fillId="0" borderId="37" xfId="0" applyBorder="1"/>
    <xf numFmtId="0" fontId="0" fillId="0" borderId="7" xfId="0" applyBorder="1"/>
    <xf numFmtId="0" fontId="0" fillId="0" borderId="46" xfId="0" applyBorder="1"/>
    <xf numFmtId="2" fontId="0" fillId="0" borderId="0" xfId="0" applyNumberFormat="1" applyAlignment="1">
      <alignment horizontal="center"/>
    </xf>
    <xf numFmtId="0" fontId="56" fillId="0" borderId="63"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56" fillId="20" borderId="18" xfId="0" applyFont="1" applyFill="1" applyBorder="1"/>
    <xf numFmtId="0" fontId="56"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3" xfId="0" applyFill="1" applyBorder="1"/>
    <xf numFmtId="0" fontId="0" fillId="20" borderId="0" xfId="0" applyFill="1" applyAlignment="1">
      <alignment horizontal="center" vertical="center"/>
    </xf>
    <xf numFmtId="42" fontId="0" fillId="0" borderId="4" xfId="0" applyNumberFormat="1" applyBorder="1"/>
    <xf numFmtId="0" fontId="56" fillId="0" borderId="12" xfId="0" applyFont="1" applyBorder="1"/>
    <xf numFmtId="0" fontId="55" fillId="19" borderId="52" xfId="2867" applyFont="1" applyFill="1" applyBorder="1" applyAlignment="1">
      <alignment horizontal="center" vertical="center" wrapText="1"/>
    </xf>
    <xf numFmtId="0" fontId="55" fillId="19" borderId="61" xfId="2867" applyFont="1" applyFill="1" applyBorder="1" applyAlignment="1">
      <alignment horizontal="center" vertical="center" wrapText="1"/>
    </xf>
    <xf numFmtId="0" fontId="0" fillId="0" borderId="12" xfId="0" applyBorder="1" applyAlignment="1">
      <alignment vertical="center"/>
    </xf>
    <xf numFmtId="0" fontId="56" fillId="0" borderId="0" xfId="0" applyFont="1" applyAlignment="1">
      <alignment horizontal="center" vertical="center"/>
    </xf>
    <xf numFmtId="9" fontId="56"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56" fillId="20" borderId="40" xfId="0" applyFont="1" applyFill="1" applyBorder="1"/>
    <xf numFmtId="42" fontId="19" fillId="20" borderId="5" xfId="2866" applyFont="1" applyFill="1" applyBorder="1" applyAlignment="1"/>
    <xf numFmtId="0" fontId="19" fillId="20" borderId="21" xfId="0" applyFont="1" applyFill="1" applyBorder="1"/>
    <xf numFmtId="42" fontId="0" fillId="20" borderId="1" xfId="2866" applyFont="1" applyFill="1" applyBorder="1" applyAlignment="1"/>
    <xf numFmtId="0" fontId="56" fillId="20" borderId="1" xfId="0" applyFont="1" applyFill="1" applyBorder="1" applyAlignment="1">
      <alignment horizontal="center" wrapText="1"/>
    </xf>
    <xf numFmtId="0" fontId="56" fillId="20" borderId="1" xfId="0" applyFont="1" applyFill="1" applyBorder="1"/>
    <xf numFmtId="0" fontId="56" fillId="20" borderId="11" xfId="0" applyFont="1" applyFill="1" applyBorder="1"/>
    <xf numFmtId="0" fontId="56" fillId="0" borderId="4" xfId="0" applyFont="1" applyBorder="1" applyAlignment="1">
      <alignment horizontal="center" wrapText="1"/>
    </xf>
    <xf numFmtId="0" fontId="56" fillId="20" borderId="1" xfId="0" applyFont="1" applyFill="1" applyBorder="1" applyAlignment="1">
      <alignment horizontal="center"/>
    </xf>
    <xf numFmtId="10" fontId="56" fillId="0" borderId="1" xfId="21" applyNumberFormat="1" applyFont="1" applyFill="1" applyBorder="1"/>
    <xf numFmtId="10" fontId="56" fillId="20" borderId="1" xfId="21" applyNumberFormat="1" applyFont="1" applyFill="1" applyBorder="1"/>
    <xf numFmtId="10" fontId="56" fillId="0" borderId="4" xfId="21" applyNumberFormat="1" applyFont="1" applyFill="1" applyBorder="1"/>
    <xf numFmtId="10" fontId="56" fillId="0" borderId="1" xfId="21" applyNumberFormat="1" applyFont="1" applyBorder="1"/>
    <xf numFmtId="10" fontId="56" fillId="0" borderId="4" xfId="21" applyNumberFormat="1" applyFont="1" applyBorder="1"/>
    <xf numFmtId="181" fontId="5" fillId="0" borderId="0" xfId="0" applyNumberFormat="1" applyFont="1" applyAlignment="1">
      <alignment horizontal="center"/>
    </xf>
    <xf numFmtId="43" fontId="5" fillId="0" borderId="0" xfId="0" applyNumberFormat="1" applyFont="1" applyAlignment="1">
      <alignment horizontal="center"/>
    </xf>
    <xf numFmtId="170" fontId="5" fillId="0" borderId="0" xfId="3" applyFont="1" applyFill="1" applyBorder="1" applyAlignment="1">
      <alignment horizontal="center"/>
    </xf>
    <xf numFmtId="0" fontId="10" fillId="21" borderId="23" xfId="0" applyFont="1" applyFill="1" applyBorder="1" applyAlignment="1">
      <alignment horizontal="center" vertical="center" wrapText="1"/>
    </xf>
    <xf numFmtId="0" fontId="10" fillId="17" borderId="61" xfId="0" applyFont="1" applyFill="1" applyBorder="1" applyAlignment="1">
      <alignment horizontal="center" vertical="center" wrapText="1"/>
    </xf>
    <xf numFmtId="0" fontId="10" fillId="21" borderId="66" xfId="0" applyFont="1" applyFill="1" applyBorder="1" applyAlignment="1">
      <alignment horizontal="center" vertical="center" wrapText="1"/>
    </xf>
    <xf numFmtId="0" fontId="5" fillId="17" borderId="71" xfId="0" applyFont="1" applyFill="1" applyBorder="1" applyAlignment="1">
      <alignment horizontal="center" vertical="center" wrapText="1"/>
    </xf>
    <xf numFmtId="0" fontId="10" fillId="21" borderId="51"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0" fillId="23" borderId="51" xfId="0" applyFont="1" applyFill="1" applyBorder="1" applyAlignment="1">
      <alignment horizontal="center" vertical="center" wrapText="1"/>
    </xf>
    <xf numFmtId="0" fontId="5" fillId="17" borderId="58" xfId="0" applyFont="1" applyFill="1" applyBorder="1" applyAlignment="1">
      <alignment horizontal="center" vertical="center" wrapText="1"/>
    </xf>
    <xf numFmtId="0" fontId="9" fillId="17" borderId="52"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66" xfId="0" applyFont="1" applyFill="1" applyBorder="1" applyAlignment="1">
      <alignment horizontal="center" vertical="center" wrapText="1"/>
    </xf>
    <xf numFmtId="0" fontId="5" fillId="0" borderId="0" xfId="0" applyFont="1" applyAlignment="1">
      <alignment horizontal="center" vertical="center"/>
    </xf>
    <xf numFmtId="0" fontId="4" fillId="3" borderId="0" xfId="16" applyFill="1" applyAlignment="1">
      <alignment vertical="center"/>
    </xf>
    <xf numFmtId="42" fontId="20" fillId="0" borderId="0" xfId="2866" applyFont="1" applyFill="1" applyAlignment="1">
      <alignment horizontal="center" vertical="center"/>
    </xf>
    <xf numFmtId="0" fontId="20" fillId="0" borderId="0" xfId="0" applyFont="1" applyAlignment="1">
      <alignment horizontal="center" vertical="center"/>
    </xf>
    <xf numFmtId="180" fontId="20" fillId="0" borderId="0" xfId="0" applyNumberFormat="1" applyFont="1" applyAlignment="1">
      <alignment horizontal="center" vertical="center"/>
    </xf>
    <xf numFmtId="1" fontId="20" fillId="25" borderId="0" xfId="0" applyNumberFormat="1" applyFont="1" applyFill="1" applyAlignment="1">
      <alignment horizontal="center" vertical="center"/>
    </xf>
    <xf numFmtId="181" fontId="70" fillId="0" borderId="0" xfId="0" applyNumberFormat="1" applyFont="1" applyAlignment="1">
      <alignment horizontal="center" vertical="center"/>
    </xf>
    <xf numFmtId="181" fontId="20" fillId="0" borderId="0" xfId="0" applyNumberFormat="1" applyFont="1" applyAlignment="1">
      <alignment vertical="center"/>
    </xf>
    <xf numFmtId="1" fontId="20" fillId="0" borderId="0" xfId="0" applyNumberFormat="1" applyFont="1" applyAlignment="1">
      <alignment vertical="center"/>
    </xf>
    <xf numFmtId="42" fontId="20" fillId="0" borderId="0" xfId="2866" applyFont="1" applyFill="1" applyAlignment="1">
      <alignment vertical="center"/>
    </xf>
    <xf numFmtId="2" fontId="20" fillId="0" borderId="0" xfId="0" applyNumberFormat="1" applyFont="1" applyAlignment="1">
      <alignment vertical="center"/>
    </xf>
    <xf numFmtId="0" fontId="20" fillId="0" borderId="0" xfId="0" applyFont="1" applyAlignment="1">
      <alignment vertical="center"/>
    </xf>
    <xf numFmtId="0" fontId="10" fillId="22" borderId="51" xfId="0" applyFont="1" applyFill="1" applyBorder="1" applyAlignment="1">
      <alignment horizontal="center" vertical="center" wrapText="1"/>
    </xf>
    <xf numFmtId="42" fontId="72" fillId="3" borderId="0" xfId="2866" applyFont="1" applyFill="1" applyAlignment="1">
      <alignment horizontal="center" vertical="center"/>
    </xf>
    <xf numFmtId="1" fontId="71" fillId="0" borderId="0" xfId="0" applyNumberFormat="1" applyFont="1" applyAlignment="1">
      <alignment horizontal="center" vertical="center"/>
    </xf>
    <xf numFmtId="42" fontId="71" fillId="0" borderId="0" xfId="2866" applyFont="1" applyFill="1" applyAlignment="1">
      <alignment horizontal="center" vertical="center"/>
    </xf>
    <xf numFmtId="4" fontId="70" fillId="25" borderId="0" xfId="0" applyNumberFormat="1" applyFont="1" applyFill="1" applyAlignment="1">
      <alignment vertical="center"/>
    </xf>
    <xf numFmtId="1" fontId="72" fillId="25" borderId="0" xfId="0" applyNumberFormat="1" applyFont="1" applyFill="1" applyAlignment="1">
      <alignment horizontal="center" vertical="center"/>
    </xf>
    <xf numFmtId="0" fontId="70" fillId="0" borderId="0" xfId="0" applyFont="1" applyAlignment="1">
      <alignment horizontal="center" vertical="center"/>
    </xf>
    <xf numFmtId="0" fontId="5" fillId="18" borderId="25" xfId="0" applyFont="1" applyFill="1" applyBorder="1" applyAlignment="1">
      <alignment horizontal="center" vertical="center" wrapText="1"/>
    </xf>
    <xf numFmtId="0" fontId="59" fillId="23" borderId="35" xfId="0" applyFont="1" applyFill="1" applyBorder="1" applyAlignment="1">
      <alignment horizontal="center" vertical="center" wrapText="1"/>
    </xf>
    <xf numFmtId="0" fontId="59" fillId="17" borderId="35" xfId="0" applyFont="1" applyFill="1" applyBorder="1" applyAlignment="1">
      <alignment horizontal="center" vertical="center" wrapText="1"/>
    </xf>
    <xf numFmtId="0" fontId="59" fillId="17" borderId="66" xfId="0" applyFont="1" applyFill="1" applyBorder="1" applyAlignment="1">
      <alignment horizontal="center" vertical="center" wrapText="1"/>
    </xf>
    <xf numFmtId="0" fontId="10" fillId="22" borderId="61" xfId="0" applyFont="1" applyFill="1" applyBorder="1" applyAlignment="1">
      <alignment horizontal="center" vertical="center" wrapText="1"/>
    </xf>
    <xf numFmtId="184" fontId="5" fillId="0" borderId="0" xfId="0" applyNumberFormat="1" applyFont="1" applyAlignment="1">
      <alignment horizontal="center"/>
    </xf>
    <xf numFmtId="10" fontId="4" fillId="17" borderId="2" xfId="16" applyNumberFormat="1" applyFill="1" applyBorder="1" applyAlignment="1">
      <alignment horizontal="center" vertical="center" wrapText="1"/>
    </xf>
    <xf numFmtId="181" fontId="7" fillId="0" borderId="1" xfId="2866" applyNumberFormat="1" applyFont="1" applyFill="1" applyBorder="1" applyAlignment="1">
      <alignment vertical="center"/>
    </xf>
    <xf numFmtId="181" fontId="7" fillId="0" borderId="1" xfId="10" applyNumberFormat="1" applyFont="1" applyFill="1" applyBorder="1" applyAlignment="1">
      <alignment vertical="center"/>
    </xf>
    <xf numFmtId="1" fontId="7" fillId="0" borderId="1" xfId="2866" applyNumberFormat="1" applyFont="1" applyFill="1" applyBorder="1" applyAlignment="1">
      <alignment vertical="center"/>
    </xf>
    <xf numFmtId="1" fontId="7" fillId="0" borderId="1" xfId="10" applyNumberFormat="1" applyFont="1" applyFill="1" applyBorder="1" applyAlignment="1">
      <alignment vertical="center"/>
    </xf>
    <xf numFmtId="180" fontId="7" fillId="0" borderId="1" xfId="10" applyNumberFormat="1" applyFont="1" applyFill="1" applyBorder="1" applyAlignment="1">
      <alignment horizontal="center" vertical="center"/>
    </xf>
    <xf numFmtId="180" fontId="74" fillId="0" borderId="1" xfId="10" applyNumberFormat="1" applyFont="1" applyFill="1" applyBorder="1" applyAlignment="1">
      <alignment horizontal="center" vertical="center" wrapText="1"/>
    </xf>
    <xf numFmtId="2" fontId="74" fillId="0" borderId="1" xfId="10" applyNumberFormat="1" applyFont="1" applyFill="1" applyBorder="1" applyAlignment="1">
      <alignment horizontal="center" vertical="center" wrapText="1"/>
    </xf>
    <xf numFmtId="2" fontId="7" fillId="0" borderId="1" xfId="10" applyNumberFormat="1" applyFont="1" applyFill="1" applyBorder="1" applyAlignment="1">
      <alignment horizontal="center" vertical="center"/>
    </xf>
    <xf numFmtId="42" fontId="5" fillId="0" borderId="1" xfId="2866" applyFont="1" applyFill="1" applyBorder="1" applyAlignment="1">
      <alignment horizontal="center" vertical="center"/>
    </xf>
    <xf numFmtId="42" fontId="5" fillId="0" borderId="1" xfId="2866" applyFont="1" applyFill="1" applyBorder="1" applyAlignment="1">
      <alignment horizontal="center" vertical="center" wrapText="1"/>
    </xf>
    <xf numFmtId="37" fontId="7" fillId="0" borderId="1" xfId="10" applyNumberFormat="1" applyFont="1" applyFill="1" applyBorder="1" applyAlignment="1">
      <alignment horizontal="center" vertical="center"/>
    </xf>
    <xf numFmtId="0" fontId="4" fillId="17" borderId="41" xfId="0" applyFont="1" applyFill="1" applyBorder="1" applyAlignment="1" applyProtection="1">
      <alignment horizontal="left" vertical="center" wrapText="1"/>
      <protection locked="0"/>
    </xf>
    <xf numFmtId="42" fontId="4" fillId="18" borderId="72" xfId="2866" applyFont="1" applyFill="1" applyBorder="1" applyAlignment="1" applyProtection="1">
      <alignment horizontal="left" vertical="center" wrapText="1"/>
      <protection locked="0"/>
    </xf>
    <xf numFmtId="42" fontId="4" fillId="22" borderId="8" xfId="2866" applyFont="1" applyFill="1" applyBorder="1" applyAlignment="1" applyProtection="1">
      <alignment horizontal="left" vertical="center" wrapText="1"/>
      <protection locked="0"/>
    </xf>
    <xf numFmtId="0" fontId="4" fillId="17" borderId="72" xfId="0" applyFont="1" applyFill="1" applyBorder="1" applyAlignment="1" applyProtection="1">
      <alignment horizontal="left" vertical="center" wrapText="1"/>
      <protection locked="0"/>
    </xf>
    <xf numFmtId="0" fontId="2" fillId="17" borderId="42" xfId="0" applyFont="1" applyFill="1" applyBorder="1" applyAlignment="1" applyProtection="1">
      <alignment horizontal="left" vertical="center" wrapText="1"/>
      <protection locked="0"/>
    </xf>
    <xf numFmtId="0" fontId="2" fillId="18" borderId="8" xfId="0" applyFont="1" applyFill="1" applyBorder="1" applyAlignment="1" applyProtection="1">
      <alignment horizontal="left" vertical="center" wrapText="1"/>
      <protection locked="0"/>
    </xf>
    <xf numFmtId="0" fontId="2" fillId="17" borderId="68" xfId="0" applyFont="1" applyFill="1" applyBorder="1" applyAlignment="1" applyProtection="1">
      <alignment horizontal="left" vertical="center" wrapText="1"/>
      <protection locked="0"/>
    </xf>
    <xf numFmtId="4" fontId="70" fillId="0" borderId="0" xfId="0" applyNumberFormat="1" applyFont="1" applyAlignment="1">
      <alignment vertical="center"/>
    </xf>
    <xf numFmtId="1" fontId="20" fillId="0" borderId="0" xfId="0" applyNumberFormat="1" applyFont="1" applyAlignment="1">
      <alignment horizontal="center" vertical="center"/>
    </xf>
    <xf numFmtId="1" fontId="72" fillId="0" borderId="0" xfId="0" applyNumberFormat="1" applyFont="1" applyAlignment="1">
      <alignment horizontal="center" vertical="center"/>
    </xf>
    <xf numFmtId="42" fontId="72" fillId="0" borderId="0" xfId="2866" applyFont="1" applyFill="1" applyAlignment="1">
      <alignment horizontal="center" vertical="center"/>
    </xf>
    <xf numFmtId="0" fontId="0" fillId="0" borderId="1" xfId="0" applyBorder="1" applyAlignment="1">
      <alignment vertical="center" wrapText="1"/>
    </xf>
    <xf numFmtId="0" fontId="0" fillId="0" borderId="11" xfId="0" applyBorder="1" applyAlignment="1">
      <alignment vertical="center" wrapText="1"/>
    </xf>
    <xf numFmtId="0" fontId="0" fillId="0" borderId="11" xfId="0" applyBorder="1" applyAlignment="1">
      <alignment wrapText="1"/>
    </xf>
    <xf numFmtId="0" fontId="56" fillId="0" borderId="63" xfId="0" applyFont="1" applyBorder="1" applyAlignment="1">
      <alignment vertical="center"/>
    </xf>
    <xf numFmtId="0" fontId="0" fillId="0" borderId="4" xfId="0" applyBorder="1" applyAlignment="1">
      <alignment vertical="center" wrapText="1"/>
    </xf>
    <xf numFmtId="0" fontId="0" fillId="0" borderId="4" xfId="0" applyBorder="1" applyAlignment="1">
      <alignment vertical="center"/>
    </xf>
    <xf numFmtId="0" fontId="0" fillId="0" borderId="12" xfId="0" applyBorder="1" applyAlignment="1">
      <alignment wrapText="1"/>
    </xf>
    <xf numFmtId="43" fontId="0" fillId="0" borderId="0" xfId="0" applyNumberFormat="1" applyAlignment="1">
      <alignment horizontal="center"/>
    </xf>
    <xf numFmtId="4" fontId="0" fillId="0" borderId="0" xfId="0" applyNumberFormat="1"/>
    <xf numFmtId="42" fontId="5" fillId="3" borderId="0" xfId="2866" applyFont="1" applyFill="1" applyAlignment="1">
      <alignment horizontal="center"/>
    </xf>
    <xf numFmtId="0" fontId="56" fillId="3" borderId="5" xfId="2866" applyNumberFormat="1" applyFont="1" applyFill="1" applyBorder="1" applyAlignment="1">
      <alignment vertical="center" wrapText="1"/>
    </xf>
    <xf numFmtId="4" fontId="5" fillId="0" borderId="0" xfId="0" applyNumberFormat="1" applyFont="1" applyAlignment="1">
      <alignment horizontal="center"/>
    </xf>
    <xf numFmtId="4" fontId="0" fillId="0" borderId="0" xfId="0" applyNumberFormat="1" applyAlignment="1">
      <alignment horizontal="center"/>
    </xf>
    <xf numFmtId="188" fontId="7" fillId="0" borderId="0" xfId="2866" applyNumberFormat="1" applyFont="1" applyFill="1"/>
    <xf numFmtId="42" fontId="5" fillId="0" borderId="0" xfId="0" applyNumberFormat="1" applyFont="1" applyAlignment="1">
      <alignment horizontal="center"/>
    </xf>
    <xf numFmtId="4" fontId="4" fillId="3" borderId="0" xfId="0" applyNumberFormat="1" applyFont="1" applyFill="1"/>
    <xf numFmtId="0" fontId="0" fillId="3" borderId="1" xfId="0" applyFill="1" applyBorder="1" applyAlignment="1">
      <alignment horizontal="center" vertical="center" wrapText="1"/>
    </xf>
    <xf numFmtId="0" fontId="4" fillId="18" borderId="72" xfId="0" applyFont="1" applyFill="1" applyBorder="1" applyAlignment="1" applyProtection="1">
      <alignment vertical="center" wrapText="1"/>
      <protection locked="0"/>
    </xf>
    <xf numFmtId="42" fontId="4" fillId="22" borderId="8" xfId="2866" applyFont="1" applyFill="1" applyBorder="1" applyAlignment="1" applyProtection="1">
      <alignment vertical="center" wrapText="1"/>
      <protection locked="0"/>
    </xf>
    <xf numFmtId="1" fontId="4" fillId="17" borderId="72" xfId="0" applyNumberFormat="1" applyFont="1" applyFill="1" applyBorder="1" applyAlignment="1" applyProtection="1">
      <alignment vertical="center" wrapText="1"/>
      <protection locked="0"/>
    </xf>
    <xf numFmtId="42" fontId="4" fillId="18" borderId="72" xfId="2866" applyFont="1" applyFill="1" applyBorder="1" applyAlignment="1" applyProtection="1">
      <alignment vertical="center" wrapText="1"/>
      <protection locked="0"/>
    </xf>
    <xf numFmtId="2" fontId="4" fillId="17" borderId="72" xfId="0" applyNumberFormat="1" applyFont="1" applyFill="1" applyBorder="1" applyAlignment="1" applyProtection="1">
      <alignment vertical="center" wrapText="1"/>
      <protection locked="0"/>
    </xf>
    <xf numFmtId="0" fontId="5" fillId="22" borderId="51" xfId="0" applyFont="1" applyFill="1" applyBorder="1" applyAlignment="1">
      <alignment horizontal="center" vertical="center" wrapText="1"/>
    </xf>
    <xf numFmtId="42" fontId="4" fillId="18" borderId="45" xfId="2866" applyFont="1" applyFill="1" applyBorder="1" applyAlignment="1" applyProtection="1">
      <alignment horizontal="left" vertical="center" wrapText="1"/>
      <protection locked="0"/>
    </xf>
    <xf numFmtId="189" fontId="7" fillId="0" borderId="0" xfId="2866" applyNumberFormat="1" applyFont="1" applyFill="1" applyBorder="1"/>
    <xf numFmtId="10" fontId="4" fillId="28" borderId="0" xfId="16" applyNumberFormat="1" applyFill="1" applyAlignment="1">
      <alignment vertical="center"/>
    </xf>
    <xf numFmtId="0" fontId="16" fillId="2" borderId="0" xfId="16" applyFont="1" applyFill="1" applyAlignment="1">
      <alignment vertical="center"/>
    </xf>
    <xf numFmtId="0" fontId="16" fillId="0" borderId="0" xfId="16" applyFont="1" applyAlignment="1">
      <alignment vertical="center"/>
    </xf>
    <xf numFmtId="0" fontId="73" fillId="3" borderId="0" xfId="0" applyFont="1" applyFill="1"/>
    <xf numFmtId="10" fontId="3" fillId="2" borderId="0" xfId="16" applyNumberFormat="1" applyFont="1" applyFill="1" applyAlignment="1">
      <alignment vertical="center"/>
    </xf>
    <xf numFmtId="10" fontId="3" fillId="0" borderId="0" xfId="16" applyNumberFormat="1" applyFont="1" applyAlignment="1">
      <alignment vertical="center"/>
    </xf>
    <xf numFmtId="43" fontId="0" fillId="3" borderId="0" xfId="0" applyNumberFormat="1" applyFill="1" applyAlignment="1">
      <alignment horizontal="center" vertical="center"/>
    </xf>
    <xf numFmtId="43" fontId="0" fillId="3" borderId="0" xfId="0" applyNumberFormat="1" applyFill="1" applyAlignment="1">
      <alignment horizontal="center"/>
    </xf>
    <xf numFmtId="4" fontId="0" fillId="3" borderId="0" xfId="0" applyNumberFormat="1" applyFill="1"/>
    <xf numFmtId="183" fontId="0" fillId="3" borderId="0" xfId="0" applyNumberFormat="1" applyFill="1" applyAlignment="1">
      <alignment horizontal="center"/>
    </xf>
    <xf numFmtId="2" fontId="0" fillId="3" borderId="0" xfId="0" applyNumberFormat="1" applyFill="1" applyAlignment="1">
      <alignment horizontal="center"/>
    </xf>
    <xf numFmtId="0" fontId="5" fillId="29" borderId="0" xfId="0" applyFont="1" applyFill="1" applyAlignment="1">
      <alignment horizontal="center"/>
    </xf>
    <xf numFmtId="181" fontId="17" fillId="29" borderId="0" xfId="0" applyNumberFormat="1" applyFont="1" applyFill="1" applyAlignment="1">
      <alignment horizontal="center" vertical="center"/>
    </xf>
    <xf numFmtId="8" fontId="5" fillId="29" borderId="0" xfId="0" applyNumberFormat="1" applyFont="1" applyFill="1" applyAlignment="1">
      <alignment horizontal="center"/>
    </xf>
    <xf numFmtId="181" fontId="5" fillId="29" borderId="0" xfId="0" applyNumberFormat="1" applyFont="1" applyFill="1" applyAlignment="1">
      <alignment horizontal="center"/>
    </xf>
    <xf numFmtId="0" fontId="56" fillId="3" borderId="5" xfId="0" applyFont="1" applyFill="1" applyBorder="1" applyAlignment="1">
      <alignment wrapText="1"/>
    </xf>
    <xf numFmtId="42" fontId="56" fillId="3" borderId="5" xfId="2866" applyFont="1" applyFill="1" applyBorder="1" applyAlignment="1">
      <alignment vertical="center"/>
    </xf>
    <xf numFmtId="0" fontId="56" fillId="3" borderId="18" xfId="0" applyFont="1" applyFill="1" applyBorder="1" applyAlignment="1">
      <alignment vertical="center"/>
    </xf>
    <xf numFmtId="4" fontId="0" fillId="3" borderId="0" xfId="0" applyNumberFormat="1" applyFill="1" applyAlignment="1">
      <alignment horizontal="center"/>
    </xf>
    <xf numFmtId="0" fontId="0" fillId="0" borderId="0" xfId="0" applyAlignment="1">
      <alignment vertical="center" wrapText="1"/>
    </xf>
    <xf numFmtId="0" fontId="35" fillId="0" borderId="0" xfId="0" applyFont="1"/>
    <xf numFmtId="0" fontId="35" fillId="0" borderId="11" xfId="0" applyFont="1" applyBorder="1"/>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 xfId="0" applyFont="1" applyBorder="1"/>
    <xf numFmtId="0" fontId="35" fillId="0" borderId="4" xfId="0" applyFont="1" applyBorder="1"/>
    <xf numFmtId="42" fontId="35" fillId="0" borderId="0" xfId="0" applyNumberFormat="1" applyFont="1"/>
    <xf numFmtId="0" fontId="35" fillId="3" borderId="0" xfId="0" applyFont="1" applyFill="1"/>
    <xf numFmtId="0" fontId="35" fillId="3" borderId="0" xfId="0" applyFont="1" applyFill="1" applyAlignment="1">
      <alignment horizontal="center" vertical="center"/>
    </xf>
    <xf numFmtId="42" fontId="35" fillId="3" borderId="0" xfId="0" applyNumberFormat="1" applyFont="1" applyFill="1"/>
    <xf numFmtId="0" fontId="35" fillId="0" borderId="12" xfId="0" applyFont="1" applyBorder="1"/>
    <xf numFmtId="3" fontId="0" fillId="0" borderId="0" xfId="0" applyNumberFormat="1" applyAlignment="1">
      <alignment horizontal="center"/>
    </xf>
    <xf numFmtId="4" fontId="33" fillId="0" borderId="0" xfId="0" applyNumberFormat="1" applyFont="1"/>
    <xf numFmtId="3" fontId="0" fillId="3" borderId="0" xfId="0" applyNumberFormat="1" applyFill="1" applyAlignment="1">
      <alignment horizontal="center"/>
    </xf>
    <xf numFmtId="0" fontId="70" fillId="0" borderId="0" xfId="0" applyFont="1"/>
    <xf numFmtId="0" fontId="9" fillId="0" borderId="26" xfId="0" applyFont="1" applyBorder="1" applyAlignment="1">
      <alignment horizontal="left" vertical="center" wrapText="1"/>
    </xf>
    <xf numFmtId="0" fontId="9" fillId="0" borderId="0" xfId="0" applyFont="1" applyAlignment="1">
      <alignment horizontal="left" vertical="center" wrapText="1"/>
    </xf>
    <xf numFmtId="0" fontId="9" fillId="0" borderId="29" xfId="0" applyFont="1" applyBorder="1" applyAlignment="1">
      <alignment horizontal="center" vertical="center" wrapText="1"/>
    </xf>
    <xf numFmtId="183" fontId="9" fillId="0" borderId="0" xfId="0" applyNumberFormat="1" applyFont="1" applyAlignment="1">
      <alignment horizontal="left" vertical="center" wrapText="1"/>
    </xf>
    <xf numFmtId="4" fontId="7" fillId="0" borderId="0" xfId="0" applyNumberFormat="1" applyFont="1"/>
    <xf numFmtId="2" fontId="33" fillId="27" borderId="0" xfId="0" applyNumberFormat="1" applyFont="1" applyFill="1"/>
    <xf numFmtId="4" fontId="33" fillId="15" borderId="0" xfId="0" applyNumberFormat="1" applyFont="1" applyFill="1" applyAlignment="1">
      <alignment horizontal="center" wrapText="1"/>
    </xf>
    <xf numFmtId="3" fontId="7" fillId="0" borderId="0" xfId="0" applyNumberFormat="1" applyFont="1"/>
    <xf numFmtId="3" fontId="33" fillId="27" borderId="0" xfId="0" applyNumberFormat="1" applyFont="1" applyFill="1"/>
    <xf numFmtId="4" fontId="33" fillId="0" borderId="0" xfId="0" applyNumberFormat="1" applyFont="1" applyAlignment="1">
      <alignment horizontal="center" wrapText="1"/>
    </xf>
    <xf numFmtId="0" fontId="33" fillId="27" borderId="0" xfId="0" applyFont="1" applyFill="1"/>
    <xf numFmtId="0" fontId="7" fillId="0" borderId="0" xfId="0" applyFont="1" applyAlignment="1">
      <alignment horizontal="center" vertical="center" wrapText="1"/>
    </xf>
    <xf numFmtId="0" fontId="7" fillId="0" borderId="0" xfId="0" applyFont="1" applyAlignment="1">
      <alignment horizontal="center" vertical="center"/>
    </xf>
    <xf numFmtId="0" fontId="62" fillId="0" borderId="0" xfId="0" applyFont="1" applyAlignment="1">
      <alignment horizontal="center" vertical="top" wrapText="1"/>
    </xf>
    <xf numFmtId="0" fontId="7" fillId="0" borderId="0" xfId="0" applyFont="1" applyAlignment="1">
      <alignment vertical="center"/>
    </xf>
    <xf numFmtId="0" fontId="7" fillId="0" borderId="0" xfId="0" applyFont="1" applyAlignment="1">
      <alignment horizontal="left" vertical="top" wrapText="1"/>
    </xf>
    <xf numFmtId="0" fontId="46" fillId="0" borderId="0" xfId="0" applyFont="1" applyAlignment="1">
      <alignment horizontal="center" vertical="center"/>
    </xf>
    <xf numFmtId="176" fontId="7" fillId="0" borderId="0" xfId="2868" applyNumberFormat="1" applyFont="1" applyFill="1" applyBorder="1" applyAlignment="1">
      <alignment horizontal="center" vertical="center"/>
    </xf>
    <xf numFmtId="2" fontId="7" fillId="0" borderId="0" xfId="0" applyNumberFormat="1" applyFont="1" applyAlignment="1">
      <alignment horizontal="center" vertical="center"/>
    </xf>
    <xf numFmtId="0" fontId="7" fillId="3" borderId="0" xfId="0" applyFont="1" applyFill="1" applyAlignment="1">
      <alignment horizontal="center" vertical="center"/>
    </xf>
    <xf numFmtId="43" fontId="60" fillId="3" borderId="0" xfId="24" applyNumberFormat="1" applyFont="1" applyFill="1" applyBorder="1" applyAlignment="1">
      <alignment horizontal="center" vertical="center"/>
    </xf>
    <xf numFmtId="9" fontId="63" fillId="3" borderId="0" xfId="24" applyFont="1" applyFill="1" applyBorder="1" applyAlignment="1">
      <alignment horizontal="center" vertical="center"/>
    </xf>
    <xf numFmtId="9" fontId="60" fillId="3" borderId="0" xfId="24" applyFont="1" applyFill="1" applyBorder="1" applyAlignment="1">
      <alignment horizontal="center" vertical="center"/>
    </xf>
    <xf numFmtId="0" fontId="26" fillId="0" borderId="0" xfId="0" applyFont="1" applyAlignment="1">
      <alignment horizontal="center" vertical="center" wrapText="1"/>
    </xf>
    <xf numFmtId="0" fontId="47" fillId="0" borderId="0" xfId="0" applyFont="1" applyAlignment="1">
      <alignment horizontal="left" vertical="top" wrapText="1"/>
    </xf>
    <xf numFmtId="0" fontId="47" fillId="0" borderId="0" xfId="0" applyFont="1" applyAlignment="1">
      <alignment horizontal="center" vertical="center" wrapText="1"/>
    </xf>
    <xf numFmtId="0" fontId="33" fillId="15" borderId="0" xfId="0" applyFont="1" applyFill="1" applyAlignment="1">
      <alignment horizontal="center" wrapText="1"/>
    </xf>
    <xf numFmtId="41" fontId="0" fillId="0" borderId="0" xfId="0" applyNumberFormat="1" applyAlignment="1">
      <alignment horizontal="center"/>
    </xf>
    <xf numFmtId="43" fontId="58" fillId="0" borderId="0" xfId="0" applyNumberFormat="1" applyFont="1"/>
    <xf numFmtId="0" fontId="22" fillId="0" borderId="0" xfId="0" applyFont="1" applyAlignment="1">
      <alignment horizontal="center"/>
    </xf>
    <xf numFmtId="3" fontId="22" fillId="0" borderId="0" xfId="0" applyNumberFormat="1" applyFont="1" applyAlignment="1">
      <alignment horizontal="center"/>
    </xf>
    <xf numFmtId="0" fontId="4" fillId="18" borderId="74" xfId="0" applyFont="1" applyFill="1" applyBorder="1" applyAlignment="1" applyProtection="1">
      <alignment vertical="center" wrapText="1"/>
      <protection locked="0"/>
    </xf>
    <xf numFmtId="0" fontId="5" fillId="18" borderId="9" xfId="0" applyFont="1" applyFill="1" applyBorder="1" applyAlignment="1">
      <alignment horizontal="center" vertical="center" wrapText="1"/>
    </xf>
    <xf numFmtId="0" fontId="5" fillId="23" borderId="22" xfId="0" applyFont="1" applyFill="1" applyBorder="1" applyAlignment="1">
      <alignment horizontal="center" vertical="center" wrapText="1"/>
    </xf>
    <xf numFmtId="0" fontId="5" fillId="17" borderId="22" xfId="0" applyFont="1" applyFill="1" applyBorder="1" applyAlignment="1">
      <alignment horizontal="center" vertical="center" wrapText="1"/>
    </xf>
    <xf numFmtId="0" fontId="5" fillId="17" borderId="60" xfId="0" applyFont="1" applyFill="1" applyBorder="1" applyAlignment="1">
      <alignment horizontal="center" vertical="center" wrapText="1"/>
    </xf>
    <xf numFmtId="0" fontId="10" fillId="23" borderId="59" xfId="0" applyFont="1" applyFill="1" applyBorder="1" applyAlignment="1">
      <alignment horizontal="center" vertical="center" wrapText="1"/>
    </xf>
    <xf numFmtId="0" fontId="10" fillId="17" borderId="59" xfId="0" applyFont="1" applyFill="1" applyBorder="1" applyAlignment="1">
      <alignment horizontal="center" vertical="center" wrapText="1"/>
    </xf>
    <xf numFmtId="4" fontId="57" fillId="0" borderId="0" xfId="0" applyNumberFormat="1" applyFont="1" applyAlignment="1">
      <alignment vertical="top" wrapText="1"/>
    </xf>
    <xf numFmtId="190" fontId="0" fillId="0" borderId="0" xfId="0" applyNumberFormat="1" applyAlignment="1">
      <alignment horizontal="center"/>
    </xf>
    <xf numFmtId="0" fontId="56" fillId="3" borderId="5" xfId="0" applyFont="1" applyFill="1" applyBorder="1" applyAlignment="1">
      <alignment vertical="top" wrapText="1"/>
    </xf>
    <xf numFmtId="0" fontId="56" fillId="3" borderId="5" xfId="0" applyFont="1" applyFill="1" applyBorder="1" applyAlignment="1">
      <alignment vertical="center" wrapText="1"/>
    </xf>
    <xf numFmtId="169" fontId="5" fillId="0" borderId="0" xfId="9" applyFont="1" applyAlignment="1">
      <alignment horizontal="center"/>
    </xf>
    <xf numFmtId="173" fontId="3" fillId="17" borderId="1" xfId="0" applyNumberFormat="1" applyFont="1" applyFill="1" applyBorder="1" applyAlignment="1">
      <alignment vertical="center"/>
    </xf>
    <xf numFmtId="0" fontId="5" fillId="2" borderId="0" xfId="16" applyFont="1" applyFill="1" applyAlignment="1">
      <alignment vertical="center"/>
    </xf>
    <xf numFmtId="4" fontId="5" fillId="2" borderId="0" xfId="16" applyNumberFormat="1" applyFont="1" applyFill="1" applyAlignment="1">
      <alignment vertical="center"/>
    </xf>
    <xf numFmtId="0" fontId="64" fillId="0" borderId="0" xfId="16" applyFont="1" applyAlignment="1">
      <alignment vertical="center"/>
    </xf>
    <xf numFmtId="0" fontId="3" fillId="3" borderId="1" xfId="0" applyFont="1" applyFill="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3" fillId="0" borderId="0" xfId="0" applyFont="1" applyAlignment="1">
      <alignment horizontal="left" vertical="center"/>
    </xf>
    <xf numFmtId="0" fontId="75" fillId="0" borderId="0" xfId="0" applyFont="1" applyAlignment="1">
      <alignment horizontal="center"/>
    </xf>
    <xf numFmtId="0" fontId="33" fillId="3" borderId="40" xfId="0" applyFont="1" applyFill="1" applyBorder="1" applyAlignment="1">
      <alignment horizontal="center" vertical="center"/>
    </xf>
    <xf numFmtId="0" fontId="33" fillId="30" borderId="5" xfId="2867" applyFont="1" applyFill="1" applyBorder="1" applyAlignment="1">
      <alignment horizontal="center" vertical="center" wrapText="1"/>
    </xf>
    <xf numFmtId="42" fontId="26" fillId="3" borderId="1" xfId="2866" applyFont="1" applyFill="1" applyBorder="1" applyAlignment="1">
      <alignment horizontal="right" vertical="center"/>
    </xf>
    <xf numFmtId="42" fontId="33" fillId="30" borderId="5" xfId="2866" applyFont="1" applyFill="1" applyBorder="1" applyAlignment="1">
      <alignment horizontal="center" vertical="center" wrapText="1"/>
    </xf>
    <xf numFmtId="192" fontId="33" fillId="30" borderId="5" xfId="10" applyNumberFormat="1" applyFont="1" applyFill="1" applyBorder="1" applyAlignment="1">
      <alignment horizontal="center" vertical="center" wrapText="1"/>
    </xf>
    <xf numFmtId="9" fontId="4" fillId="30" borderId="21" xfId="2860" applyFont="1" applyFill="1" applyBorder="1" applyAlignment="1">
      <alignment horizontal="center" vertical="center" wrapText="1"/>
    </xf>
    <xf numFmtId="0" fontId="55" fillId="3" borderId="40" xfId="0" applyFont="1" applyFill="1" applyBorder="1" applyAlignment="1">
      <alignment horizontal="center" vertical="center"/>
    </xf>
    <xf numFmtId="0" fontId="55" fillId="30" borderId="5" xfId="2867" applyFont="1" applyFill="1" applyBorder="1" applyAlignment="1">
      <alignment horizontal="center" vertical="center" wrapText="1"/>
    </xf>
    <xf numFmtId="0" fontId="78" fillId="30" borderId="21" xfId="2867" applyFont="1" applyFill="1" applyBorder="1" applyAlignment="1">
      <alignment horizontal="center" vertical="center" wrapText="1"/>
    </xf>
    <xf numFmtId="0" fontId="3" fillId="3" borderId="18" xfId="0" applyFont="1" applyFill="1" applyBorder="1" applyAlignment="1">
      <alignment horizontal="left" vertical="center"/>
    </xf>
    <xf numFmtId="0" fontId="26" fillId="3" borderId="1" xfId="0" applyFont="1" applyFill="1" applyBorder="1" applyAlignment="1">
      <alignment horizontal="center" vertical="center" wrapText="1"/>
    </xf>
    <xf numFmtId="3" fontId="26" fillId="3" borderId="1" xfId="0" applyNumberFormat="1" applyFont="1" applyFill="1" applyBorder="1" applyAlignment="1">
      <alignment horizontal="center" vertical="center"/>
    </xf>
    <xf numFmtId="192" fontId="26" fillId="3" borderId="1" xfId="10" applyNumberFormat="1" applyFont="1" applyFill="1" applyBorder="1" applyAlignment="1">
      <alignment horizontal="center" vertical="center"/>
    </xf>
    <xf numFmtId="187" fontId="26" fillId="3" borderId="11" xfId="0" applyNumberFormat="1" applyFont="1" applyFill="1" applyBorder="1" applyAlignment="1">
      <alignment horizontal="center" vertical="center"/>
    </xf>
    <xf numFmtId="6" fontId="26" fillId="3" borderId="1" xfId="2866" applyNumberFormat="1" applyFont="1" applyFill="1" applyBorder="1" applyAlignment="1">
      <alignment horizontal="right" vertical="center"/>
    </xf>
    <xf numFmtId="0" fontId="26" fillId="3" borderId="11" xfId="0" applyFont="1" applyFill="1" applyBorder="1" applyAlignment="1">
      <alignment horizontal="center" vertical="center"/>
    </xf>
    <xf numFmtId="10" fontId="26" fillId="3" borderId="11" xfId="23" applyNumberFormat="1" applyFont="1" applyFill="1" applyBorder="1" applyAlignment="1">
      <alignment horizontal="center" vertical="center"/>
    </xf>
    <xf numFmtId="9" fontId="26" fillId="3" borderId="11" xfId="2860" applyFont="1" applyFill="1" applyBorder="1" applyAlignment="1">
      <alignment horizontal="center" vertical="center"/>
    </xf>
    <xf numFmtId="0" fontId="3" fillId="3" borderId="63" xfId="0" applyFont="1" applyFill="1" applyBorder="1" applyAlignment="1">
      <alignment horizontal="left" vertical="center"/>
    </xf>
    <xf numFmtId="0" fontId="0" fillId="3" borderId="18" xfId="0" applyFill="1" applyBorder="1" applyAlignment="1">
      <alignment horizontal="center" vertical="center"/>
    </xf>
    <xf numFmtId="3" fontId="0" fillId="3" borderId="1" xfId="0" applyNumberFormat="1" applyFill="1" applyBorder="1" applyAlignment="1">
      <alignment horizontal="center" vertical="center"/>
    </xf>
    <xf numFmtId="42" fontId="19" fillId="3" borderId="1" xfId="2866" applyFont="1" applyFill="1" applyBorder="1" applyAlignment="1">
      <alignment horizontal="center" vertical="center"/>
    </xf>
    <xf numFmtId="6" fontId="19" fillId="3" borderId="1" xfId="2866" applyNumberFormat="1" applyFont="1" applyFill="1" applyBorder="1" applyAlignment="1">
      <alignment horizontal="center" vertical="center"/>
    </xf>
    <xf numFmtId="192" fontId="19" fillId="3" borderId="1" xfId="10" applyNumberFormat="1" applyFont="1" applyFill="1" applyBorder="1" applyAlignment="1">
      <alignment horizontal="center" vertical="center"/>
    </xf>
    <xf numFmtId="173" fontId="26" fillId="3" borderId="11" xfId="23" applyNumberFormat="1" applyFont="1" applyFill="1" applyBorder="1" applyAlignment="1">
      <alignment horizontal="center" vertical="center"/>
    </xf>
    <xf numFmtId="0" fontId="0" fillId="3" borderId="18" xfId="0" applyFill="1" applyBorder="1" applyAlignment="1">
      <alignment vertical="center"/>
    </xf>
    <xf numFmtId="0" fontId="0" fillId="3" borderId="1" xfId="0" applyFill="1" applyBorder="1" applyAlignment="1">
      <alignment vertical="center"/>
    </xf>
    <xf numFmtId="0" fontId="0" fillId="3" borderId="63" xfId="0" applyFill="1" applyBorder="1" applyAlignment="1">
      <alignment vertical="center"/>
    </xf>
    <xf numFmtId="0" fontId="0" fillId="3" borderId="4" xfId="0" applyFill="1" applyBorder="1" applyAlignment="1">
      <alignment vertical="center"/>
    </xf>
    <xf numFmtId="0" fontId="0" fillId="3" borderId="1" xfId="0" applyFill="1" applyBorder="1"/>
    <xf numFmtId="9" fontId="0" fillId="0" borderId="1" xfId="24" applyFont="1" applyBorder="1" applyAlignment="1">
      <alignment horizontal="center" vertical="center"/>
    </xf>
    <xf numFmtId="0" fontId="0" fillId="3" borderId="1" xfId="0" applyFill="1" applyBorder="1" applyAlignment="1">
      <alignment vertical="center" wrapText="1"/>
    </xf>
    <xf numFmtId="0" fontId="0" fillId="3" borderId="1" xfId="0" applyFill="1" applyBorder="1" applyAlignment="1">
      <alignment horizontal="center" vertical="center"/>
    </xf>
    <xf numFmtId="0" fontId="35" fillId="3" borderId="1" xfId="0" applyFont="1" applyFill="1" applyBorder="1" applyAlignment="1">
      <alignment horizontal="center" vertical="center"/>
    </xf>
    <xf numFmtId="0" fontId="0" fillId="3" borderId="11" xfId="0" applyFill="1" applyBorder="1" applyAlignment="1">
      <alignment vertical="center" wrapText="1"/>
    </xf>
    <xf numFmtId="0" fontId="35" fillId="3" borderId="1" xfId="0" applyFont="1" applyFill="1" applyBorder="1" applyAlignment="1">
      <alignment horizontal="center" vertical="center" wrapText="1"/>
    </xf>
    <xf numFmtId="0" fontId="0" fillId="3" borderId="11" xfId="0" applyFill="1" applyBorder="1" applyAlignment="1">
      <alignment wrapText="1"/>
    </xf>
    <xf numFmtId="0" fontId="26" fillId="3" borderId="1" xfId="0" applyFont="1" applyFill="1" applyBorder="1" applyAlignment="1">
      <alignment horizontal="center" vertical="center"/>
    </xf>
    <xf numFmtId="9" fontId="26" fillId="3" borderId="1" xfId="24" applyFont="1" applyFill="1" applyBorder="1" applyAlignment="1">
      <alignment horizontal="center" vertical="center"/>
    </xf>
    <xf numFmtId="0" fontId="26" fillId="3" borderId="11" xfId="0" applyFont="1" applyFill="1" applyBorder="1" applyAlignment="1">
      <alignment horizontal="center" vertical="center" wrapText="1"/>
    </xf>
    <xf numFmtId="0" fontId="0" fillId="3" borderId="11" xfId="0" applyFill="1" applyBorder="1" applyAlignment="1">
      <alignment horizontal="center" vertical="center" wrapText="1"/>
    </xf>
    <xf numFmtId="9" fontId="26" fillId="3" borderId="1" xfId="24" applyFont="1" applyFill="1" applyBorder="1" applyAlignment="1">
      <alignment horizontal="center" vertical="center" wrapText="1"/>
    </xf>
    <xf numFmtId="0" fontId="26" fillId="3" borderId="1" xfId="0" applyFont="1" applyFill="1" applyBorder="1" applyAlignment="1">
      <alignment vertical="center" wrapText="1"/>
    </xf>
    <xf numFmtId="0" fontId="26" fillId="3" borderId="1" xfId="0" applyFont="1" applyFill="1" applyBorder="1"/>
    <xf numFmtId="0" fontId="0" fillId="3" borderId="18" xfId="0" applyFill="1" applyBorder="1" applyAlignment="1">
      <alignment horizontal="center" vertical="center" wrapText="1"/>
    </xf>
    <xf numFmtId="9" fontId="0" fillId="3" borderId="1" xfId="24" applyFont="1" applyFill="1" applyBorder="1" applyAlignment="1">
      <alignment horizontal="center" vertical="center" wrapText="1"/>
    </xf>
    <xf numFmtId="0" fontId="0" fillId="3" borderId="63" xfId="0" applyFill="1" applyBorder="1" applyAlignment="1">
      <alignment horizontal="center" vertical="center"/>
    </xf>
    <xf numFmtId="0" fontId="56" fillId="3" borderId="26" xfId="0" applyFont="1" applyFill="1" applyBorder="1" applyAlignment="1">
      <alignment horizontal="center" vertical="center"/>
    </xf>
    <xf numFmtId="0" fontId="56" fillId="3" borderId="0" xfId="0" applyFont="1" applyFill="1" applyAlignment="1">
      <alignment horizontal="center" vertical="center" wrapText="1"/>
    </xf>
    <xf numFmtId="0" fontId="56" fillId="3" borderId="0" xfId="0" applyFont="1" applyFill="1" applyAlignment="1">
      <alignment horizontal="center" vertical="top" wrapText="1"/>
    </xf>
    <xf numFmtId="0" fontId="56" fillId="3" borderId="43" xfId="0" applyFont="1" applyFill="1" applyBorder="1" applyAlignment="1">
      <alignment wrapText="1"/>
    </xf>
    <xf numFmtId="42" fontId="56" fillId="3" borderId="43" xfId="2866" applyFont="1" applyFill="1" applyBorder="1" applyAlignment="1">
      <alignment vertical="center"/>
    </xf>
    <xf numFmtId="0" fontId="56" fillId="3" borderId="43" xfId="2866" applyNumberFormat="1" applyFont="1" applyFill="1" applyBorder="1" applyAlignment="1">
      <alignment vertical="center" wrapText="1"/>
    </xf>
    <xf numFmtId="0" fontId="3" fillId="3" borderId="18" xfId="0" applyFont="1" applyFill="1" applyBorder="1" applyAlignment="1">
      <alignment vertical="center"/>
    </xf>
    <xf numFmtId="0" fontId="3" fillId="3" borderId="1" xfId="0" applyFont="1" applyFill="1" applyBorder="1" applyAlignment="1">
      <alignment vertical="center" wrapText="1"/>
    </xf>
    <xf numFmtId="3" fontId="3" fillId="3" borderId="1" xfId="0" applyNumberFormat="1" applyFont="1" applyFill="1" applyBorder="1" applyAlignment="1">
      <alignment horizontal="center" vertical="center"/>
    </xf>
    <xf numFmtId="9" fontId="0" fillId="3" borderId="1" xfId="24" applyFont="1" applyFill="1" applyBorder="1" applyAlignment="1">
      <alignment horizontal="center" vertical="center"/>
    </xf>
    <xf numFmtId="0" fontId="3" fillId="3" borderId="11" xfId="0" applyFont="1" applyFill="1" applyBorder="1" applyAlignment="1">
      <alignment wrapText="1"/>
    </xf>
    <xf numFmtId="0" fontId="26" fillId="3" borderId="11" xfId="0" applyFont="1" applyFill="1" applyBorder="1" applyAlignment="1">
      <alignment vertical="center" wrapText="1"/>
    </xf>
    <xf numFmtId="0" fontId="3" fillId="3" borderId="63" xfId="0" applyFont="1" applyFill="1" applyBorder="1" applyAlignment="1">
      <alignment vertical="center"/>
    </xf>
    <xf numFmtId="0" fontId="3" fillId="3" borderId="4" xfId="0" applyFont="1" applyFill="1" applyBorder="1" applyAlignment="1">
      <alignment vertical="center" wrapText="1"/>
    </xf>
    <xf numFmtId="0" fontId="0" fillId="3" borderId="4" xfId="0" applyFill="1" applyBorder="1" applyAlignment="1">
      <alignment horizontal="center" vertical="center"/>
    </xf>
    <xf numFmtId="0" fontId="3" fillId="3" borderId="4" xfId="0" applyFont="1" applyFill="1" applyBorder="1" applyAlignment="1">
      <alignment horizontal="center" vertical="center"/>
    </xf>
    <xf numFmtId="3" fontId="3" fillId="3" borderId="4" xfId="0" applyNumberFormat="1" applyFont="1" applyFill="1" applyBorder="1" applyAlignment="1">
      <alignment horizontal="center" vertical="center"/>
    </xf>
    <xf numFmtId="9" fontId="0" fillId="3" borderId="4" xfId="24" applyFont="1" applyFill="1" applyBorder="1" applyAlignment="1">
      <alignment horizontal="center" vertical="center"/>
    </xf>
    <xf numFmtId="0" fontId="3" fillId="3" borderId="12" xfId="0" applyFont="1" applyFill="1" applyBorder="1" applyAlignment="1">
      <alignment wrapText="1"/>
    </xf>
    <xf numFmtId="4" fontId="0" fillId="3" borderId="1" xfId="0" applyNumberFormat="1" applyFill="1" applyBorder="1" applyAlignment="1">
      <alignment horizontal="center" vertical="center"/>
    </xf>
    <xf numFmtId="0" fontId="35" fillId="3" borderId="11" xfId="0" applyFont="1" applyFill="1" applyBorder="1" applyAlignment="1">
      <alignment horizontal="center" vertical="center"/>
    </xf>
    <xf numFmtId="0" fontId="35" fillId="3" borderId="11" xfId="0" applyFont="1" applyFill="1" applyBorder="1" applyAlignment="1">
      <alignment horizontal="center" vertical="center" wrapText="1"/>
    </xf>
    <xf numFmtId="9" fontId="19" fillId="3" borderId="1" xfId="24" applyFont="1" applyFill="1" applyBorder="1" applyAlignment="1">
      <alignment horizontal="center" vertical="center"/>
    </xf>
    <xf numFmtId="9" fontId="26" fillId="3" borderId="1" xfId="23" applyFont="1" applyFill="1" applyBorder="1" applyAlignment="1">
      <alignment horizontal="center" vertical="center" wrapText="1"/>
    </xf>
    <xf numFmtId="9" fontId="19" fillId="3" borderId="4" xfId="24" applyFont="1" applyFill="1" applyBorder="1" applyAlignment="1">
      <alignment horizontal="center" vertical="center"/>
    </xf>
    <xf numFmtId="0" fontId="5" fillId="17" borderId="13" xfId="0" applyFont="1" applyFill="1" applyBorder="1" applyAlignment="1">
      <alignment vertical="center" wrapText="1"/>
    </xf>
    <xf numFmtId="0" fontId="5" fillId="17" borderId="35" xfId="0" applyFont="1" applyFill="1" applyBorder="1" applyAlignment="1">
      <alignment vertical="center" wrapText="1"/>
    </xf>
    <xf numFmtId="0" fontId="5" fillId="18" borderId="61" xfId="0" applyFont="1" applyFill="1" applyBorder="1" applyAlignment="1">
      <alignment horizontal="center" vertical="center" wrapText="1"/>
    </xf>
    <xf numFmtId="0" fontId="10" fillId="21" borderId="38"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10" fillId="17" borderId="66" xfId="0" applyFont="1" applyFill="1" applyBorder="1" applyAlignment="1">
      <alignment horizontal="center" vertical="center" wrapText="1"/>
    </xf>
    <xf numFmtId="0" fontId="2" fillId="19" borderId="11" xfId="2867" applyFont="1" applyFill="1" applyBorder="1" applyAlignment="1">
      <alignment horizontal="center" vertical="center" wrapText="1"/>
    </xf>
    <xf numFmtId="0" fontId="26" fillId="0" borderId="18" xfId="0" applyFont="1" applyBorder="1" applyAlignment="1">
      <alignment horizontal="center" vertical="center"/>
    </xf>
    <xf numFmtId="0" fontId="26" fillId="0" borderId="1" xfId="0" applyFont="1" applyBorder="1" applyAlignment="1">
      <alignment horizontal="center" vertical="center"/>
    </xf>
    <xf numFmtId="42" fontId="26" fillId="0" borderId="1" xfId="2866" applyFont="1" applyFill="1" applyBorder="1" applyAlignment="1">
      <alignment horizontal="center" vertical="center"/>
    </xf>
    <xf numFmtId="192" fontId="26" fillId="0" borderId="1" xfId="0" applyNumberFormat="1" applyFont="1" applyBorder="1" applyAlignment="1">
      <alignment horizontal="center" vertical="center"/>
    </xf>
    <xf numFmtId="0" fontId="26" fillId="0" borderId="11" xfId="0" applyFont="1" applyBorder="1" applyAlignment="1">
      <alignment horizontal="center" vertical="center"/>
    </xf>
    <xf numFmtId="192" fontId="26" fillId="0" borderId="1" xfId="2866" applyNumberFormat="1" applyFont="1" applyFill="1" applyBorder="1" applyAlignment="1">
      <alignment horizontal="center" vertical="center"/>
    </xf>
    <xf numFmtId="10" fontId="26" fillId="0" borderId="11" xfId="23" applyNumberFormat="1" applyFont="1" applyFill="1" applyBorder="1" applyAlignment="1">
      <alignment horizontal="center" vertical="center"/>
    </xf>
    <xf numFmtId="0" fontId="2" fillId="19" borderId="1" xfId="2867" applyFont="1" applyFill="1" applyBorder="1" applyAlignment="1">
      <alignment horizontal="center" vertical="center" wrapText="1"/>
    </xf>
    <xf numFmtId="0" fontId="0" fillId="0" borderId="18" xfId="0" applyBorder="1" applyAlignment="1">
      <alignment horizontal="center" vertical="center"/>
    </xf>
    <xf numFmtId="0" fontId="26" fillId="0" borderId="1" xfId="0" applyFont="1" applyBorder="1" applyAlignment="1">
      <alignment horizontal="center" vertical="center" wrapText="1"/>
    </xf>
    <xf numFmtId="0" fontId="0" fillId="0" borderId="11" xfId="0" applyBorder="1" applyAlignment="1">
      <alignment horizontal="left" vertical="center" wrapText="1"/>
    </xf>
    <xf numFmtId="0" fontId="56" fillId="0" borderId="5" xfId="0" applyFont="1" applyBorder="1" applyAlignment="1">
      <alignment vertical="center" wrapText="1"/>
    </xf>
    <xf numFmtId="42" fontId="56" fillId="0" borderId="5" xfId="2866" applyFont="1" applyFill="1" applyBorder="1" applyAlignment="1">
      <alignment vertical="center"/>
    </xf>
    <xf numFmtId="0" fontId="56" fillId="0" borderId="5" xfId="2866" applyNumberFormat="1" applyFont="1" applyFill="1" applyBorder="1" applyAlignment="1">
      <alignment vertical="center" wrapText="1"/>
    </xf>
    <xf numFmtId="0" fontId="56" fillId="0" borderId="5" xfId="0" applyFont="1" applyBorder="1" applyAlignment="1">
      <alignment horizontal="center" vertical="center" wrapText="1"/>
    </xf>
    <xf numFmtId="0" fontId="56" fillId="0" borderId="5" xfId="0" applyFont="1" applyBorder="1" applyAlignment="1">
      <alignment wrapText="1"/>
    </xf>
    <xf numFmtId="0" fontId="56" fillId="0" borderId="5" xfId="0" applyFont="1" applyBorder="1" applyAlignment="1">
      <alignment vertical="top" wrapText="1"/>
    </xf>
    <xf numFmtId="0" fontId="22" fillId="0" borderId="1" xfId="0" applyFont="1" applyBorder="1" applyAlignment="1">
      <alignment horizontal="center" vertical="center"/>
    </xf>
    <xf numFmtId="0" fontId="22" fillId="0" borderId="1" xfId="0" applyFont="1" applyBorder="1"/>
    <xf numFmtId="4" fontId="22" fillId="0" borderId="1" xfId="0" applyNumberFormat="1" applyFont="1" applyBorder="1" applyAlignment="1">
      <alignment horizontal="center" vertical="center"/>
    </xf>
    <xf numFmtId="0" fontId="26" fillId="0" borderId="11" xfId="0" applyFont="1" applyBorder="1" applyAlignment="1">
      <alignment vertical="center" wrapText="1"/>
    </xf>
    <xf numFmtId="0" fontId="9" fillId="3" borderId="12" xfId="0" applyFont="1" applyFill="1" applyBorder="1" applyAlignment="1">
      <alignment vertical="center" wrapText="1"/>
    </xf>
    <xf numFmtId="2" fontId="7" fillId="0" borderId="2" xfId="10" applyNumberFormat="1" applyFont="1" applyFill="1" applyBorder="1" applyAlignment="1">
      <alignment horizontal="center" vertical="center"/>
    </xf>
    <xf numFmtId="4" fontId="7" fillId="0" borderId="1" xfId="9" applyNumberFormat="1" applyFont="1" applyFill="1" applyBorder="1" applyAlignment="1">
      <alignment horizontal="center" vertical="center"/>
    </xf>
    <xf numFmtId="4" fontId="7" fillId="0" borderId="5" xfId="9" applyNumberFormat="1" applyFont="1" applyFill="1" applyBorder="1" applyAlignment="1">
      <alignment horizontal="center" vertical="center"/>
    </xf>
    <xf numFmtId="0" fontId="4" fillId="17" borderId="56" xfId="0" applyFont="1" applyFill="1" applyBorder="1" applyAlignment="1" applyProtection="1">
      <alignment horizontal="left" vertical="center" wrapText="1"/>
      <protection locked="0"/>
    </xf>
    <xf numFmtId="1" fontId="4" fillId="17" borderId="72" xfId="0" applyNumberFormat="1" applyFont="1" applyFill="1" applyBorder="1" applyAlignment="1" applyProtection="1">
      <alignment horizontal="left" vertical="center" wrapText="1"/>
      <protection locked="0"/>
    </xf>
    <xf numFmtId="4" fontId="7" fillId="0" borderId="1" xfId="5" applyNumberFormat="1" applyFont="1" applyFill="1" applyBorder="1" applyAlignment="1">
      <alignment horizontal="center" vertical="center"/>
    </xf>
    <xf numFmtId="4" fontId="7" fillId="0" borderId="1" xfId="10" applyNumberFormat="1" applyFont="1" applyFill="1" applyBorder="1" applyAlignment="1">
      <alignment horizontal="center" vertical="center"/>
    </xf>
    <xf numFmtId="180" fontId="5" fillId="0" borderId="1" xfId="2866" applyNumberFormat="1" applyFont="1" applyFill="1" applyBorder="1" applyAlignment="1">
      <alignment horizontal="center" vertical="center" wrapText="1"/>
    </xf>
    <xf numFmtId="1" fontId="7" fillId="0" borderId="5" xfId="10" applyNumberFormat="1" applyFont="1" applyFill="1" applyBorder="1" applyAlignment="1">
      <alignment horizontal="center" vertical="center"/>
    </xf>
    <xf numFmtId="1" fontId="5" fillId="0" borderId="5" xfId="2866" applyNumberFormat="1" applyFont="1" applyFill="1" applyBorder="1" applyAlignment="1">
      <alignment horizontal="center" vertical="center" wrapText="1"/>
    </xf>
    <xf numFmtId="2" fontId="7" fillId="0" borderId="5" xfId="10" applyNumberFormat="1" applyFont="1" applyFill="1" applyBorder="1" applyAlignment="1">
      <alignment horizontal="center" vertical="center"/>
    </xf>
    <xf numFmtId="1" fontId="5" fillId="0" borderId="2" xfId="2866" applyNumberFormat="1" applyFont="1" applyFill="1" applyBorder="1" applyAlignment="1">
      <alignment horizontal="center" vertical="center" wrapText="1"/>
    </xf>
    <xf numFmtId="181" fontId="7" fillId="4" borderId="71" xfId="10" applyNumberFormat="1" applyFont="1" applyFill="1" applyBorder="1" applyAlignment="1">
      <alignment vertical="center"/>
    </xf>
    <xf numFmtId="181" fontId="7" fillId="4" borderId="52" xfId="10" applyNumberFormat="1" applyFont="1" applyFill="1" applyBorder="1" applyAlignment="1">
      <alignment vertical="center"/>
    </xf>
    <xf numFmtId="173" fontId="3" fillId="18" borderId="1" xfId="0" applyNumberFormat="1" applyFont="1" applyFill="1" applyBorder="1" applyAlignment="1">
      <alignment vertical="center"/>
    </xf>
    <xf numFmtId="0" fontId="14" fillId="17" borderId="2" xfId="16" applyFont="1" applyFill="1" applyBorder="1" applyAlignment="1">
      <alignment horizontal="center" vertical="center" textRotation="90" wrapText="1"/>
    </xf>
    <xf numFmtId="0" fontId="18" fillId="17" borderId="2" xfId="16" applyFont="1" applyFill="1" applyBorder="1" applyAlignment="1">
      <alignment horizontal="center" vertical="center" textRotation="90" wrapText="1"/>
    </xf>
    <xf numFmtId="0" fontId="77" fillId="17" borderId="2" xfId="16" applyFont="1" applyFill="1" applyBorder="1" applyAlignment="1">
      <alignment horizontal="center" vertical="center" wrapText="1"/>
    </xf>
    <xf numFmtId="0" fontId="2" fillId="17" borderId="2" xfId="16" applyFont="1" applyFill="1" applyBorder="1" applyAlignment="1">
      <alignment horizontal="center" vertical="center" wrapText="1"/>
    </xf>
    <xf numFmtId="173" fontId="3" fillId="17" borderId="3" xfId="0" applyNumberFormat="1" applyFont="1" applyFill="1" applyBorder="1" applyAlignment="1">
      <alignment vertical="center"/>
    </xf>
    <xf numFmtId="0" fontId="4" fillId="17" borderId="39" xfId="0" applyFont="1" applyFill="1" applyBorder="1" applyAlignment="1">
      <alignment vertical="center" wrapText="1"/>
    </xf>
    <xf numFmtId="0" fontId="4" fillId="17" borderId="29" xfId="0" applyFont="1" applyFill="1" applyBorder="1" applyAlignment="1">
      <alignment vertical="center" wrapText="1"/>
    </xf>
    <xf numFmtId="0" fontId="4" fillId="17" borderId="28" xfId="0" applyFont="1" applyFill="1" applyBorder="1" applyAlignment="1">
      <alignment vertical="center" wrapText="1"/>
    </xf>
    <xf numFmtId="42" fontId="16" fillId="17" borderId="1" xfId="0" applyNumberFormat="1" applyFont="1" applyFill="1" applyBorder="1" applyAlignment="1">
      <alignment horizontal="center" vertical="center" wrapText="1"/>
    </xf>
    <xf numFmtId="42" fontId="16" fillId="17" borderId="18" xfId="0" applyNumberFormat="1" applyFont="1" applyFill="1" applyBorder="1" applyAlignment="1">
      <alignment horizontal="center" vertical="center" wrapText="1"/>
    </xf>
    <xf numFmtId="0" fontId="4" fillId="17" borderId="27" xfId="0" applyFont="1" applyFill="1" applyBorder="1" applyAlignment="1">
      <alignment vertical="center" wrapText="1"/>
    </xf>
    <xf numFmtId="0" fontId="4" fillId="17" borderId="0" xfId="0" applyFont="1" applyFill="1" applyAlignment="1">
      <alignment vertical="center" wrapText="1"/>
    </xf>
    <xf numFmtId="0" fontId="4" fillId="17" borderId="26" xfId="0" applyFont="1" applyFill="1" applyBorder="1" applyAlignment="1">
      <alignment vertical="center" wrapText="1"/>
    </xf>
    <xf numFmtId="42" fontId="16" fillId="17" borderId="5" xfId="0" applyNumberFormat="1" applyFont="1" applyFill="1" applyBorder="1" applyAlignment="1">
      <alignment horizontal="center" vertical="center" wrapText="1"/>
    </xf>
    <xf numFmtId="42" fontId="16" fillId="17" borderId="40" xfId="0" applyNumberFormat="1" applyFont="1" applyFill="1" applyBorder="1" applyAlignment="1">
      <alignment horizontal="center" vertical="center" wrapText="1"/>
    </xf>
    <xf numFmtId="0" fontId="15" fillId="17" borderId="1" xfId="0" applyFont="1" applyFill="1" applyBorder="1" applyAlignment="1" applyProtection="1">
      <alignment horizontal="left" vertical="center" wrapText="1"/>
      <protection locked="0"/>
    </xf>
    <xf numFmtId="181" fontId="15" fillId="18" borderId="1" xfId="0" applyNumberFormat="1" applyFont="1" applyFill="1" applyBorder="1" applyAlignment="1" applyProtection="1">
      <alignment horizontal="left" vertical="center" wrapText="1"/>
      <protection locked="0"/>
    </xf>
    <xf numFmtId="0" fontId="15" fillId="17" borderId="5" xfId="0" applyFont="1" applyFill="1" applyBorder="1" applyAlignment="1" applyProtection="1">
      <alignment horizontal="left" vertical="center" wrapText="1"/>
      <protection locked="0"/>
    </xf>
    <xf numFmtId="186" fontId="16" fillId="0" borderId="1" xfId="3296" applyNumberFormat="1" applyFont="1" applyFill="1" applyBorder="1" applyAlignment="1">
      <alignment horizontal="center" vertical="center"/>
    </xf>
    <xf numFmtId="4" fontId="4" fillId="0" borderId="1" xfId="3296" applyNumberFormat="1" applyFont="1" applyFill="1" applyBorder="1" applyAlignment="1">
      <alignment horizontal="center" vertical="center"/>
    </xf>
    <xf numFmtId="42" fontId="16" fillId="0" borderId="1" xfId="3301" applyFont="1" applyFill="1" applyBorder="1" applyAlignment="1">
      <alignment horizontal="center" vertical="center"/>
    </xf>
    <xf numFmtId="186" fontId="4" fillId="0" borderId="1" xfId="3296" applyNumberFormat="1" applyFont="1" applyFill="1" applyBorder="1" applyAlignment="1">
      <alignment horizontal="center" vertical="center"/>
    </xf>
    <xf numFmtId="185" fontId="25" fillId="0" borderId="1" xfId="10" applyNumberFormat="1" applyFont="1" applyFill="1" applyBorder="1" applyAlignment="1">
      <alignment horizontal="center" vertical="center" wrapText="1"/>
    </xf>
    <xf numFmtId="4" fontId="25" fillId="0" borderId="1" xfId="10" applyNumberFormat="1" applyFont="1" applyFill="1" applyBorder="1" applyAlignment="1">
      <alignment horizontal="center" vertical="center" wrapText="1"/>
    </xf>
    <xf numFmtId="0" fontId="43" fillId="0" borderId="0" xfId="0" applyFont="1"/>
    <xf numFmtId="0" fontId="2" fillId="17" borderId="14" xfId="0" applyFont="1" applyFill="1" applyBorder="1" applyAlignment="1">
      <alignment vertical="center" wrapText="1"/>
    </xf>
    <xf numFmtId="0" fontId="2" fillId="17" borderId="22" xfId="0" applyFont="1" applyFill="1" applyBorder="1" applyAlignment="1">
      <alignment vertical="center" wrapText="1"/>
    </xf>
    <xf numFmtId="0" fontId="2" fillId="17" borderId="22" xfId="19" applyFont="1" applyFill="1" applyBorder="1" applyAlignment="1">
      <alignment vertical="center" wrapText="1"/>
    </xf>
    <xf numFmtId="0" fontId="2" fillId="17" borderId="60" xfId="0" applyFont="1" applyFill="1" applyBorder="1" applyAlignment="1">
      <alignment vertical="center" wrapText="1"/>
    </xf>
    <xf numFmtId="0" fontId="2" fillId="17" borderId="14" xfId="0" applyFont="1" applyFill="1" applyBorder="1" applyAlignment="1">
      <alignment horizontal="center" vertical="center" wrapText="1"/>
    </xf>
    <xf numFmtId="179" fontId="4" fillId="17" borderId="2" xfId="16" applyNumberForma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4" xfId="0" applyFont="1" applyFill="1" applyBorder="1" applyAlignment="1">
      <alignment horizontal="center" vertical="top" wrapText="1"/>
    </xf>
    <xf numFmtId="0" fontId="18" fillId="17" borderId="42" xfId="0" applyFont="1" applyFill="1" applyBorder="1" applyAlignment="1">
      <alignment horizontal="left" vertical="center" wrapText="1"/>
    </xf>
    <xf numFmtId="0" fontId="4" fillId="17" borderId="0" xfId="0" applyFont="1" applyFill="1" applyAlignment="1">
      <alignment horizontal="center" vertical="center" wrapText="1"/>
    </xf>
    <xf numFmtId="0" fontId="18" fillId="17" borderId="8" xfId="0" applyFont="1" applyFill="1" applyBorder="1" applyAlignment="1">
      <alignment horizontal="left" vertical="center" wrapText="1"/>
    </xf>
    <xf numFmtId="0" fontId="18" fillId="17" borderId="68" xfId="0" applyFont="1" applyFill="1" applyBorder="1" applyAlignment="1">
      <alignment horizontal="left" vertical="center" wrapText="1"/>
    </xf>
    <xf numFmtId="0" fontId="4" fillId="17" borderId="29" xfId="0" applyFont="1" applyFill="1" applyBorder="1" applyAlignment="1">
      <alignment horizontal="center" vertical="center" wrapText="1"/>
    </xf>
    <xf numFmtId="10" fontId="3" fillId="18" borderId="1" xfId="0" applyNumberFormat="1" applyFont="1" applyFill="1" applyBorder="1" applyAlignment="1">
      <alignment vertical="center"/>
    </xf>
    <xf numFmtId="42" fontId="16" fillId="0" borderId="1" xfId="3301" applyFont="1" applyFill="1" applyBorder="1" applyAlignment="1" applyProtection="1">
      <alignment horizontal="center" vertical="center"/>
    </xf>
    <xf numFmtId="9" fontId="22" fillId="0" borderId="1" xfId="21" applyFont="1" applyFill="1" applyBorder="1" applyAlignment="1">
      <alignment horizontal="center" vertical="center"/>
    </xf>
    <xf numFmtId="2" fontId="7" fillId="0" borderId="2" xfId="10" applyNumberFormat="1" applyFont="1" applyFill="1" applyBorder="1" applyAlignment="1" applyProtection="1">
      <alignment horizontal="center" vertical="center"/>
    </xf>
    <xf numFmtId="181" fontId="7" fillId="0" borderId="1" xfId="10" applyNumberFormat="1" applyFont="1" applyFill="1" applyBorder="1" applyAlignment="1" applyProtection="1">
      <alignment vertical="center"/>
    </xf>
    <xf numFmtId="42" fontId="5" fillId="0" borderId="1" xfId="2866" applyFont="1" applyFill="1" applyBorder="1" applyAlignment="1" applyProtection="1">
      <alignment horizontal="center" vertical="center" wrapText="1"/>
    </xf>
    <xf numFmtId="0" fontId="59" fillId="2" borderId="0" xfId="16" applyFont="1" applyFill="1" applyAlignment="1">
      <alignment vertical="center"/>
    </xf>
    <xf numFmtId="192" fontId="0" fillId="0" borderId="0" xfId="0" applyNumberFormat="1"/>
    <xf numFmtId="1" fontId="74" fillId="0" borderId="1" xfId="10" applyNumberFormat="1" applyFont="1" applyFill="1" applyBorder="1" applyAlignment="1">
      <alignment horizontal="center" vertical="center" wrapText="1"/>
    </xf>
    <xf numFmtId="181" fontId="7" fillId="4" borderId="71" xfId="10" applyNumberFormat="1" applyFont="1" applyFill="1" applyBorder="1" applyAlignment="1" applyProtection="1">
      <alignment vertical="center"/>
    </xf>
    <xf numFmtId="181" fontId="7" fillId="4" borderId="71" xfId="10" applyNumberFormat="1" applyFont="1" applyFill="1" applyBorder="1" applyAlignment="1" applyProtection="1">
      <alignment vertical="center"/>
      <protection locked="0"/>
    </xf>
    <xf numFmtId="42" fontId="86" fillId="3" borderId="0" xfId="0" applyNumberFormat="1" applyFont="1" applyFill="1" applyAlignment="1">
      <alignment horizontal="center" vertical="center"/>
    </xf>
    <xf numFmtId="42" fontId="86" fillId="3" borderId="0" xfId="0" applyNumberFormat="1" applyFont="1" applyFill="1"/>
    <xf numFmtId="42" fontId="0" fillId="3" borderId="0" xfId="0" applyNumberFormat="1" applyFill="1"/>
    <xf numFmtId="192" fontId="0" fillId="0" borderId="1" xfId="9" applyNumberFormat="1" applyFont="1" applyFill="1" applyBorder="1" applyProtection="1">
      <protection locked="0"/>
    </xf>
    <xf numFmtId="0" fontId="0" fillId="0" borderId="1" xfId="0" applyBorder="1" applyProtection="1">
      <protection locked="0"/>
    </xf>
    <xf numFmtId="0" fontId="0" fillId="0" borderId="11" xfId="0" applyBorder="1" applyAlignment="1">
      <alignment horizontal="center" vertical="center" wrapText="1"/>
    </xf>
    <xf numFmtId="42" fontId="56" fillId="0" borderId="5" xfId="2866" applyFont="1" applyFill="1" applyBorder="1" applyAlignment="1" applyProtection="1">
      <alignment vertical="center"/>
      <protection locked="0"/>
    </xf>
    <xf numFmtId="0" fontId="56" fillId="0" borderId="5" xfId="2866" applyNumberFormat="1" applyFont="1" applyFill="1" applyBorder="1" applyAlignment="1" applyProtection="1">
      <alignment vertical="center" wrapText="1"/>
      <protection locked="0"/>
    </xf>
    <xf numFmtId="9" fontId="0" fillId="0" borderId="1" xfId="21" applyFont="1" applyFill="1" applyBorder="1" applyAlignment="1" applyProtection="1">
      <alignment horizontal="center" vertical="center"/>
      <protection locked="0"/>
    </xf>
    <xf numFmtId="10" fontId="22" fillId="0" borderId="1" xfId="21" applyNumberFormat="1" applyFont="1" applyFill="1" applyBorder="1" applyAlignment="1">
      <alignment horizontal="center" vertical="center"/>
    </xf>
    <xf numFmtId="181" fontId="7" fillId="0" borderId="1" xfId="10" applyNumberFormat="1" applyFont="1" applyFill="1" applyBorder="1" applyAlignment="1" applyProtection="1">
      <alignment vertical="center"/>
      <protection locked="0"/>
    </xf>
    <xf numFmtId="181" fontId="7" fillId="0" borderId="1" xfId="10" applyNumberFormat="1" applyFont="1" applyFill="1" applyBorder="1" applyAlignment="1">
      <alignment horizontal="center" vertical="center"/>
    </xf>
    <xf numFmtId="42" fontId="5" fillId="0" borderId="1" xfId="2866" applyFont="1" applyFill="1" applyBorder="1" applyAlignment="1" applyProtection="1">
      <alignment horizontal="center" vertical="center" wrapText="1"/>
      <protection locked="0"/>
    </xf>
    <xf numFmtId="2" fontId="7" fillId="0" borderId="2" xfId="10" applyNumberFormat="1" applyFont="1" applyFill="1" applyBorder="1" applyAlignment="1" applyProtection="1">
      <alignment horizontal="center" vertical="center"/>
      <protection locked="0"/>
    </xf>
    <xf numFmtId="181" fontId="7" fillId="4" borderId="52" xfId="10" applyNumberFormat="1" applyFont="1" applyFill="1" applyBorder="1" applyAlignment="1" applyProtection="1">
      <alignment vertical="center"/>
    </xf>
    <xf numFmtId="181" fontId="7" fillId="4" borderId="52" xfId="10" applyNumberFormat="1" applyFont="1" applyFill="1" applyBorder="1" applyAlignment="1" applyProtection="1">
      <alignment vertical="center"/>
      <protection locked="0"/>
    </xf>
    <xf numFmtId="0" fontId="9" fillId="0" borderId="29" xfId="0" applyFont="1" applyBorder="1" applyAlignment="1">
      <alignment horizontal="left" vertical="center" wrapText="1"/>
    </xf>
    <xf numFmtId="0" fontId="10" fillId="22" borderId="59" xfId="0" applyFont="1" applyFill="1" applyBorder="1" applyAlignment="1">
      <alignment horizontal="center" vertical="center" wrapText="1"/>
    </xf>
    <xf numFmtId="4" fontId="4" fillId="2" borderId="0" xfId="16" applyNumberFormat="1" applyFill="1" applyAlignment="1">
      <alignment vertical="center"/>
    </xf>
    <xf numFmtId="169" fontId="0" fillId="0" borderId="1" xfId="9" applyFont="1" applyFill="1" applyBorder="1" applyProtection="1">
      <protection locked="0"/>
    </xf>
    <xf numFmtId="8" fontId="5" fillId="0" borderId="0" xfId="0" applyNumberFormat="1" applyFont="1" applyAlignment="1">
      <alignment horizontal="center"/>
    </xf>
    <xf numFmtId="169" fontId="0" fillId="0" borderId="0" xfId="10" applyFont="1"/>
    <xf numFmtId="0" fontId="64" fillId="2" borderId="0" xfId="16" applyFont="1" applyFill="1" applyAlignment="1">
      <alignment vertical="center"/>
    </xf>
    <xf numFmtId="3" fontId="0" fillId="0" borderId="0" xfId="0" applyNumberFormat="1"/>
    <xf numFmtId="3" fontId="9" fillId="0" borderId="0" xfId="0" applyNumberFormat="1" applyFont="1" applyAlignment="1">
      <alignment horizontal="left" vertical="center" wrapText="1"/>
    </xf>
    <xf numFmtId="179" fontId="5" fillId="0" borderId="0" xfId="0" applyNumberFormat="1" applyFont="1" applyAlignment="1">
      <alignment horizontal="center"/>
    </xf>
    <xf numFmtId="9" fontId="0" fillId="0" borderId="0" xfId="21" applyFont="1"/>
    <xf numFmtId="10" fontId="0" fillId="0" borderId="0" xfId="21" applyNumberFormat="1" applyFont="1"/>
    <xf numFmtId="0" fontId="2" fillId="17" borderId="19" xfId="0" applyFont="1" applyFill="1" applyBorder="1" applyAlignment="1">
      <alignment horizontal="center" vertical="center" wrapText="1"/>
    </xf>
    <xf numFmtId="169" fontId="0" fillId="0" borderId="1" xfId="9" applyFont="1" applyFill="1" applyBorder="1"/>
    <xf numFmtId="0" fontId="0" fillId="0" borderId="63" xfId="0" applyBorder="1" applyAlignment="1">
      <alignment horizontal="center" vertical="center"/>
    </xf>
    <xf numFmtId="9" fontId="0" fillId="0" borderId="1" xfId="21" applyFont="1" applyFill="1" applyBorder="1" applyAlignment="1">
      <alignment horizontal="center" vertical="center" wrapText="1"/>
    </xf>
    <xf numFmtId="176" fontId="0" fillId="0" borderId="1" xfId="0" applyNumberFormat="1" applyBorder="1" applyAlignment="1">
      <alignment horizontal="center" vertical="center"/>
    </xf>
    <xf numFmtId="179" fontId="7" fillId="0" borderId="1" xfId="9" applyNumberFormat="1" applyFont="1" applyFill="1" applyBorder="1" applyAlignment="1">
      <alignment horizontal="center" vertical="center"/>
    </xf>
    <xf numFmtId="181" fontId="7" fillId="4" borderId="75" xfId="10" applyNumberFormat="1" applyFont="1" applyFill="1" applyBorder="1" applyAlignment="1">
      <alignment vertical="center"/>
    </xf>
    <xf numFmtId="181" fontId="7" fillId="4" borderId="48" xfId="10" applyNumberFormat="1" applyFont="1" applyFill="1" applyBorder="1" applyAlignment="1">
      <alignment vertical="center"/>
    </xf>
    <xf numFmtId="181" fontId="7" fillId="26" borderId="17" xfId="10" applyNumberFormat="1" applyFont="1" applyFill="1" applyBorder="1" applyAlignment="1">
      <alignment vertical="center"/>
    </xf>
    <xf numFmtId="181" fontId="7" fillId="26" borderId="3" xfId="10" applyNumberFormat="1" applyFont="1" applyFill="1" applyBorder="1" applyAlignment="1">
      <alignment vertical="center"/>
    </xf>
    <xf numFmtId="181" fontId="7" fillId="26" borderId="10" xfId="10" applyNumberFormat="1" applyFont="1" applyFill="1" applyBorder="1" applyAlignment="1">
      <alignment vertical="center"/>
    </xf>
    <xf numFmtId="181" fontId="7" fillId="26" borderId="18" xfId="10" applyNumberFormat="1" applyFont="1" applyFill="1" applyBorder="1" applyAlignment="1">
      <alignment vertical="center"/>
    </xf>
    <xf numFmtId="181" fontId="7" fillId="26" borderId="1" xfId="10" applyNumberFormat="1" applyFont="1" applyFill="1" applyBorder="1" applyAlignment="1">
      <alignment vertical="center"/>
    </xf>
    <xf numFmtId="181" fontId="7" fillId="26" borderId="11" xfId="10" applyNumberFormat="1" applyFont="1" applyFill="1" applyBorder="1" applyAlignment="1">
      <alignment vertical="center"/>
    </xf>
    <xf numFmtId="181" fontId="7" fillId="26" borderId="63" xfId="10" applyNumberFormat="1" applyFont="1" applyFill="1" applyBorder="1" applyAlignment="1">
      <alignment vertical="center"/>
    </xf>
    <xf numFmtId="181" fontId="7" fillId="26" borderId="4" xfId="10" applyNumberFormat="1" applyFont="1" applyFill="1" applyBorder="1" applyAlignment="1">
      <alignment vertical="center"/>
    </xf>
    <xf numFmtId="181" fontId="7" fillId="26" borderId="12" xfId="10" applyNumberFormat="1" applyFont="1" applyFill="1" applyBorder="1" applyAlignment="1">
      <alignment vertical="center"/>
    </xf>
    <xf numFmtId="4" fontId="16" fillId="0" borderId="1" xfId="0" applyNumberFormat="1" applyFont="1" applyBorder="1" applyAlignment="1">
      <alignment horizontal="center" vertical="center"/>
    </xf>
    <xf numFmtId="3" fontId="16" fillId="0" borderId="1" xfId="0" applyNumberFormat="1" applyFont="1" applyBorder="1" applyAlignment="1">
      <alignment horizontal="center" vertical="center"/>
    </xf>
    <xf numFmtId="179" fontId="16" fillId="0" borderId="1" xfId="0" applyNumberFormat="1" applyFont="1" applyBorder="1" applyAlignment="1">
      <alignment horizontal="center" vertical="center"/>
    </xf>
    <xf numFmtId="4" fontId="16" fillId="0" borderId="2" xfId="0" applyNumberFormat="1" applyFont="1" applyBorder="1" applyAlignment="1">
      <alignment horizontal="center" vertical="center"/>
    </xf>
    <xf numFmtId="0" fontId="73" fillId="0" borderId="1" xfId="0" applyFont="1" applyBorder="1" applyAlignment="1">
      <alignment horizontal="center" vertical="center"/>
    </xf>
    <xf numFmtId="188" fontId="16" fillId="0" borderId="1" xfId="0" applyNumberFormat="1" applyFont="1" applyBorder="1" applyAlignment="1">
      <alignment horizontal="center" vertical="center" wrapText="1"/>
    </xf>
    <xf numFmtId="42" fontId="16" fillId="0" borderId="1" xfId="0" applyNumberFormat="1" applyFont="1" applyBorder="1" applyAlignment="1">
      <alignment horizontal="center" vertical="center" wrapText="1"/>
    </xf>
    <xf numFmtId="0" fontId="29" fillId="0" borderId="0" xfId="0" applyFont="1" applyAlignment="1">
      <alignment horizontal="center" vertical="center"/>
    </xf>
    <xf numFmtId="0" fontId="27" fillId="0" borderId="0" xfId="0" applyFont="1" applyAlignment="1">
      <alignment horizontal="center" vertical="center"/>
    </xf>
    <xf numFmtId="3" fontId="7" fillId="0" borderId="0" xfId="0" applyNumberFormat="1" applyFont="1" applyAlignment="1">
      <alignment horizontal="center" vertical="center"/>
    </xf>
    <xf numFmtId="4" fontId="0" fillId="0" borderId="0" xfId="0" applyNumberFormat="1" applyAlignment="1">
      <alignment horizontal="center" vertical="center"/>
    </xf>
    <xf numFmtId="4" fontId="7" fillId="0" borderId="0" xfId="0" applyNumberFormat="1" applyFont="1" applyAlignment="1">
      <alignment horizontal="center" vertical="center" wrapText="1"/>
    </xf>
    <xf numFmtId="169" fontId="7" fillId="0" borderId="0" xfId="10" applyFont="1" applyFill="1" applyBorder="1" applyAlignment="1">
      <alignment horizontal="center" vertical="center" wrapText="1"/>
    </xf>
    <xf numFmtId="3" fontId="5" fillId="2" borderId="0" xfId="16" applyNumberFormat="1" applyFont="1" applyFill="1" applyAlignment="1">
      <alignment vertical="center"/>
    </xf>
    <xf numFmtId="9" fontId="5" fillId="2" borderId="0" xfId="21" applyFont="1" applyFill="1" applyAlignment="1">
      <alignment vertical="center"/>
    </xf>
    <xf numFmtId="10" fontId="5" fillId="2" borderId="0" xfId="21" applyNumberFormat="1" applyFont="1" applyFill="1" applyAlignment="1">
      <alignment vertical="center"/>
    </xf>
    <xf numFmtId="3" fontId="4" fillId="0" borderId="0" xfId="16" applyNumberFormat="1" applyAlignment="1">
      <alignment vertical="center"/>
    </xf>
    <xf numFmtId="173" fontId="4" fillId="2" borderId="0" xfId="21" applyNumberFormat="1" applyFont="1" applyFill="1" applyAlignment="1">
      <alignment vertical="center"/>
    </xf>
    <xf numFmtId="173" fontId="72" fillId="17" borderId="1" xfId="0" applyNumberFormat="1" applyFont="1" applyFill="1" applyBorder="1" applyAlignment="1">
      <alignment vertical="center"/>
    </xf>
    <xf numFmtId="173" fontId="10" fillId="17" borderId="1" xfId="0" applyNumberFormat="1" applyFont="1" applyFill="1" applyBorder="1" applyAlignment="1">
      <alignment vertical="center"/>
    </xf>
    <xf numFmtId="173" fontId="72" fillId="18" borderId="1" xfId="0" applyNumberFormat="1" applyFont="1" applyFill="1" applyBorder="1" applyAlignment="1">
      <alignment vertical="center"/>
    </xf>
    <xf numFmtId="173" fontId="90" fillId="17" borderId="1" xfId="0" applyNumberFormat="1" applyFont="1" applyFill="1" applyBorder="1" applyAlignment="1">
      <alignment vertical="center"/>
    </xf>
    <xf numFmtId="173" fontId="90" fillId="17" borderId="3" xfId="0" applyNumberFormat="1" applyFont="1" applyFill="1" applyBorder="1" applyAlignment="1">
      <alignment vertical="center"/>
    </xf>
    <xf numFmtId="173" fontId="90" fillId="18" borderId="1" xfId="0" applyNumberFormat="1" applyFont="1" applyFill="1" applyBorder="1" applyAlignment="1">
      <alignment vertical="center"/>
    </xf>
    <xf numFmtId="173" fontId="90" fillId="17" borderId="8" xfId="0" applyNumberFormat="1" applyFont="1" applyFill="1" applyBorder="1" applyAlignment="1">
      <alignment vertical="center"/>
    </xf>
    <xf numFmtId="0" fontId="91" fillId="0" borderId="78" xfId="0" applyFont="1" applyBorder="1" applyAlignment="1">
      <alignment horizontal="center" vertical="center" wrapText="1"/>
    </xf>
    <xf numFmtId="2" fontId="43" fillId="0" borderId="0" xfId="0" applyNumberFormat="1" applyFont="1"/>
    <xf numFmtId="4" fontId="43" fillId="0" borderId="0" xfId="0" applyNumberFormat="1" applyFont="1"/>
    <xf numFmtId="181" fontId="15" fillId="18" borderId="2" xfId="0" applyNumberFormat="1" applyFont="1" applyFill="1" applyBorder="1" applyAlignment="1" applyProtection="1">
      <alignment horizontal="left" vertical="center" wrapText="1"/>
      <protection locked="0"/>
    </xf>
    <xf numFmtId="179" fontId="16" fillId="0" borderId="2" xfId="0" applyNumberFormat="1" applyFont="1" applyBorder="1" applyAlignment="1">
      <alignment horizontal="center" vertical="center"/>
    </xf>
    <xf numFmtId="4" fontId="16" fillId="0" borderId="5" xfId="0" applyNumberFormat="1" applyFont="1" applyBorder="1" applyAlignment="1">
      <alignment horizontal="center" vertical="center"/>
    </xf>
    <xf numFmtId="0" fontId="15" fillId="17" borderId="3" xfId="0" applyFont="1" applyFill="1" applyBorder="1" applyAlignment="1" applyProtection="1">
      <alignment horizontal="left" vertical="center" wrapText="1"/>
      <protection locked="0"/>
    </xf>
    <xf numFmtId="179" fontId="16" fillId="0" borderId="3" xfId="0" applyNumberFormat="1" applyFont="1" applyBorder="1" applyAlignment="1">
      <alignment horizontal="center" vertical="center"/>
    </xf>
    <xf numFmtId="181" fontId="15" fillId="18" borderId="4" xfId="0" applyNumberFormat="1" applyFont="1" applyFill="1" applyBorder="1" applyAlignment="1" applyProtection="1">
      <alignment horizontal="left" vertical="center" wrapText="1"/>
      <protection locked="0"/>
    </xf>
    <xf numFmtId="179" fontId="16" fillId="0" borderId="4" xfId="0" applyNumberFormat="1" applyFont="1" applyBorder="1" applyAlignment="1">
      <alignment horizontal="center" vertical="center"/>
    </xf>
    <xf numFmtId="0" fontId="56" fillId="0" borderId="26" xfId="0" applyFont="1" applyBorder="1" applyAlignment="1">
      <alignment horizontal="center" vertical="center"/>
    </xf>
    <xf numFmtId="0" fontId="56" fillId="0" borderId="0" xfId="0" applyFont="1" applyAlignment="1">
      <alignment horizontal="center" vertical="center" wrapText="1"/>
    </xf>
    <xf numFmtId="0" fontId="56" fillId="0" borderId="43" xfId="0" applyFont="1" applyBorder="1" applyAlignment="1">
      <alignment wrapText="1"/>
    </xf>
    <xf numFmtId="42" fontId="56" fillId="0" borderId="43" xfId="2866" applyFont="1" applyFill="1" applyBorder="1" applyAlignment="1">
      <alignment vertical="center"/>
    </xf>
    <xf numFmtId="0" fontId="56" fillId="0" borderId="43" xfId="2866" applyNumberFormat="1" applyFont="1" applyFill="1" applyBorder="1" applyAlignment="1">
      <alignment vertical="center" wrapText="1"/>
    </xf>
    <xf numFmtId="0" fontId="55" fillId="0" borderId="0" xfId="0" applyFont="1" applyAlignment="1">
      <alignment horizontal="center" vertical="center"/>
    </xf>
    <xf numFmtId="0" fontId="55" fillId="0" borderId="0" xfId="2867" applyFont="1" applyAlignment="1">
      <alignment horizontal="center" vertical="center" wrapText="1"/>
    </xf>
    <xf numFmtId="0" fontId="56" fillId="0" borderId="1" xfId="0" applyFont="1" applyBorder="1" applyAlignment="1">
      <alignment horizontal="center" vertical="center"/>
    </xf>
    <xf numFmtId="0" fontId="56" fillId="0" borderId="1" xfId="0" applyFont="1" applyBorder="1" applyAlignment="1">
      <alignment horizontal="center" vertical="center" wrapText="1"/>
    </xf>
    <xf numFmtId="0" fontId="56" fillId="0" borderId="1" xfId="0" applyFont="1" applyBorder="1" applyAlignment="1">
      <alignment horizontal="center" vertical="top" wrapText="1"/>
    </xf>
    <xf numFmtId="0" fontId="56" fillId="0" borderId="1" xfId="0" applyFont="1" applyBorder="1" applyAlignment="1">
      <alignment wrapText="1"/>
    </xf>
    <xf numFmtId="42" fontId="56" fillId="0" borderId="1" xfId="2866" applyFont="1" applyFill="1" applyBorder="1" applyAlignment="1">
      <alignment vertical="center"/>
    </xf>
    <xf numFmtId="0" fontId="56" fillId="0" borderId="1" xfId="2866" applyNumberFormat="1" applyFont="1" applyFill="1" applyBorder="1" applyAlignment="1">
      <alignment vertical="center" wrapText="1"/>
    </xf>
    <xf numFmtId="182" fontId="0" fillId="0" borderId="0" xfId="0" applyNumberFormat="1" applyAlignment="1">
      <alignment horizontal="center"/>
    </xf>
    <xf numFmtId="4" fontId="7" fillId="3" borderId="0" xfId="0" applyNumberFormat="1" applyFont="1" applyFill="1" applyAlignment="1">
      <alignment horizontal="center" vertical="center"/>
    </xf>
    <xf numFmtId="193" fontId="5" fillId="2" borderId="0" xfId="21" applyNumberFormat="1" applyFont="1" applyFill="1" applyAlignment="1">
      <alignment vertical="center"/>
    </xf>
    <xf numFmtId="4" fontId="60" fillId="3" borderId="0" xfId="24" applyNumberFormat="1" applyFont="1" applyFill="1" applyBorder="1" applyAlignment="1">
      <alignment horizontal="center" vertical="center"/>
    </xf>
    <xf numFmtId="2" fontId="4" fillId="2" borderId="0" xfId="16" applyNumberFormat="1" applyFill="1" applyAlignment="1">
      <alignment vertical="center"/>
    </xf>
    <xf numFmtId="0" fontId="33" fillId="0" borderId="1" xfId="2867" applyFont="1" applyBorder="1" applyAlignment="1">
      <alignment horizontal="center" vertical="center" wrapText="1"/>
    </xf>
    <xf numFmtId="169" fontId="5" fillId="0" borderId="0" xfId="9" applyFont="1" applyAlignment="1">
      <alignment horizontal="center" vertical="center"/>
    </xf>
    <xf numFmtId="42" fontId="26" fillId="3" borderId="0" xfId="0" applyNumberFormat="1" applyFont="1" applyFill="1"/>
    <xf numFmtId="169" fontId="43" fillId="0" borderId="0" xfId="9" applyFont="1"/>
    <xf numFmtId="0" fontId="0" fillId="0" borderId="18" xfId="0" applyFill="1" applyBorder="1"/>
    <xf numFmtId="0" fontId="0" fillId="0" borderId="1" xfId="0" applyFill="1" applyBorder="1"/>
    <xf numFmtId="192" fontId="0" fillId="0" borderId="1" xfId="9" applyNumberFormat="1" applyFont="1" applyFill="1" applyBorder="1"/>
    <xf numFmtId="0" fontId="0" fillId="0" borderId="1" xfId="0" applyFill="1" applyBorder="1" applyAlignment="1">
      <alignment horizontal="center" vertical="center"/>
    </xf>
    <xf numFmtId="192" fontId="0" fillId="0" borderId="1" xfId="9" applyNumberFormat="1" applyFont="1" applyFill="1" applyBorder="1" applyAlignment="1">
      <alignment horizontal="center" vertical="center"/>
    </xf>
    <xf numFmtId="0" fontId="35" fillId="0" borderId="11" xfId="0" applyFont="1" applyFill="1" applyBorder="1"/>
    <xf numFmtId="0" fontId="0" fillId="0" borderId="1" xfId="0" applyFill="1" applyBorder="1" applyAlignment="1">
      <alignment horizontal="center" vertical="center" wrapText="1"/>
    </xf>
    <xf numFmtId="0" fontId="26"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8" xfId="0" applyFill="1" applyBorder="1" applyAlignment="1">
      <alignment horizontal="center" vertical="center" wrapText="1"/>
    </xf>
    <xf numFmtId="0" fontId="35" fillId="0" borderId="1" xfId="0" applyFont="1" applyFill="1" applyBorder="1" applyAlignment="1">
      <alignment horizontal="center" vertical="center" wrapText="1"/>
    </xf>
    <xf numFmtId="0" fontId="55" fillId="0" borderId="0" xfId="2867" applyFont="1" applyFill="1" applyAlignment="1">
      <alignment horizontal="center" vertical="center" wrapText="1"/>
    </xf>
    <xf numFmtId="0" fontId="56" fillId="0" borderId="5" xfId="0" applyFont="1" applyFill="1" applyBorder="1" applyAlignment="1">
      <alignment wrapText="1"/>
    </xf>
    <xf numFmtId="0" fontId="0" fillId="0" borderId="2" xfId="0" applyFill="1" applyBorder="1"/>
    <xf numFmtId="0" fontId="0" fillId="0" borderId="2" xfId="0" applyFill="1" applyBorder="1" applyAlignment="1">
      <alignment wrapText="1"/>
    </xf>
    <xf numFmtId="0" fontId="56" fillId="0" borderId="5" xfId="0" applyFont="1" applyFill="1" applyBorder="1" applyAlignment="1">
      <alignment horizontal="center" vertical="center" wrapText="1"/>
    </xf>
    <xf numFmtId="0" fontId="0" fillId="0" borderId="18" xfId="0" applyFill="1" applyBorder="1" applyAlignment="1">
      <alignment horizontal="center" vertical="center"/>
    </xf>
    <xf numFmtId="0" fontId="3" fillId="0" borderId="1" xfId="0" applyFont="1" applyFill="1" applyBorder="1" applyAlignment="1">
      <alignment vertical="center" wrapText="1"/>
    </xf>
    <xf numFmtId="4" fontId="22" fillId="0" borderId="1" xfId="0" applyNumberFormat="1" applyFont="1" applyFill="1" applyBorder="1" applyAlignment="1">
      <alignment horizontal="center" vertical="center"/>
    </xf>
    <xf numFmtId="0" fontId="26" fillId="0" borderId="11" xfId="0" applyFont="1" applyFill="1" applyBorder="1" applyAlignment="1">
      <alignment vertical="center" wrapText="1"/>
    </xf>
    <xf numFmtId="10" fontId="74" fillId="0" borderId="3" xfId="16" applyNumberFormat="1" applyFont="1" applyFill="1" applyBorder="1" applyAlignment="1">
      <alignment horizontal="center" vertical="center" wrapText="1"/>
    </xf>
    <xf numFmtId="10" fontId="74" fillId="0" borderId="35" xfId="16" applyNumberFormat="1" applyFont="1" applyFill="1" applyBorder="1" applyAlignment="1">
      <alignment horizontal="center" vertical="center" wrapText="1"/>
    </xf>
    <xf numFmtId="10" fontId="5" fillId="0" borderId="3" xfId="16" applyNumberFormat="1" applyFont="1" applyFill="1" applyBorder="1" applyAlignment="1">
      <alignment horizontal="center" vertical="center" wrapText="1"/>
    </xf>
    <xf numFmtId="10" fontId="74" fillId="0" borderId="1" xfId="16" applyNumberFormat="1" applyFont="1" applyFill="1" applyBorder="1" applyAlignment="1">
      <alignment horizontal="center" vertical="center" wrapText="1"/>
    </xf>
    <xf numFmtId="10" fontId="74" fillId="0" borderId="1" xfId="16" applyNumberFormat="1" applyFont="1" applyFill="1" applyBorder="1" applyAlignment="1" applyProtection="1">
      <alignment horizontal="center" vertical="center" wrapText="1"/>
      <protection locked="0"/>
    </xf>
    <xf numFmtId="10" fontId="5" fillId="0" borderId="1" xfId="16" applyNumberFormat="1" applyFont="1" applyFill="1" applyBorder="1" applyAlignment="1">
      <alignment horizontal="center" vertical="center" wrapText="1"/>
    </xf>
    <xf numFmtId="10" fontId="89" fillId="0" borderId="1" xfId="16" applyNumberFormat="1" applyFont="1" applyFill="1" applyBorder="1" applyAlignment="1">
      <alignment horizontal="center" vertical="center" wrapText="1"/>
    </xf>
    <xf numFmtId="173" fontId="5" fillId="0" borderId="1" xfId="16" applyNumberFormat="1" applyFont="1" applyFill="1" applyBorder="1" applyAlignment="1">
      <alignment horizontal="center" vertical="center" wrapText="1"/>
    </xf>
    <xf numFmtId="173" fontId="90" fillId="18" borderId="54" xfId="0" applyNumberFormat="1" applyFont="1" applyFill="1" applyBorder="1" applyAlignment="1">
      <alignment vertical="center"/>
    </xf>
    <xf numFmtId="10" fontId="5" fillId="0" borderId="2" xfId="16" applyNumberFormat="1" applyFont="1" applyFill="1" applyBorder="1" applyAlignment="1">
      <alignment horizontal="center" vertical="center" wrapText="1"/>
    </xf>
    <xf numFmtId="173" fontId="3" fillId="18" borderId="2" xfId="0" applyNumberFormat="1" applyFont="1" applyFill="1" applyBorder="1" applyAlignment="1">
      <alignment vertical="center"/>
    </xf>
    <xf numFmtId="2" fontId="2" fillId="17" borderId="1" xfId="16" applyNumberFormat="1" applyFont="1" applyFill="1" applyBorder="1" applyAlignment="1">
      <alignment horizontal="center" vertical="center" wrapText="1"/>
    </xf>
    <xf numFmtId="10" fontId="2" fillId="17" borderId="1" xfId="21" applyNumberFormat="1" applyFont="1" applyFill="1" applyBorder="1" applyAlignment="1">
      <alignment horizontal="center" vertical="center" wrapText="1"/>
    </xf>
    <xf numFmtId="0" fontId="9" fillId="17" borderId="1" xfId="16" applyFont="1" applyFill="1" applyBorder="1" applyAlignment="1">
      <alignment vertical="center" wrapText="1"/>
    </xf>
    <xf numFmtId="2" fontId="7" fillId="0" borderId="2" xfId="0" applyNumberFormat="1" applyFont="1" applyFill="1" applyBorder="1" applyAlignment="1" applyProtection="1">
      <alignment horizontal="center" vertical="center"/>
      <protection locked="0"/>
    </xf>
    <xf numFmtId="0" fontId="7" fillId="0" borderId="2" xfId="0" applyFont="1" applyFill="1" applyBorder="1" applyAlignment="1">
      <alignment horizontal="center" vertical="center"/>
    </xf>
    <xf numFmtId="4" fontId="57" fillId="0" borderId="1" xfId="2866" applyNumberFormat="1" applyFont="1" applyFill="1" applyBorder="1" applyAlignment="1">
      <alignment horizontal="center" vertical="center"/>
    </xf>
    <xf numFmtId="9" fontId="39" fillId="0" borderId="5" xfId="24" applyFont="1" applyFill="1" applyBorder="1" applyAlignment="1">
      <alignment horizontal="center" vertical="center" wrapText="1"/>
    </xf>
    <xf numFmtId="9" fontId="39" fillId="0" borderId="22" xfId="21" applyFont="1" applyFill="1" applyBorder="1" applyAlignment="1">
      <alignment horizontal="center" vertical="center" wrapText="1"/>
    </xf>
    <xf numFmtId="173" fontId="39" fillId="4" borderId="52" xfId="24" applyNumberFormat="1" applyFont="1" applyFill="1" applyBorder="1" applyAlignment="1">
      <alignment horizontal="center" vertical="center" wrapText="1"/>
    </xf>
    <xf numFmtId="4" fontId="74" fillId="0" borderId="5" xfId="0" applyNumberFormat="1" applyFont="1" applyFill="1" applyBorder="1" applyAlignment="1">
      <alignment horizontal="center" vertical="center" wrapText="1"/>
    </xf>
    <xf numFmtId="3" fontId="57" fillId="0" borderId="1" xfId="2866" applyNumberFormat="1" applyFont="1" applyFill="1" applyBorder="1" applyAlignment="1">
      <alignment horizontal="center" vertical="center"/>
    </xf>
    <xf numFmtId="10" fontId="39" fillId="4" borderId="52" xfId="21" applyNumberFormat="1" applyFont="1" applyFill="1" applyBorder="1" applyAlignment="1" applyProtection="1">
      <alignment horizontal="center" vertical="center"/>
      <protection locked="0"/>
    </xf>
    <xf numFmtId="9" fontId="39" fillId="4" borderId="53" xfId="24" applyFont="1" applyFill="1" applyBorder="1" applyAlignment="1">
      <alignment horizontal="center" vertical="center" wrapText="1"/>
    </xf>
    <xf numFmtId="9" fontId="39" fillId="4" borderId="52" xfId="21" applyFont="1" applyFill="1" applyBorder="1" applyAlignment="1">
      <alignment horizontal="center" vertical="center" wrapText="1"/>
    </xf>
    <xf numFmtId="9" fontId="39" fillId="4" borderId="52" xfId="21" applyFont="1" applyFill="1" applyBorder="1" applyAlignment="1">
      <alignment horizontal="center" vertical="center"/>
    </xf>
    <xf numFmtId="2" fontId="7" fillId="0" borderId="2" xfId="0" applyNumberFormat="1" applyFont="1" applyFill="1" applyBorder="1" applyAlignment="1">
      <alignment horizontal="center" vertical="center"/>
    </xf>
    <xf numFmtId="0" fontId="7" fillId="0" borderId="1" xfId="0" applyFont="1" applyFill="1" applyBorder="1" applyAlignment="1">
      <alignment horizontal="right" vertical="center"/>
    </xf>
    <xf numFmtId="173" fontId="39" fillId="0" borderId="5" xfId="24"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3" fontId="39" fillId="0" borderId="22" xfId="24" applyNumberFormat="1" applyFont="1" applyFill="1" applyBorder="1" applyAlignment="1">
      <alignment horizontal="center" vertical="center" wrapText="1"/>
    </xf>
    <xf numFmtId="190" fontId="7" fillId="0" borderId="2" xfId="0" applyNumberFormat="1" applyFont="1" applyFill="1" applyBorder="1" applyAlignment="1">
      <alignment horizontal="center" vertical="center"/>
    </xf>
    <xf numFmtId="10" fontId="39" fillId="0" borderId="5" xfId="21" applyNumberFormat="1" applyFont="1" applyFill="1" applyBorder="1" applyAlignment="1" applyProtection="1">
      <alignment horizontal="center" vertical="center"/>
      <protection locked="0"/>
    </xf>
    <xf numFmtId="9" fontId="39" fillId="0" borderId="22" xfId="21" applyFont="1" applyFill="1" applyBorder="1" applyAlignment="1">
      <alignment horizontal="center" vertical="center"/>
    </xf>
    <xf numFmtId="9" fontId="39" fillId="0" borderId="5" xfId="21" applyFont="1" applyFill="1" applyBorder="1" applyAlignment="1">
      <alignment horizontal="center" vertical="center" wrapText="1"/>
    </xf>
    <xf numFmtId="9" fontId="39" fillId="0" borderId="22" xfId="24" applyFont="1" applyFill="1" applyBorder="1" applyAlignment="1">
      <alignment horizontal="center" vertical="center" wrapText="1"/>
    </xf>
    <xf numFmtId="10" fontId="39" fillId="0" borderId="22" xfId="21" applyNumberFormat="1" applyFont="1" applyFill="1" applyBorder="1" applyAlignment="1" applyProtection="1">
      <alignment horizontal="center" vertical="center"/>
      <protection locked="0"/>
    </xf>
    <xf numFmtId="10" fontId="57" fillId="0" borderId="1" xfId="21" applyNumberFormat="1" applyFont="1" applyFill="1" applyBorder="1" applyAlignment="1">
      <alignment horizontal="center" vertical="center" wrapText="1"/>
    </xf>
    <xf numFmtId="9" fontId="39" fillId="0" borderId="5" xfId="21" applyFont="1" applyFill="1" applyBorder="1" applyAlignment="1">
      <alignment horizontal="center" vertical="center"/>
    </xf>
    <xf numFmtId="0" fontId="5" fillId="0" borderId="0" xfId="0" applyFont="1" applyAlignment="1">
      <alignment horizontal="center"/>
    </xf>
    <xf numFmtId="0" fontId="0" fillId="3" borderId="0" xfId="0" applyFill="1" applyAlignment="1">
      <alignment horizontal="center"/>
    </xf>
    <xf numFmtId="1" fontId="5" fillId="0" borderId="1" xfId="10" applyNumberFormat="1" applyFont="1" applyFill="1" applyBorder="1" applyAlignment="1">
      <alignment horizontal="center" vertical="center"/>
    </xf>
    <xf numFmtId="176" fontId="7" fillId="0" borderId="0" xfId="2868" applyNumberFormat="1" applyFont="1" applyFill="1" applyBorder="1" applyAlignment="1">
      <alignment horizontal="center" vertical="center"/>
    </xf>
    <xf numFmtId="1" fontId="5" fillId="0" borderId="2" xfId="10" applyNumberFormat="1" applyFont="1" applyFill="1" applyBorder="1" applyAlignment="1">
      <alignment horizontal="center" vertical="center" wrapText="1"/>
    </xf>
    <xf numFmtId="37" fontId="5" fillId="0" borderId="1" xfId="10" applyNumberFormat="1" applyFont="1" applyFill="1" applyBorder="1" applyAlignment="1">
      <alignment horizontal="center" vertical="center"/>
    </xf>
    <xf numFmtId="3" fontId="5" fillId="0" borderId="2" xfId="10" applyNumberFormat="1" applyFont="1" applyFill="1" applyBorder="1" applyAlignment="1">
      <alignment horizontal="center" vertical="center" wrapText="1"/>
    </xf>
    <xf numFmtId="1" fontId="5" fillId="0" borderId="5" xfId="10" applyNumberFormat="1" applyFont="1" applyFill="1" applyBorder="1" applyAlignment="1">
      <alignment horizontal="center" vertical="center" wrapText="1"/>
    </xf>
    <xf numFmtId="1" fontId="5" fillId="0" borderId="2" xfId="10" applyNumberFormat="1" applyFont="1" applyFill="1" applyBorder="1" applyAlignment="1">
      <alignment horizontal="center" vertical="center"/>
    </xf>
    <xf numFmtId="1" fontId="5" fillId="0" borderId="2" xfId="10" applyNumberFormat="1" applyFont="1" applyFill="1" applyBorder="1" applyAlignment="1">
      <alignment vertical="center" wrapText="1"/>
    </xf>
    <xf numFmtId="1" fontId="5" fillId="0" borderId="2" xfId="10" applyNumberFormat="1" applyFont="1" applyFill="1" applyBorder="1" applyAlignment="1" applyProtection="1">
      <alignment horizontal="center" vertical="center" wrapText="1"/>
    </xf>
    <xf numFmtId="1" fontId="5" fillId="0" borderId="2" xfId="10" applyNumberFormat="1" applyFont="1" applyFill="1" applyBorder="1" applyAlignment="1" applyProtection="1">
      <alignment horizontal="center" vertical="center" wrapText="1"/>
      <protection locked="0"/>
    </xf>
    <xf numFmtId="4" fontId="5" fillId="4" borderId="52" xfId="0" applyNumberFormat="1" applyFont="1" applyFill="1" applyBorder="1" applyAlignment="1" applyProtection="1">
      <alignment horizontal="center" vertical="center" wrapText="1"/>
      <protection locked="0"/>
    </xf>
    <xf numFmtId="179" fontId="5" fillId="4" borderId="52" xfId="0" applyNumberFormat="1" applyFont="1" applyFill="1" applyBorder="1" applyAlignment="1">
      <alignment horizontal="center" vertical="center" wrapText="1"/>
    </xf>
    <xf numFmtId="4" fontId="5" fillId="26" borderId="3" xfId="0" applyNumberFormat="1" applyFont="1" applyFill="1" applyBorder="1" applyAlignment="1" applyProtection="1">
      <alignment horizontal="center" vertical="center" wrapText="1"/>
      <protection locked="0"/>
    </xf>
    <xf numFmtId="179" fontId="5" fillId="26" borderId="3" xfId="0" applyNumberFormat="1" applyFont="1" applyFill="1" applyBorder="1" applyAlignment="1">
      <alignment horizontal="center" vertical="center" wrapText="1"/>
    </xf>
    <xf numFmtId="4" fontId="5" fillId="26" borderId="1" xfId="0" applyNumberFormat="1" applyFont="1" applyFill="1" applyBorder="1" applyAlignment="1" applyProtection="1">
      <alignment horizontal="center" vertical="center" wrapText="1"/>
      <protection locked="0"/>
    </xf>
    <xf numFmtId="179" fontId="5" fillId="26" borderId="1" xfId="0" applyNumberFormat="1" applyFont="1" applyFill="1" applyBorder="1" applyAlignment="1">
      <alignment horizontal="center" vertical="center" wrapText="1"/>
    </xf>
    <xf numFmtId="4" fontId="5" fillId="26" borderId="4" xfId="0" applyNumberFormat="1" applyFont="1" applyFill="1" applyBorder="1" applyAlignment="1" applyProtection="1">
      <alignment horizontal="center" vertical="center" wrapText="1"/>
      <protection locked="0"/>
    </xf>
    <xf numFmtId="179" fontId="5" fillId="26" borderId="4"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4" fontId="5" fillId="0" borderId="1" xfId="0" applyNumberFormat="1" applyFont="1" applyFill="1" applyBorder="1" applyAlignment="1" applyProtection="1">
      <alignment horizontal="center" vertical="center" wrapText="1"/>
      <protection locked="0"/>
    </xf>
    <xf numFmtId="179" fontId="5" fillId="0" borderId="1" xfId="0" applyNumberFormat="1" applyFont="1" applyFill="1" applyBorder="1" applyAlignment="1" applyProtection="1">
      <alignment horizontal="center" vertical="center" wrapText="1"/>
      <protection locked="0"/>
    </xf>
    <xf numFmtId="3" fontId="5" fillId="0" borderId="1" xfId="0" applyNumberFormat="1" applyFont="1" applyFill="1" applyBorder="1" applyAlignment="1">
      <alignment vertical="center" wrapText="1"/>
    </xf>
    <xf numFmtId="1" fontId="5" fillId="0" borderId="1" xfId="0" applyNumberFormat="1" applyFont="1" applyFill="1" applyBorder="1" applyAlignment="1">
      <alignment vertical="center" wrapText="1"/>
    </xf>
    <xf numFmtId="2" fontId="5" fillId="0" borderId="2"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4" fontId="5" fillId="0" borderId="2" xfId="0" applyNumberFormat="1" applyFont="1" applyFill="1" applyBorder="1" applyAlignment="1" applyProtection="1">
      <alignment horizontal="center" vertical="center" wrapText="1"/>
      <protection locked="0"/>
    </xf>
    <xf numFmtId="179" fontId="5" fillId="0" borderId="2" xfId="0" applyNumberFormat="1" applyFont="1" applyFill="1" applyBorder="1" applyAlignment="1">
      <alignment horizontal="center" vertical="center" wrapText="1"/>
    </xf>
    <xf numFmtId="183" fontId="5" fillId="0" borderId="5"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191" fontId="5" fillId="0" borderId="5" xfId="0" applyNumberFormat="1" applyFont="1" applyFill="1" applyBorder="1" applyAlignment="1">
      <alignment horizontal="center" vertical="center" wrapText="1"/>
    </xf>
    <xf numFmtId="183" fontId="5" fillId="0" borderId="5" xfId="0" applyNumberFormat="1" applyFont="1" applyFill="1" applyBorder="1" applyAlignment="1" applyProtection="1">
      <alignment horizontal="center" vertical="center" wrapText="1"/>
      <protection locked="0"/>
    </xf>
    <xf numFmtId="182" fontId="5" fillId="0" borderId="5" xfId="0" applyNumberFormat="1" applyFont="1" applyFill="1" applyBorder="1" applyAlignment="1">
      <alignment horizontal="center" vertical="center" wrapText="1"/>
    </xf>
    <xf numFmtId="4" fontId="5" fillId="0" borderId="5" xfId="0" applyNumberFormat="1" applyFont="1" applyFill="1" applyBorder="1" applyAlignment="1" applyProtection="1">
      <alignment horizontal="center" vertical="center" wrapText="1"/>
      <protection locked="0"/>
    </xf>
    <xf numFmtId="179" fontId="5" fillId="0" borderId="5" xfId="0" applyNumberFormat="1" applyFont="1" applyFill="1" applyBorder="1" applyAlignment="1">
      <alignment horizontal="center" vertical="center" wrapText="1"/>
    </xf>
    <xf numFmtId="183" fontId="5" fillId="0" borderId="2"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182" fontId="5" fillId="0" borderId="22" xfId="0" applyNumberFormat="1" applyFont="1" applyFill="1" applyBorder="1" applyAlignment="1">
      <alignment horizontal="center" vertical="center" wrapText="1"/>
    </xf>
    <xf numFmtId="1" fontId="5" fillId="0" borderId="5" xfId="0" applyNumberFormat="1" applyFont="1" applyFill="1" applyBorder="1" applyAlignment="1">
      <alignment horizontal="center" vertical="center"/>
    </xf>
    <xf numFmtId="1" fontId="5" fillId="0" borderId="5" xfId="0" applyNumberFormat="1" applyFont="1" applyFill="1" applyBorder="1" applyAlignment="1">
      <alignment horizontal="center" vertical="center" wrapText="1"/>
    </xf>
    <xf numFmtId="4" fontId="68" fillId="0" borderId="5" xfId="0" applyNumberFormat="1" applyFont="1" applyFill="1" applyBorder="1" applyAlignment="1">
      <alignment horizontal="center" vertical="center" wrapText="1"/>
    </xf>
    <xf numFmtId="0" fontId="5" fillId="0" borderId="1" xfId="0" applyFont="1" applyFill="1" applyBorder="1" applyAlignment="1">
      <alignment horizontal="right" vertical="center"/>
    </xf>
    <xf numFmtId="1"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 fontId="5" fillId="0" borderId="2" xfId="0" applyNumberFormat="1" applyFont="1" applyFill="1" applyBorder="1" applyAlignment="1">
      <alignment horizontal="center" vertical="center" wrapText="1"/>
    </xf>
    <xf numFmtId="2" fontId="5" fillId="0" borderId="1" xfId="10" applyNumberFormat="1" applyFont="1" applyFill="1" applyBorder="1" applyAlignment="1">
      <alignment horizontal="center" vertical="center"/>
    </xf>
    <xf numFmtId="181" fontId="5" fillId="0" borderId="1" xfId="10" applyNumberFormat="1" applyFont="1" applyFill="1" applyBorder="1" applyAlignment="1">
      <alignment vertical="center"/>
    </xf>
    <xf numFmtId="178" fontId="5" fillId="0" borderId="2" xfId="6974" applyNumberFormat="1" applyFont="1" applyFill="1" applyBorder="1" applyAlignment="1">
      <alignment horizontal="center" vertical="center"/>
    </xf>
    <xf numFmtId="2" fontId="5" fillId="0" borderId="5" xfId="10" applyNumberFormat="1" applyFont="1" applyFill="1" applyBorder="1" applyAlignment="1">
      <alignment horizontal="center" vertical="center"/>
    </xf>
    <xf numFmtId="181" fontId="5" fillId="4" borderId="71" xfId="10" applyNumberFormat="1" applyFont="1" applyFill="1" applyBorder="1" applyAlignment="1">
      <alignment vertical="center"/>
    </xf>
    <xf numFmtId="4" fontId="5" fillId="26" borderId="10" xfId="0" applyNumberFormat="1" applyFont="1" applyFill="1" applyBorder="1" applyAlignment="1">
      <alignment horizontal="center" vertical="center" wrapText="1"/>
    </xf>
    <xf numFmtId="4" fontId="5" fillId="26" borderId="12" xfId="0" applyNumberFormat="1" applyFont="1" applyFill="1" applyBorder="1" applyAlignment="1">
      <alignment horizontal="center" vertical="center" wrapText="1"/>
    </xf>
    <xf numFmtId="0" fontId="5" fillId="0" borderId="1" xfId="0" applyFont="1" applyFill="1" applyBorder="1" applyAlignment="1" applyProtection="1">
      <alignment horizontal="justify" vertical="center" wrapText="1"/>
      <protection locked="0"/>
    </xf>
    <xf numFmtId="3" fontId="5" fillId="0" borderId="1" xfId="0" applyNumberFormat="1" applyFont="1" applyFill="1" applyBorder="1" applyAlignment="1">
      <alignment horizontal="center" vertical="center"/>
    </xf>
    <xf numFmtId="3" fontId="5" fillId="0" borderId="1" xfId="5" applyNumberFormat="1" applyFont="1" applyFill="1" applyBorder="1" applyAlignment="1">
      <alignment vertical="center"/>
    </xf>
    <xf numFmtId="3" fontId="5" fillId="0" borderId="1" xfId="5" applyNumberFormat="1" applyFont="1" applyFill="1" applyBorder="1" applyAlignment="1">
      <alignment horizontal="center" vertical="center"/>
    </xf>
    <xf numFmtId="3" fontId="5" fillId="0" borderId="1" xfId="5" applyNumberFormat="1" applyFont="1" applyFill="1" applyBorder="1" applyAlignment="1">
      <alignment horizontal="left" vertical="center"/>
    </xf>
    <xf numFmtId="4" fontId="5" fillId="0" borderId="1" xfId="5" applyNumberFormat="1" applyFont="1" applyFill="1" applyBorder="1" applyAlignment="1">
      <alignment vertical="center"/>
    </xf>
    <xf numFmtId="3" fontId="5" fillId="0" borderId="1" xfId="2868" applyNumberFormat="1" applyFont="1" applyFill="1" applyBorder="1" applyAlignment="1">
      <alignment vertical="center"/>
    </xf>
    <xf numFmtId="3" fontId="5" fillId="0" borderId="1" xfId="2868" applyNumberFormat="1" applyFont="1" applyFill="1" applyBorder="1" applyAlignment="1">
      <alignment horizontal="center" vertical="center"/>
    </xf>
    <xf numFmtId="4" fontId="5" fillId="0" borderId="1" xfId="2868" applyNumberFormat="1" applyFont="1" applyFill="1" applyBorder="1" applyAlignment="1">
      <alignment horizontal="center" vertical="center"/>
    </xf>
    <xf numFmtId="10" fontId="57" fillId="0" borderId="1" xfId="24" applyNumberFormat="1" applyFont="1" applyFill="1" applyBorder="1" applyAlignment="1" applyProtection="1">
      <alignment horizontal="center" vertical="center"/>
      <protection locked="0"/>
    </xf>
    <xf numFmtId="10" fontId="57" fillId="0" borderId="1" xfId="24" applyNumberFormat="1" applyFont="1" applyFill="1" applyBorder="1" applyAlignment="1">
      <alignment horizontal="center" vertical="center"/>
    </xf>
    <xf numFmtId="10" fontId="57" fillId="0" borderId="1" xfId="24" applyNumberFormat="1" applyFont="1" applyFill="1" applyBorder="1" applyAlignment="1">
      <alignment horizontal="center" vertical="center" wrapText="1"/>
    </xf>
    <xf numFmtId="3" fontId="57"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center" vertical="center" wrapText="1"/>
      <protection locked="0"/>
    </xf>
    <xf numFmtId="3" fontId="5" fillId="0" borderId="1" xfId="0" applyNumberFormat="1" applyFont="1" applyFill="1" applyBorder="1" applyAlignment="1" applyProtection="1">
      <alignment horizontal="justify" vertical="center" wrapText="1"/>
      <protection locked="0"/>
    </xf>
    <xf numFmtId="176" fontId="5" fillId="0" borderId="1" xfId="5" applyNumberFormat="1" applyFont="1" applyFill="1" applyBorder="1" applyAlignment="1">
      <alignment horizontal="center" vertical="center"/>
    </xf>
    <xf numFmtId="176" fontId="5" fillId="0" borderId="1" xfId="5" applyNumberFormat="1" applyFont="1" applyFill="1" applyBorder="1" applyAlignment="1">
      <alignment horizontal="left" vertical="center"/>
    </xf>
    <xf numFmtId="176" fontId="5" fillId="0" borderId="1" xfId="5" applyNumberFormat="1" applyFont="1" applyFill="1" applyBorder="1" applyAlignment="1">
      <alignment vertical="center"/>
    </xf>
    <xf numFmtId="170" fontId="5" fillId="0" borderId="1" xfId="5" applyFont="1" applyFill="1" applyBorder="1" applyAlignment="1">
      <alignment horizontal="left" vertical="center"/>
    </xf>
    <xf numFmtId="170" fontId="5" fillId="0" borderId="1" xfId="5" applyFont="1" applyFill="1" applyBorder="1" applyAlignment="1">
      <alignment vertical="center"/>
    </xf>
    <xf numFmtId="170" fontId="5" fillId="0" borderId="1" xfId="2868" applyFont="1" applyFill="1" applyBorder="1" applyAlignment="1">
      <alignment horizontal="center" vertical="center"/>
    </xf>
    <xf numFmtId="183"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9" fontId="16" fillId="0" borderId="1" xfId="0" applyNumberFormat="1" applyFont="1" applyFill="1" applyBorder="1" applyAlignment="1">
      <alignment horizontal="center" vertical="center"/>
    </xf>
    <xf numFmtId="4" fontId="16"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xf>
    <xf numFmtId="3" fontId="16" fillId="0" borderId="1" xfId="0" applyNumberFormat="1" applyFont="1" applyFill="1" applyBorder="1" applyAlignment="1">
      <alignment horizontal="center" vertical="center"/>
    </xf>
    <xf numFmtId="169" fontId="19" fillId="0" borderId="0" xfId="3251" applyFont="1" applyFill="1" applyAlignment="1">
      <alignment vertical="center"/>
    </xf>
    <xf numFmtId="192" fontId="19" fillId="0" borderId="0" xfId="9" applyNumberFormat="1" applyFont="1" applyFill="1" applyAlignment="1">
      <alignment vertical="center"/>
    </xf>
    <xf numFmtId="4" fontId="17"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179" fontId="16" fillId="0" borderId="2" xfId="0" applyNumberFormat="1" applyFont="1" applyFill="1" applyBorder="1" applyAlignment="1">
      <alignment horizontal="center" vertical="center"/>
    </xf>
    <xf numFmtId="4" fontId="16" fillId="0" borderId="2" xfId="0" applyNumberFormat="1" applyFont="1" applyFill="1" applyBorder="1" applyAlignment="1">
      <alignment horizontal="center" vertical="center"/>
    </xf>
    <xf numFmtId="3" fontId="16" fillId="0" borderId="2" xfId="0" applyNumberFormat="1" applyFont="1" applyFill="1" applyBorder="1" applyAlignment="1">
      <alignment horizontal="center" vertical="center"/>
    </xf>
    <xf numFmtId="185" fontId="25" fillId="0" borderId="2" xfId="10" applyNumberFormat="1" applyFont="1" applyFill="1" applyBorder="1" applyAlignment="1">
      <alignment horizontal="center" vertical="center" wrapText="1"/>
    </xf>
    <xf numFmtId="179" fontId="16" fillId="0" borderId="3" xfId="0" applyNumberFormat="1" applyFont="1" applyFill="1" applyBorder="1" applyAlignment="1">
      <alignment horizontal="center" vertical="center"/>
    </xf>
    <xf numFmtId="4" fontId="16" fillId="0" borderId="3" xfId="0" applyNumberFormat="1" applyFont="1" applyFill="1" applyBorder="1" applyAlignment="1">
      <alignment horizontal="center" vertical="center"/>
    </xf>
    <xf numFmtId="3" fontId="16" fillId="0" borderId="3" xfId="0" applyNumberFormat="1" applyFont="1" applyFill="1" applyBorder="1" applyAlignment="1">
      <alignment horizontal="center" vertical="center"/>
    </xf>
    <xf numFmtId="182" fontId="16" fillId="0" borderId="3" xfId="0" applyNumberFormat="1" applyFont="1" applyFill="1" applyBorder="1" applyAlignment="1">
      <alignment horizontal="center" vertical="center"/>
    </xf>
    <xf numFmtId="182" fontId="16" fillId="0" borderId="10" xfId="0" applyNumberFormat="1" applyFont="1" applyFill="1" applyBorder="1" applyAlignment="1">
      <alignment horizontal="center" vertical="center"/>
    </xf>
    <xf numFmtId="4" fontId="16" fillId="0" borderId="11" xfId="0" applyNumberFormat="1" applyFont="1" applyFill="1" applyBorder="1" applyAlignment="1">
      <alignment horizontal="center" vertical="center"/>
    </xf>
    <xf numFmtId="183" fontId="4" fillId="0" borderId="1" xfId="0" applyNumberFormat="1" applyFont="1" applyFill="1" applyBorder="1" applyAlignment="1">
      <alignment horizontal="center" vertical="center"/>
    </xf>
    <xf numFmtId="182" fontId="16" fillId="0" borderId="1" xfId="0" applyNumberFormat="1" applyFont="1" applyFill="1" applyBorder="1" applyAlignment="1">
      <alignment horizontal="center" vertical="center"/>
    </xf>
    <xf numFmtId="182" fontId="16" fillId="0" borderId="11" xfId="0" applyNumberFormat="1" applyFont="1" applyFill="1" applyBorder="1" applyAlignment="1">
      <alignment horizontal="center" vertical="center"/>
    </xf>
    <xf numFmtId="179" fontId="16" fillId="0" borderId="4" xfId="0" applyNumberFormat="1" applyFont="1" applyFill="1" applyBorder="1" applyAlignment="1">
      <alignment horizontal="center" vertical="center"/>
    </xf>
    <xf numFmtId="4" fontId="16" fillId="0" borderId="4" xfId="0" applyNumberFormat="1" applyFont="1" applyFill="1" applyBorder="1" applyAlignment="1">
      <alignment horizontal="center" vertical="center"/>
    </xf>
    <xf numFmtId="3" fontId="16" fillId="0" borderId="4" xfId="0" applyNumberFormat="1" applyFont="1" applyFill="1" applyBorder="1" applyAlignment="1">
      <alignment horizontal="center" vertical="center"/>
    </xf>
    <xf numFmtId="185" fontId="25" fillId="0" borderId="4" xfId="10" applyNumberFormat="1" applyFont="1" applyFill="1" applyBorder="1" applyAlignment="1">
      <alignment horizontal="center" vertical="center" wrapText="1"/>
    </xf>
    <xf numFmtId="42" fontId="16" fillId="0" borderId="4" xfId="3301" applyFont="1" applyFill="1" applyBorder="1" applyAlignment="1">
      <alignment horizontal="center" vertical="center"/>
    </xf>
    <xf numFmtId="4" fontId="16" fillId="0" borderId="12" xfId="0" applyNumberFormat="1" applyFont="1" applyFill="1" applyBorder="1" applyAlignment="1">
      <alignment horizontal="center" vertical="center"/>
    </xf>
    <xf numFmtId="183" fontId="16" fillId="0" borderId="5" xfId="0" applyNumberFormat="1" applyFont="1" applyFill="1" applyBorder="1" applyAlignment="1">
      <alignment horizontal="center" vertical="center"/>
    </xf>
    <xf numFmtId="3" fontId="16" fillId="0" borderId="5" xfId="0" applyNumberFormat="1" applyFont="1" applyFill="1" applyBorder="1" applyAlignment="1">
      <alignment horizontal="center" vertical="center"/>
    </xf>
    <xf numFmtId="4" fontId="16" fillId="0" borderId="5" xfId="0" applyNumberFormat="1" applyFont="1" applyFill="1" applyBorder="1" applyAlignment="1">
      <alignment horizontal="center" vertical="center"/>
    </xf>
    <xf numFmtId="3" fontId="4" fillId="0" borderId="5"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183" fontId="16"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183" fontId="16" fillId="0" borderId="2"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3" fontId="16" fillId="0" borderId="1" xfId="0" applyNumberFormat="1" applyFont="1" applyFill="1" applyBorder="1" applyAlignment="1">
      <alignment horizontal="center" vertical="center" wrapText="1"/>
    </xf>
    <xf numFmtId="4" fontId="16" fillId="0" borderId="1" xfId="3296" applyNumberFormat="1" applyFont="1" applyFill="1" applyBorder="1" applyAlignment="1">
      <alignment horizontal="center" vertical="center"/>
    </xf>
    <xf numFmtId="0" fontId="73" fillId="0" borderId="1" xfId="0" applyFont="1" applyFill="1" applyBorder="1" applyAlignment="1">
      <alignment horizontal="center" vertical="center"/>
    </xf>
    <xf numFmtId="0" fontId="16" fillId="0" borderId="1" xfId="0" applyFont="1" applyFill="1" applyBorder="1" applyAlignment="1">
      <alignment horizontal="center" vertical="center"/>
    </xf>
    <xf numFmtId="4" fontId="16" fillId="0" borderId="1" xfId="0" applyNumberFormat="1" applyFont="1" applyFill="1" applyBorder="1" applyAlignment="1">
      <alignment horizontal="center" vertical="center" wrapText="1"/>
    </xf>
    <xf numFmtId="183" fontId="16" fillId="0" borderId="1" xfId="0" applyNumberFormat="1" applyFont="1" applyFill="1" applyBorder="1" applyAlignment="1">
      <alignment horizontal="center" vertical="center" wrapText="1"/>
    </xf>
    <xf numFmtId="188" fontId="73" fillId="0" borderId="1" xfId="0" applyNumberFormat="1" applyFont="1" applyFill="1" applyBorder="1" applyAlignment="1">
      <alignment horizontal="center" vertical="center"/>
    </xf>
    <xf numFmtId="188" fontId="16" fillId="0" borderId="1" xfId="0" applyNumberFormat="1" applyFont="1" applyFill="1" applyBorder="1" applyAlignment="1">
      <alignment horizontal="center" vertical="center"/>
    </xf>
    <xf numFmtId="170" fontId="73" fillId="0" borderId="1" xfId="2868" applyFont="1" applyFill="1" applyBorder="1" applyAlignment="1">
      <alignment horizontal="center" vertical="center"/>
    </xf>
    <xf numFmtId="4" fontId="73" fillId="0" borderId="1" xfId="0" applyNumberFormat="1" applyFont="1" applyFill="1" applyBorder="1" applyAlignment="1">
      <alignment horizontal="center" vertical="center"/>
    </xf>
    <xf numFmtId="37" fontId="16" fillId="0" borderId="1" xfId="0" applyNumberFormat="1" applyFont="1" applyFill="1" applyBorder="1" applyAlignment="1">
      <alignment horizontal="center" vertical="center"/>
    </xf>
    <xf numFmtId="169" fontId="73" fillId="0" borderId="1" xfId="3251" applyFont="1" applyFill="1" applyBorder="1" applyAlignment="1">
      <alignment horizontal="center" vertical="center"/>
    </xf>
    <xf numFmtId="42" fontId="16" fillId="0" borderId="1" xfId="0" applyNumberFormat="1" applyFont="1" applyFill="1" applyBorder="1" applyAlignment="1">
      <alignment horizontal="center" vertical="center" wrapText="1"/>
    </xf>
    <xf numFmtId="0" fontId="9" fillId="17" borderId="41" xfId="0" applyFont="1" applyFill="1" applyBorder="1" applyAlignment="1">
      <alignment horizontal="left" vertical="center" wrapText="1"/>
    </xf>
    <xf numFmtId="0" fontId="9" fillId="17" borderId="32" xfId="0" applyFont="1" applyFill="1" applyBorder="1" applyAlignment="1">
      <alignment horizontal="left"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29" fillId="0" borderId="23" xfId="0" applyFont="1" applyBorder="1" applyAlignment="1">
      <alignment horizontal="center"/>
    </xf>
    <xf numFmtId="0" fontId="29" fillId="0" borderId="24" xfId="0" applyFont="1" applyBorder="1" applyAlignment="1">
      <alignment horizontal="center"/>
    </xf>
    <xf numFmtId="0" fontId="29" fillId="0" borderId="38" xfId="0" applyFont="1" applyBorder="1" applyAlignment="1">
      <alignment horizontal="center"/>
    </xf>
    <xf numFmtId="0" fontId="29" fillId="0" borderId="26" xfId="0" applyFont="1" applyBorder="1" applyAlignment="1">
      <alignment horizontal="center"/>
    </xf>
    <xf numFmtId="0" fontId="29" fillId="0" borderId="0" xfId="0" applyFont="1" applyAlignment="1">
      <alignment horizontal="center"/>
    </xf>
    <xf numFmtId="0" fontId="29" fillId="0" borderId="27" xfId="0" applyFont="1" applyBorder="1" applyAlignment="1">
      <alignment horizontal="center"/>
    </xf>
    <xf numFmtId="0" fontId="29" fillId="0" borderId="28" xfId="0" applyFont="1" applyBorder="1" applyAlignment="1">
      <alignment horizontal="center"/>
    </xf>
    <xf numFmtId="0" fontId="29" fillId="0" borderId="29" xfId="0" applyFont="1" applyBorder="1" applyAlignment="1">
      <alignment horizontal="center"/>
    </xf>
    <xf numFmtId="0" fontId="29" fillId="0" borderId="39" xfId="0" applyFont="1" applyBorder="1" applyAlignment="1">
      <alignment horizontal="center"/>
    </xf>
    <xf numFmtId="0" fontId="65" fillId="17" borderId="32" xfId="0" applyFont="1" applyFill="1" applyBorder="1" applyAlignment="1">
      <alignment horizontal="center" vertical="center" wrapText="1"/>
    </xf>
    <xf numFmtId="0" fontId="65" fillId="17" borderId="33" xfId="0" applyFont="1" applyFill="1" applyBorder="1" applyAlignment="1">
      <alignment horizontal="center" vertical="center" wrapText="1"/>
    </xf>
    <xf numFmtId="0" fontId="67" fillId="17" borderId="30" xfId="0" applyFont="1" applyFill="1" applyBorder="1" applyAlignment="1">
      <alignment horizontal="center"/>
    </xf>
    <xf numFmtId="0" fontId="28" fillId="3" borderId="49" xfId="0" applyFont="1" applyFill="1" applyBorder="1" applyAlignment="1">
      <alignment vertical="center" wrapText="1"/>
    </xf>
    <xf numFmtId="0" fontId="28" fillId="3" borderId="48" xfId="0" applyFont="1" applyFill="1" applyBorder="1" applyAlignment="1">
      <alignment horizontal="left" vertical="center" wrapText="1"/>
    </xf>
    <xf numFmtId="0" fontId="28" fillId="3" borderId="49" xfId="0" applyFont="1" applyFill="1" applyBorder="1" applyAlignment="1">
      <alignment horizontal="left" vertical="center" wrapText="1"/>
    </xf>
    <xf numFmtId="0" fontId="28" fillId="3" borderId="50" xfId="0" applyFont="1" applyFill="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9" xfId="0" applyFont="1" applyBorder="1" applyAlignment="1">
      <alignment horizontal="left" vertical="center" wrapText="1"/>
    </xf>
    <xf numFmtId="0" fontId="10" fillId="17" borderId="10"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0" fillId="17" borderId="19" xfId="0" applyFont="1" applyFill="1" applyBorder="1" applyAlignment="1">
      <alignment horizontal="center" vertical="center" wrapText="1"/>
    </xf>
    <xf numFmtId="0" fontId="61" fillId="17" borderId="48" xfId="0" applyFont="1" applyFill="1" applyBorder="1" applyAlignment="1">
      <alignment horizontal="center" vertical="center" wrapText="1"/>
    </xf>
    <xf numFmtId="0" fontId="61" fillId="17" borderId="49" xfId="0" applyFont="1" applyFill="1" applyBorder="1" applyAlignment="1">
      <alignment horizontal="center" vertical="center" wrapText="1"/>
    </xf>
    <xf numFmtId="0" fontId="61" fillId="17" borderId="50" xfId="0" applyFont="1" applyFill="1" applyBorder="1" applyAlignment="1">
      <alignment horizontal="center" vertical="center" wrapText="1"/>
    </xf>
    <xf numFmtId="0" fontId="61" fillId="17" borderId="24" xfId="0" applyFont="1" applyFill="1" applyBorder="1" applyAlignment="1">
      <alignment horizontal="center" vertical="center" wrapText="1"/>
    </xf>
    <xf numFmtId="0" fontId="9" fillId="18" borderId="51" xfId="0" applyFont="1" applyFill="1" applyBorder="1" applyAlignment="1">
      <alignment horizontal="center" vertical="center" wrapText="1"/>
    </xf>
    <xf numFmtId="0" fontId="9" fillId="18" borderId="59" xfId="0" applyFont="1" applyFill="1" applyBorder="1" applyAlignment="1">
      <alignment horizontal="center" vertical="center" wrapText="1"/>
    </xf>
    <xf numFmtId="0" fontId="10" fillId="22" borderId="51"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9" fillId="24" borderId="51" xfId="0" applyFont="1" applyFill="1" applyBorder="1" applyAlignment="1">
      <alignment horizontal="center" vertical="center" wrapText="1"/>
    </xf>
    <xf numFmtId="0" fontId="9" fillId="24" borderId="59" xfId="0" applyFont="1" applyFill="1" applyBorder="1" applyAlignment="1">
      <alignment horizontal="center" vertical="center" wrapText="1"/>
    </xf>
    <xf numFmtId="0" fontId="61" fillId="22" borderId="48" xfId="0" applyFont="1" applyFill="1" applyBorder="1" applyAlignment="1">
      <alignment horizontal="center" vertical="center"/>
    </xf>
    <xf numFmtId="0" fontId="61" fillId="22" borderId="49" xfId="0" applyFont="1" applyFill="1" applyBorder="1" applyAlignment="1">
      <alignment horizontal="center" vertical="center"/>
    </xf>
    <xf numFmtId="0" fontId="61" fillId="22" borderId="50" xfId="0" applyFont="1" applyFill="1" applyBorder="1" applyAlignment="1">
      <alignment horizontal="center" vertical="center"/>
    </xf>
    <xf numFmtId="0" fontId="10" fillId="17" borderId="37" xfId="0" applyFont="1" applyFill="1" applyBorder="1" applyAlignment="1">
      <alignment horizontal="center" vertical="center" wrapText="1"/>
    </xf>
    <xf numFmtId="0" fontId="10" fillId="17" borderId="7" xfId="0" applyFont="1" applyFill="1" applyBorder="1" applyAlignment="1">
      <alignment horizontal="center" vertical="center" wrapText="1"/>
    </xf>
    <xf numFmtId="0" fontId="10" fillId="17" borderId="73"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5" fillId="16" borderId="8" xfId="0" applyFont="1" applyFill="1" applyBorder="1" applyAlignment="1">
      <alignment horizontal="center" vertical="center"/>
    </xf>
    <xf numFmtId="0" fontId="45" fillId="16" borderId="6" xfId="0" applyFont="1" applyFill="1" applyBorder="1" applyAlignment="1">
      <alignment horizontal="center" vertical="center"/>
    </xf>
    <xf numFmtId="0" fontId="45" fillId="16" borderId="7" xfId="0" applyFont="1" applyFill="1" applyBorder="1" applyAlignment="1">
      <alignment horizontal="center" vertical="center"/>
    </xf>
    <xf numFmtId="0" fontId="45" fillId="16" borderId="8" xfId="0" applyFont="1" applyFill="1" applyBorder="1" applyAlignment="1">
      <alignment horizontal="center" vertical="center" wrapText="1"/>
    </xf>
    <xf numFmtId="0" fontId="45" fillId="16" borderId="6" xfId="0" applyFont="1" applyFill="1" applyBorder="1" applyAlignment="1">
      <alignment horizontal="center" vertical="center" wrapText="1"/>
    </xf>
    <xf numFmtId="0" fontId="43" fillId="0" borderId="8"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6" fontId="76" fillId="0" borderId="49" xfId="0" applyNumberFormat="1" applyFont="1" applyBorder="1" applyAlignment="1">
      <alignment horizontal="center" vertical="center" wrapText="1"/>
    </xf>
    <xf numFmtId="6" fontId="76" fillId="0" borderId="50" xfId="0" applyNumberFormat="1" applyFont="1" applyBorder="1" applyAlignment="1">
      <alignment horizontal="center" vertical="center" wrapText="1"/>
    </xf>
    <xf numFmtId="0" fontId="5" fillId="0" borderId="1" xfId="0" applyFont="1" applyFill="1" applyBorder="1" applyAlignment="1" applyProtection="1">
      <alignment horizontal="justify" vertical="top" wrapText="1"/>
      <protection locked="0"/>
    </xf>
    <xf numFmtId="0" fontId="5" fillId="0" borderId="7" xfId="0" applyFont="1" applyFill="1" applyBorder="1" applyAlignment="1" applyProtection="1">
      <alignment horizontal="justify" vertical="top" wrapText="1"/>
      <protection locked="0"/>
    </xf>
    <xf numFmtId="0" fontId="5" fillId="0" borderId="1" xfId="0" applyFont="1" applyFill="1" applyBorder="1" applyAlignment="1" applyProtection="1">
      <alignment horizontal="center" vertical="center" wrapText="1"/>
      <protection locked="0"/>
    </xf>
    <xf numFmtId="10" fontId="39" fillId="17" borderId="0" xfId="21" applyNumberFormat="1" applyFont="1" applyFill="1" applyBorder="1" applyAlignment="1">
      <alignment horizontal="center" vertical="center"/>
    </xf>
    <xf numFmtId="10" fontId="39" fillId="17" borderId="55" xfId="21" applyNumberFormat="1" applyFont="1" applyFill="1" applyBorder="1" applyAlignment="1">
      <alignment horizontal="center" vertical="center"/>
    </xf>
    <xf numFmtId="10" fontId="39" fillId="17" borderId="73" xfId="21" applyNumberFormat="1" applyFont="1" applyFill="1" applyBorder="1" applyAlignment="1">
      <alignment horizontal="center" vertical="center"/>
    </xf>
    <xf numFmtId="10" fontId="39" fillId="17" borderId="9" xfId="21" applyNumberFormat="1" applyFont="1" applyFill="1" applyBorder="1" applyAlignment="1">
      <alignment horizontal="center" vertical="center"/>
    </xf>
    <xf numFmtId="10" fontId="39" fillId="17" borderId="43" xfId="21" applyNumberFormat="1" applyFont="1" applyFill="1" applyBorder="1" applyAlignment="1">
      <alignment horizontal="center" vertical="center"/>
    </xf>
    <xf numFmtId="10" fontId="39" fillId="17" borderId="44" xfId="21"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61" fillId="22" borderId="40" xfId="0" applyFont="1" applyFill="1" applyBorder="1" applyAlignment="1">
      <alignment horizontal="center" vertical="center"/>
    </xf>
    <xf numFmtId="0" fontId="61" fillId="22" borderId="44" xfId="0" applyFont="1" applyFill="1" applyBorder="1" applyAlignment="1">
      <alignment horizontal="center" vertical="center"/>
    </xf>
    <xf numFmtId="0" fontId="61" fillId="22" borderId="5" xfId="0" applyFont="1" applyFill="1" applyBorder="1" applyAlignment="1">
      <alignment horizontal="center" vertical="center"/>
    </xf>
    <xf numFmtId="0" fontId="61" fillId="22" borderId="56" xfId="0" applyFont="1" applyFill="1" applyBorder="1" applyAlignment="1">
      <alignment horizontal="center" vertical="center"/>
    </xf>
    <xf numFmtId="0" fontId="61" fillId="22" borderId="43" xfId="0" applyFont="1" applyFill="1" applyBorder="1" applyAlignment="1">
      <alignment horizontal="center" vertical="center"/>
    </xf>
    <xf numFmtId="0" fontId="5" fillId="0" borderId="7" xfId="0" applyFont="1" applyFill="1" applyBorder="1" applyAlignment="1">
      <alignment horizontal="center" vertical="center" wrapText="1"/>
    </xf>
    <xf numFmtId="0" fontId="61" fillId="22" borderId="23" xfId="0" applyFont="1" applyFill="1" applyBorder="1" applyAlignment="1">
      <alignment horizontal="center" vertical="center" wrapText="1"/>
    </xf>
    <xf numFmtId="0" fontId="61" fillId="22" borderId="26" xfId="0" applyFont="1" applyFill="1" applyBorder="1" applyAlignment="1">
      <alignment horizontal="center" vertical="center" wrapText="1"/>
    </xf>
    <xf numFmtId="0" fontId="10" fillId="17" borderId="17" xfId="0" applyFont="1" applyFill="1" applyBorder="1" applyAlignment="1">
      <alignment horizontal="center" vertical="center" wrapText="1"/>
    </xf>
    <xf numFmtId="0" fontId="10" fillId="17" borderId="18" xfId="0" applyFont="1" applyFill="1" applyBorder="1" applyAlignment="1">
      <alignment horizontal="center" vertical="center" wrapText="1"/>
    </xf>
    <xf numFmtId="0" fontId="10" fillId="17" borderId="20" xfId="0" applyFont="1" applyFill="1" applyBorder="1" applyAlignment="1">
      <alignment horizontal="center" vertical="center" wrapText="1"/>
    </xf>
    <xf numFmtId="0" fontId="9" fillId="22" borderId="51" xfId="0" applyFont="1" applyFill="1" applyBorder="1" applyAlignment="1">
      <alignment horizontal="center" vertical="center" wrapText="1"/>
    </xf>
    <xf numFmtId="0" fontId="9" fillId="22" borderId="59"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8"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9" xfId="0" applyBorder="1" applyAlignment="1">
      <alignment horizontal="center"/>
    </xf>
    <xf numFmtId="0" fontId="9" fillId="17" borderId="48" xfId="0" applyFont="1" applyFill="1" applyBorder="1" applyAlignment="1">
      <alignment horizontal="center" vertical="center" wrapText="1"/>
    </xf>
    <xf numFmtId="0" fontId="9" fillId="17" borderId="49" xfId="0" applyFont="1" applyFill="1" applyBorder="1" applyAlignment="1">
      <alignment horizontal="center" vertical="center" wrapText="1"/>
    </xf>
    <xf numFmtId="0" fontId="9" fillId="17" borderId="50" xfId="0" applyFont="1" applyFill="1" applyBorder="1" applyAlignment="1">
      <alignment horizontal="center" vertical="center" wrapText="1"/>
    </xf>
    <xf numFmtId="0" fontId="61" fillId="17" borderId="23" xfId="0" applyFont="1" applyFill="1" applyBorder="1" applyAlignment="1">
      <alignment horizontal="center" vertical="center" wrapText="1"/>
    </xf>
    <xf numFmtId="0" fontId="61" fillId="17" borderId="38" xfId="0" applyFont="1" applyFill="1" applyBorder="1" applyAlignment="1">
      <alignment horizontal="center" vertical="center" wrapText="1"/>
    </xf>
    <xf numFmtId="0" fontId="61" fillId="17" borderId="28" xfId="0" applyFont="1" applyFill="1" applyBorder="1" applyAlignment="1">
      <alignment horizontal="center" vertical="center" wrapText="1"/>
    </xf>
    <xf numFmtId="0" fontId="61" fillId="17" borderId="29" xfId="0" applyFont="1" applyFill="1" applyBorder="1" applyAlignment="1">
      <alignment horizontal="center" vertical="center" wrapText="1"/>
    </xf>
    <xf numFmtId="0" fontId="61" fillId="17" borderId="39" xfId="0" applyFont="1" applyFill="1" applyBorder="1" applyAlignment="1">
      <alignment horizontal="center" vertical="center" wrapText="1"/>
    </xf>
    <xf numFmtId="0" fontId="66" fillId="17" borderId="6" xfId="0" applyFont="1" applyFill="1" applyBorder="1" applyAlignment="1">
      <alignment horizontal="center" vertical="center" wrapText="1"/>
    </xf>
    <xf numFmtId="0" fontId="66" fillId="17" borderId="55" xfId="0" applyFont="1" applyFill="1" applyBorder="1" applyAlignment="1">
      <alignment horizontal="center" vertical="center" wrapText="1"/>
    </xf>
    <xf numFmtId="0" fontId="66" fillId="17" borderId="57" xfId="0" applyFont="1" applyFill="1" applyBorder="1" applyAlignment="1">
      <alignment horizontal="center" vertical="center" wrapText="1"/>
    </xf>
    <xf numFmtId="0" fontId="28" fillId="0" borderId="48" xfId="0" applyFont="1" applyBorder="1" applyAlignment="1">
      <alignment horizontal="left" vertical="center"/>
    </xf>
    <xf numFmtId="0" fontId="28" fillId="0" borderId="49" xfId="0" applyFont="1" applyBorder="1" applyAlignment="1">
      <alignment horizontal="left" vertical="center"/>
    </xf>
    <xf numFmtId="0" fontId="61" fillId="17" borderId="24" xfId="0" applyFont="1" applyFill="1" applyBorder="1" applyAlignment="1">
      <alignment horizontal="center" vertical="center"/>
    </xf>
    <xf numFmtId="0" fontId="61" fillId="17" borderId="49" xfId="0" applyFont="1" applyFill="1" applyBorder="1" applyAlignment="1">
      <alignment horizontal="center" vertical="center"/>
    </xf>
    <xf numFmtId="0" fontId="28" fillId="0" borderId="50" xfId="0" applyFont="1" applyBorder="1" applyAlignment="1">
      <alignment horizontal="left" vertical="center"/>
    </xf>
    <xf numFmtId="0" fontId="5" fillId="0" borderId="59" xfId="0" applyFont="1" applyBorder="1" applyAlignment="1">
      <alignment vertical="center" wrapText="1"/>
    </xf>
    <xf numFmtId="0" fontId="5" fillId="0" borderId="40" xfId="0" applyFont="1" applyBorder="1" applyAlignment="1">
      <alignment vertical="center" wrapText="1"/>
    </xf>
    <xf numFmtId="0" fontId="5" fillId="0" borderId="18" xfId="0" applyFont="1" applyBorder="1" applyAlignment="1">
      <alignment vertical="center" wrapText="1"/>
    </xf>
    <xf numFmtId="0" fontId="5" fillId="0" borderId="20"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5" xfId="0" applyFont="1" applyBorder="1" applyAlignment="1">
      <alignment horizontal="justify" vertical="center" wrapText="1"/>
    </xf>
    <xf numFmtId="0" fontId="5" fillId="0" borderId="22" xfId="0" applyFont="1" applyBorder="1" applyAlignment="1">
      <alignment horizontal="justify" vertical="center" wrapText="1"/>
    </xf>
    <xf numFmtId="0" fontId="5" fillId="0" borderId="36"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4" xfId="0" applyFont="1" applyBorder="1" applyAlignment="1">
      <alignment horizontal="justify" vertical="center" wrapText="1"/>
    </xf>
    <xf numFmtId="0" fontId="2" fillId="17" borderId="26" xfId="0" applyFont="1" applyFill="1" applyBorder="1" applyAlignment="1" applyProtection="1">
      <alignment horizontal="center" vertical="center" wrapText="1"/>
      <protection locked="0"/>
    </xf>
    <xf numFmtId="0" fontId="2" fillId="17" borderId="0" xfId="0" applyFont="1" applyFill="1" applyAlignment="1" applyProtection="1">
      <alignment horizontal="center" vertical="center" wrapText="1"/>
      <protection locked="0"/>
    </xf>
    <xf numFmtId="0" fontId="2" fillId="17" borderId="28" xfId="0" applyFont="1" applyFill="1" applyBorder="1" applyAlignment="1" applyProtection="1">
      <alignment horizontal="center" vertical="center" wrapText="1"/>
      <protection locked="0"/>
    </xf>
    <xf numFmtId="0" fontId="2" fillId="17" borderId="29" xfId="0" applyFont="1" applyFill="1" applyBorder="1" applyAlignment="1" applyProtection="1">
      <alignment horizontal="center" vertical="center" wrapText="1"/>
      <protection locked="0"/>
    </xf>
    <xf numFmtId="0" fontId="5" fillId="0" borderId="14" xfId="0" applyFont="1" applyBorder="1" applyAlignment="1">
      <alignment horizontal="justify" vertical="center" wrapText="1"/>
    </xf>
    <xf numFmtId="0" fontId="5" fillId="0" borderId="15" xfId="0" applyFont="1" applyBorder="1" applyAlignment="1">
      <alignment horizontal="justify" vertical="center" wrapText="1"/>
    </xf>
    <xf numFmtId="0" fontId="10" fillId="0" borderId="4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63"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80" fillId="0" borderId="21" xfId="3248"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9" xfId="0" applyFont="1" applyFill="1" applyBorder="1" applyAlignment="1">
      <alignment horizontal="justify" vertical="top" wrapText="1"/>
    </xf>
    <xf numFmtId="0" fontId="5" fillId="0" borderId="44" xfId="0" applyFont="1" applyFill="1" applyBorder="1" applyAlignment="1">
      <alignment horizontal="justify" vertical="top" wrapText="1"/>
    </xf>
    <xf numFmtId="0" fontId="30" fillId="17" borderId="17" xfId="0" applyFont="1" applyFill="1" applyBorder="1" applyAlignment="1">
      <alignment horizontal="center" vertical="center" wrapText="1"/>
    </xf>
    <xf numFmtId="0" fontId="30" fillId="17" borderId="3" xfId="0" applyFont="1" applyFill="1" applyBorder="1" applyAlignment="1">
      <alignment horizontal="center" vertical="center" wrapText="1"/>
    </xf>
    <xf numFmtId="0" fontId="30" fillId="17" borderId="10" xfId="0" applyFont="1" applyFill="1" applyBorder="1" applyAlignment="1">
      <alignment horizontal="center" vertical="center" wrapText="1"/>
    </xf>
    <xf numFmtId="0" fontId="68" fillId="17" borderId="18" xfId="0" applyFont="1" applyFill="1" applyBorder="1" applyAlignment="1">
      <alignment horizontal="center" vertical="center" wrapText="1"/>
    </xf>
    <xf numFmtId="0" fontId="68" fillId="17" borderId="1" xfId="0" applyFont="1" applyFill="1" applyBorder="1" applyAlignment="1">
      <alignment horizontal="center" vertical="center" wrapText="1"/>
    </xf>
    <xf numFmtId="0" fontId="68" fillId="17" borderId="11" xfId="0" applyFont="1" applyFill="1" applyBorder="1" applyAlignment="1">
      <alignment horizontal="center" vertical="center" wrapText="1"/>
    </xf>
    <xf numFmtId="0" fontId="28" fillId="3" borderId="45" xfId="0" applyFont="1" applyFill="1" applyBorder="1" applyAlignment="1">
      <alignment horizontal="left" vertical="center" wrapText="1"/>
    </xf>
    <xf numFmtId="0" fontId="28" fillId="3" borderId="30" xfId="0" applyFont="1" applyFill="1" applyBorder="1" applyAlignment="1">
      <alignment horizontal="left" vertical="center" wrapText="1"/>
    </xf>
    <xf numFmtId="0" fontId="28" fillId="3" borderId="46" xfId="0" applyFont="1" applyFill="1" applyBorder="1" applyAlignment="1">
      <alignment horizontal="left" vertical="center" wrapText="1"/>
    </xf>
    <xf numFmtId="0" fontId="9" fillId="17" borderId="33"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38" xfId="0" applyFont="1" applyFill="1" applyBorder="1" applyAlignment="1">
      <alignment horizontal="left" vertical="center" wrapText="1"/>
    </xf>
    <xf numFmtId="0" fontId="9" fillId="17" borderId="45" xfId="0" applyFont="1" applyFill="1" applyBorder="1" applyAlignment="1">
      <alignment horizontal="left" vertical="center" wrapText="1"/>
    </xf>
    <xf numFmtId="0" fontId="9" fillId="17" borderId="30" xfId="0" applyFont="1" applyFill="1" applyBorder="1" applyAlignment="1">
      <alignment horizontal="left" vertical="center" wrapText="1"/>
    </xf>
    <xf numFmtId="0" fontId="9" fillId="17" borderId="31"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3" borderId="49" xfId="0" applyFont="1" applyFill="1" applyBorder="1" applyAlignment="1">
      <alignment horizontal="left" vertical="center" wrapText="1"/>
    </xf>
    <xf numFmtId="0" fontId="9" fillId="3" borderId="50" xfId="0" applyFont="1" applyFill="1" applyBorder="1" applyAlignment="1">
      <alignment horizontal="left"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2"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2" fillId="17" borderId="22" xfId="16" applyFont="1" applyFill="1" applyBorder="1" applyAlignment="1">
      <alignment horizontal="center" vertical="center" wrapText="1"/>
    </xf>
    <xf numFmtId="0" fontId="14" fillId="17" borderId="16" xfId="16" applyFont="1" applyFill="1" applyBorder="1" applyAlignment="1">
      <alignment horizontal="center" vertical="center" wrapText="1"/>
    </xf>
    <xf numFmtId="0" fontId="14"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9" fillId="17" borderId="10" xfId="16" applyFont="1" applyFill="1" applyBorder="1" applyAlignment="1" applyProtection="1">
      <alignment horizontal="center" vertical="center" wrapText="1"/>
      <protection locked="0"/>
    </xf>
    <xf numFmtId="0" fontId="9" fillId="17" borderId="19" xfId="16" applyFont="1" applyFill="1" applyBorder="1" applyAlignment="1" applyProtection="1">
      <alignment horizontal="center" vertical="center" wrapText="1"/>
      <protection locked="0"/>
    </xf>
    <xf numFmtId="10" fontId="3" fillId="0" borderId="3" xfId="0" applyNumberFormat="1" applyFont="1" applyFill="1" applyBorder="1" applyAlignment="1" applyProtection="1">
      <alignment horizontal="center" vertical="center" wrapText="1"/>
      <protection locked="0"/>
    </xf>
    <xf numFmtId="10" fontId="3" fillId="0" borderId="1" xfId="0" applyNumberFormat="1" applyFont="1" applyFill="1" applyBorder="1" applyAlignment="1" applyProtection="1">
      <alignment horizontal="center" vertical="center" wrapText="1"/>
      <protection locked="0"/>
    </xf>
    <xf numFmtId="0" fontId="5" fillId="0" borderId="61" xfId="16" applyFont="1" applyFill="1" applyBorder="1" applyAlignment="1" applyProtection="1">
      <alignment horizontal="left" vertical="center" wrapText="1"/>
      <protection locked="0"/>
    </xf>
    <xf numFmtId="0" fontId="5" fillId="0" borderId="21" xfId="16" applyFont="1" applyFill="1" applyBorder="1" applyAlignment="1" applyProtection="1">
      <alignment horizontal="left" vertical="center" wrapText="1"/>
      <protection locked="0"/>
    </xf>
    <xf numFmtId="0" fontId="5" fillId="0" borderId="1" xfId="16" applyFont="1" applyFill="1" applyBorder="1" applyAlignment="1">
      <alignment horizontal="justify" vertical="top" wrapText="1"/>
    </xf>
    <xf numFmtId="0" fontId="14" fillId="0" borderId="1" xfId="0" applyFont="1" applyFill="1" applyBorder="1" applyAlignment="1" applyProtection="1">
      <alignment horizontal="center" vertical="center" wrapText="1"/>
      <protection locked="0"/>
    </xf>
    <xf numFmtId="0" fontId="5" fillId="0" borderId="19" xfId="16" applyFont="1" applyFill="1" applyBorder="1" applyAlignment="1" applyProtection="1">
      <alignment vertical="top" wrapText="1"/>
      <protection locked="0"/>
    </xf>
    <xf numFmtId="0" fontId="5" fillId="0" borderId="21" xfId="16" applyFont="1" applyFill="1" applyBorder="1" applyAlignment="1" applyProtection="1">
      <alignment vertical="top" wrapText="1"/>
      <protection locked="0"/>
    </xf>
    <xf numFmtId="0" fontId="4" fillId="0" borderId="17" xfId="16" applyFill="1" applyBorder="1" applyAlignment="1">
      <alignment horizontal="center" vertical="center" wrapText="1"/>
    </xf>
    <xf numFmtId="0" fontId="4" fillId="0" borderId="18" xfId="16" applyFill="1" applyBorder="1" applyAlignment="1">
      <alignment horizontal="center" vertical="center" wrapText="1"/>
    </xf>
    <xf numFmtId="0" fontId="4" fillId="0" borderId="3" xfId="16" applyFill="1" applyBorder="1" applyAlignment="1">
      <alignment horizontal="center" vertical="center" wrapText="1"/>
    </xf>
    <xf numFmtId="0" fontId="4" fillId="0" borderId="1" xfId="16" applyFill="1" applyBorder="1" applyAlignment="1">
      <alignment horizontal="center" vertical="center" wrapText="1"/>
    </xf>
    <xf numFmtId="0" fontId="5" fillId="0" borderId="3" xfId="16" applyFont="1" applyFill="1" applyBorder="1" applyAlignment="1">
      <alignment horizontal="justify" vertical="top" wrapText="1"/>
    </xf>
    <xf numFmtId="0" fontId="14" fillId="0" borderId="3" xfId="0" applyFont="1" applyFill="1" applyBorder="1" applyAlignment="1" applyProtection="1">
      <alignment horizontal="center" vertical="center" wrapText="1"/>
      <protection locked="0"/>
    </xf>
    <xf numFmtId="0" fontId="4" fillId="0" borderId="3" xfId="16" applyFill="1" applyBorder="1" applyAlignment="1" applyProtection="1">
      <alignment horizontal="center" vertical="center" wrapText="1"/>
      <protection locked="0"/>
    </xf>
    <xf numFmtId="0" fontId="4" fillId="0" borderId="1" xfId="16" applyFill="1" applyBorder="1" applyAlignment="1" applyProtection="1">
      <alignment horizontal="center" vertical="center" wrapText="1"/>
      <protection locked="0"/>
    </xf>
    <xf numFmtId="10" fontId="3" fillId="0" borderId="2" xfId="0" applyNumberFormat="1" applyFont="1" applyFill="1" applyBorder="1" applyAlignment="1" applyProtection="1">
      <alignment horizontal="center" vertical="center" wrapText="1"/>
      <protection locked="0"/>
    </xf>
    <xf numFmtId="10" fontId="3" fillId="0" borderId="5" xfId="0" applyNumberFormat="1" applyFont="1" applyFill="1" applyBorder="1" applyAlignment="1" applyProtection="1">
      <alignment horizontal="center" vertical="center" wrapText="1"/>
      <protection locked="0"/>
    </xf>
    <xf numFmtId="0" fontId="74" fillId="0" borderId="76" xfId="0" applyFont="1" applyFill="1" applyBorder="1" applyAlignment="1">
      <alignment horizontal="left" vertical="center" wrapText="1"/>
    </xf>
    <xf numFmtId="0" fontId="96" fillId="0" borderId="77" xfId="0" applyFont="1" applyFill="1" applyBorder="1"/>
    <xf numFmtId="0" fontId="5" fillId="0" borderId="19" xfId="16" applyFont="1" applyFill="1" applyBorder="1" applyAlignment="1">
      <alignment horizontal="left" vertical="center" wrapText="1"/>
    </xf>
    <xf numFmtId="0" fontId="5" fillId="0" borderId="21" xfId="16" applyFont="1" applyFill="1" applyBorder="1" applyAlignment="1">
      <alignment horizontal="left" vertical="center" wrapText="1"/>
    </xf>
    <xf numFmtId="0" fontId="74" fillId="0" borderId="76" xfId="0" applyFont="1" applyFill="1" applyBorder="1" applyAlignment="1">
      <alignment horizontal="left" vertical="top" wrapText="1"/>
    </xf>
    <xf numFmtId="0" fontId="96" fillId="0" borderId="77" xfId="0" applyFont="1" applyFill="1" applyBorder="1" applyAlignment="1">
      <alignment vertical="top"/>
    </xf>
    <xf numFmtId="10" fontId="2" fillId="0" borderId="1" xfId="0" applyNumberFormat="1" applyFont="1" applyFill="1" applyBorder="1" applyAlignment="1" applyProtection="1">
      <alignment horizontal="center" vertical="center" wrapText="1"/>
      <protection locked="0"/>
    </xf>
    <xf numFmtId="0" fontId="5" fillId="0" borderId="1" xfId="16" applyFont="1" applyFill="1" applyBorder="1" applyAlignment="1">
      <alignment horizontal="center" vertical="center" wrapText="1"/>
    </xf>
    <xf numFmtId="0" fontId="5" fillId="0" borderId="1" xfId="16" applyFont="1" applyFill="1" applyBorder="1" applyAlignment="1">
      <alignment horizontal="left" vertical="center" wrapText="1"/>
    </xf>
    <xf numFmtId="0" fontId="5" fillId="0" borderId="1" xfId="16" applyFont="1" applyFill="1" applyBorder="1" applyAlignment="1">
      <alignment horizontal="left" vertical="center"/>
    </xf>
    <xf numFmtId="2" fontId="64" fillId="0" borderId="26" xfId="16" applyNumberFormat="1" applyFont="1" applyBorder="1" applyAlignment="1">
      <alignment horizontal="center" vertical="center" wrapText="1"/>
    </xf>
    <xf numFmtId="2" fontId="64" fillId="0" borderId="0" xfId="16" applyNumberFormat="1" applyFont="1" applyAlignment="1">
      <alignment horizontal="center" vertical="center" wrapText="1"/>
    </xf>
    <xf numFmtId="0" fontId="2" fillId="17" borderId="1" xfId="16" applyFont="1" applyFill="1" applyBorder="1" applyAlignment="1">
      <alignment horizontal="center" vertical="center" wrapText="1"/>
    </xf>
    <xf numFmtId="0" fontId="4" fillId="0" borderId="20" xfId="16" applyFill="1" applyBorder="1" applyAlignment="1">
      <alignment horizontal="center" vertical="center" wrapText="1"/>
    </xf>
    <xf numFmtId="0" fontId="4" fillId="0" borderId="2" xfId="16" applyFill="1" applyBorder="1" applyAlignment="1">
      <alignment horizontal="center" vertical="center" wrapText="1"/>
    </xf>
    <xf numFmtId="0" fontId="4" fillId="0" borderId="22" xfId="16" applyFill="1" applyBorder="1" applyAlignment="1" applyProtection="1">
      <alignment horizontal="center" vertical="center" wrapText="1"/>
      <protection locked="0"/>
    </xf>
    <xf numFmtId="0" fontId="4" fillId="0" borderId="22" xfId="16" applyFill="1" applyBorder="1" applyAlignment="1">
      <alignment horizontal="center" vertical="center" wrapText="1"/>
    </xf>
    <xf numFmtId="0" fontId="4" fillId="0" borderId="5" xfId="16" applyFill="1" applyBorder="1" applyAlignment="1">
      <alignment horizontal="center" vertical="center" wrapText="1"/>
    </xf>
    <xf numFmtId="0" fontId="5" fillId="0" borderId="35" xfId="16" applyFont="1" applyFill="1" applyBorder="1" applyAlignment="1">
      <alignment horizontal="left" vertical="center" wrapText="1"/>
    </xf>
    <xf numFmtId="0" fontId="5" fillId="0" borderId="22" xfId="16" applyFont="1" applyFill="1" applyBorder="1" applyAlignment="1">
      <alignment horizontal="left" vertical="center" wrapText="1"/>
    </xf>
    <xf numFmtId="0" fontId="5" fillId="0" borderId="5" xfId="16" applyFont="1" applyFill="1" applyBorder="1" applyAlignment="1">
      <alignment horizontal="left" vertical="center" wrapText="1"/>
    </xf>
    <xf numFmtId="0" fontId="5" fillId="0" borderId="2" xfId="16" applyFont="1" applyFill="1" applyBorder="1" applyAlignment="1">
      <alignment horizontal="justify" vertical="center" wrapText="1"/>
    </xf>
    <xf numFmtId="0" fontId="5" fillId="0" borderId="5" xfId="16" applyFont="1" applyFill="1" applyBorder="1" applyAlignment="1">
      <alignment horizontal="justify" vertical="center" wrapText="1"/>
    </xf>
    <xf numFmtId="0" fontId="5" fillId="0" borderId="22" xfId="16" applyFont="1" applyFill="1" applyBorder="1" applyAlignment="1">
      <alignment horizontal="justify" vertical="center" wrapText="1"/>
    </xf>
    <xf numFmtId="0" fontId="14" fillId="0" borderId="2"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44" fillId="0" borderId="1" xfId="2869" applyFont="1" applyFill="1" applyBorder="1" applyAlignment="1">
      <alignment horizontal="center" vertical="center" wrapText="1"/>
    </xf>
    <xf numFmtId="0" fontId="16" fillId="0" borderId="1" xfId="2869" applyFont="1" applyFill="1" applyBorder="1"/>
    <xf numFmtId="0" fontId="3" fillId="0" borderId="1" xfId="2869" applyFont="1" applyFill="1" applyBorder="1"/>
    <xf numFmtId="0" fontId="22" fillId="17" borderId="1" xfId="0" applyFont="1" applyFill="1" applyBorder="1" applyAlignment="1">
      <alignment horizontal="center" vertical="center"/>
    </xf>
    <xf numFmtId="0" fontId="10" fillId="15" borderId="23" xfId="0" applyFont="1" applyFill="1" applyBorder="1" applyAlignment="1">
      <alignment horizontal="left" vertical="center" wrapText="1"/>
    </xf>
    <xf numFmtId="0" fontId="10" fillId="15" borderId="24" xfId="0" applyFont="1" applyFill="1" applyBorder="1" applyAlignment="1">
      <alignment horizontal="left" vertical="center" wrapText="1"/>
    </xf>
    <xf numFmtId="0" fontId="10" fillId="15" borderId="38" xfId="0" applyFont="1" applyFill="1" applyBorder="1" applyAlignment="1">
      <alignment horizontal="left" vertical="center" wrapText="1"/>
    </xf>
    <xf numFmtId="0" fontId="10" fillId="15" borderId="23" xfId="0" applyFont="1" applyFill="1" applyBorder="1" applyAlignment="1">
      <alignment horizontal="left" vertical="center"/>
    </xf>
    <xf numFmtId="0" fontId="10" fillId="15" borderId="24" xfId="0" applyFont="1" applyFill="1" applyBorder="1" applyAlignment="1">
      <alignment horizontal="left" vertical="center"/>
    </xf>
    <xf numFmtId="0" fontId="10" fillId="15" borderId="38" xfId="0" applyFont="1" applyFill="1" applyBorder="1" applyAlignment="1">
      <alignment horizontal="left" vertical="center"/>
    </xf>
    <xf numFmtId="0" fontId="9" fillId="17" borderId="48" xfId="0" applyFont="1" applyFill="1" applyBorder="1" applyAlignment="1">
      <alignment horizontal="left" vertical="center"/>
    </xf>
    <xf numFmtId="0" fontId="9" fillId="17" borderId="49" xfId="0" applyFont="1" applyFill="1" applyBorder="1" applyAlignment="1">
      <alignment horizontal="left" vertical="center"/>
    </xf>
    <xf numFmtId="0" fontId="9" fillId="17" borderId="50" xfId="0" applyFont="1" applyFill="1" applyBorder="1" applyAlignment="1">
      <alignment horizontal="left" vertical="center"/>
    </xf>
    <xf numFmtId="0" fontId="9" fillId="3" borderId="58" xfId="0" applyFont="1" applyFill="1" applyBorder="1" applyAlignment="1">
      <alignment horizontal="left" vertical="center"/>
    </xf>
    <xf numFmtId="0" fontId="9" fillId="3" borderId="52" xfId="0" applyFont="1" applyFill="1" applyBorder="1" applyAlignment="1">
      <alignment horizontal="left" vertical="center"/>
    </xf>
    <xf numFmtId="0" fontId="9" fillId="3" borderId="53" xfId="0" applyFont="1" applyFill="1" applyBorder="1" applyAlignment="1">
      <alignment horizontal="left" vertical="center"/>
    </xf>
    <xf numFmtId="0" fontId="9" fillId="17" borderId="48" xfId="0" applyFont="1" applyFill="1" applyBorder="1" applyAlignment="1">
      <alignment horizontal="left" vertical="center" wrapText="1"/>
    </xf>
    <xf numFmtId="0" fontId="9" fillId="17" borderId="49" xfId="0" applyFont="1" applyFill="1" applyBorder="1" applyAlignment="1">
      <alignment horizontal="left" vertical="center" wrapText="1"/>
    </xf>
    <xf numFmtId="0" fontId="9" fillId="17" borderId="50"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9" fillId="3" borderId="52" xfId="0" applyFont="1" applyFill="1" applyBorder="1" applyAlignment="1">
      <alignment horizontal="left" vertical="center" wrapText="1"/>
    </xf>
    <xf numFmtId="0" fontId="9" fillId="3" borderId="53" xfId="0" applyFont="1" applyFill="1" applyBorder="1" applyAlignment="1">
      <alignment horizontal="left" vertical="center" wrapText="1"/>
    </xf>
    <xf numFmtId="0" fontId="31" fillId="17" borderId="28" xfId="19" applyFont="1" applyFill="1" applyBorder="1" applyAlignment="1">
      <alignment horizontal="left" vertical="center" wrapText="1"/>
    </xf>
    <xf numFmtId="0" fontId="31" fillId="17" borderId="29" xfId="19" applyFont="1" applyFill="1" applyBorder="1" applyAlignment="1">
      <alignment horizontal="left" vertical="center" wrapText="1"/>
    </xf>
    <xf numFmtId="0" fontId="31" fillId="17" borderId="39" xfId="19" applyFont="1" applyFill="1" applyBorder="1" applyAlignment="1">
      <alignment horizontal="left" vertical="center" wrapText="1"/>
    </xf>
    <xf numFmtId="0" fontId="10" fillId="0" borderId="58" xfId="0" applyFont="1" applyBorder="1" applyAlignment="1">
      <alignment horizontal="left" vertical="center" wrapText="1"/>
    </xf>
    <xf numFmtId="0" fontId="10" fillId="0" borderId="52" xfId="0" applyFont="1" applyBorder="1" applyAlignment="1">
      <alignment horizontal="left" vertical="center" wrapText="1"/>
    </xf>
    <xf numFmtId="0" fontId="10" fillId="0" borderId="53" xfId="0" applyFont="1" applyBorder="1" applyAlignment="1">
      <alignment horizontal="left" vertical="center" wrapText="1"/>
    </xf>
    <xf numFmtId="0" fontId="31" fillId="0" borderId="23" xfId="19" applyFont="1" applyBorder="1" applyAlignment="1">
      <alignment horizontal="center" vertical="center" wrapText="1"/>
    </xf>
    <xf numFmtId="0" fontId="31" fillId="0" borderId="24" xfId="19" applyFont="1" applyBorder="1" applyAlignment="1">
      <alignment horizontal="center" vertical="center" wrapText="1"/>
    </xf>
    <xf numFmtId="0" fontId="31" fillId="0" borderId="49" xfId="19" applyFont="1" applyBorder="1" applyAlignment="1">
      <alignment horizontal="center" vertical="center" wrapText="1"/>
    </xf>
    <xf numFmtId="0" fontId="31" fillId="0" borderId="50" xfId="19" applyFont="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22" borderId="32" xfId="0" applyFont="1" applyFill="1" applyBorder="1" applyAlignment="1">
      <alignment horizontal="center" vertical="center" wrapText="1"/>
    </xf>
    <xf numFmtId="0" fontId="2" fillId="22" borderId="33" xfId="0" applyFont="1" applyFill="1" applyBorder="1" applyAlignment="1">
      <alignment horizontal="center" vertical="center" wrapText="1"/>
    </xf>
    <xf numFmtId="0" fontId="2" fillId="22" borderId="41" xfId="0" applyFont="1" applyFill="1" applyBorder="1" applyAlignment="1">
      <alignment horizontal="center" vertical="center" wrapText="1"/>
    </xf>
    <xf numFmtId="0" fontId="2" fillId="17" borderId="40"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3"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44" fillId="0" borderId="1" xfId="10" applyNumberFormat="1" applyFont="1" applyFill="1" applyBorder="1" applyAlignment="1" applyProtection="1">
      <alignment horizontal="center" vertical="center" wrapText="1"/>
      <protection locked="0"/>
    </xf>
    <xf numFmtId="0" fontId="2" fillId="0" borderId="18"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 xfId="0" applyFont="1" applyFill="1" applyBorder="1" applyAlignment="1">
      <alignment horizontal="center" vertical="center"/>
    </xf>
    <xf numFmtId="3" fontId="16" fillId="0" borderId="1" xfId="0" applyNumberFormat="1" applyFont="1" applyFill="1" applyBorder="1" applyAlignment="1">
      <alignment horizontal="center" vertical="center" wrapText="1"/>
    </xf>
    <xf numFmtId="3" fontId="16" fillId="0" borderId="2" xfId="0" applyNumberFormat="1" applyFont="1" applyFill="1" applyBorder="1" applyAlignment="1">
      <alignment horizontal="center" vertical="center" wrapText="1"/>
    </xf>
    <xf numFmtId="3" fontId="16" fillId="0" borderId="22" xfId="0" applyNumberFormat="1" applyFont="1" applyFill="1" applyBorder="1" applyAlignment="1">
      <alignment horizontal="center" vertical="center" wrapText="1"/>
    </xf>
    <xf numFmtId="3" fontId="16" fillId="0" borderId="5"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8" fillId="0" borderId="2" xfId="0" applyFont="1" applyBorder="1" applyAlignment="1">
      <alignment horizontal="center" vertical="center" wrapText="1"/>
    </xf>
    <xf numFmtId="0" fontId="16" fillId="0" borderId="1" xfId="0" applyFont="1" applyFill="1" applyBorder="1" applyAlignment="1">
      <alignment vertical="center" wrapText="1"/>
    </xf>
    <xf numFmtId="0" fontId="16" fillId="0" borderId="5" xfId="0" applyFont="1" applyBorder="1" applyAlignment="1">
      <alignment vertical="center" wrapText="1"/>
    </xf>
    <xf numFmtId="0" fontId="16" fillId="0" borderId="1" xfId="0" applyFont="1" applyBorder="1" applyAlignment="1">
      <alignment vertical="center" wrapText="1"/>
    </xf>
    <xf numFmtId="0" fontId="44" fillId="0" borderId="2" xfId="10" applyNumberFormat="1" applyFont="1" applyFill="1" applyBorder="1" applyAlignment="1" applyProtection="1">
      <alignment horizontal="center" vertical="center" wrapText="1"/>
      <protection locked="0"/>
    </xf>
    <xf numFmtId="0" fontId="0" fillId="0" borderId="22" xfId="0" applyFill="1" applyBorder="1" applyAlignment="1">
      <alignment horizontal="center" vertical="center" wrapText="1"/>
    </xf>
    <xf numFmtId="0" fontId="0" fillId="0" borderId="5" xfId="0" applyFill="1" applyBorder="1" applyAlignment="1">
      <alignment horizontal="center" vertical="center" wrapText="1"/>
    </xf>
    <xf numFmtId="0" fontId="69" fillId="0" borderId="1" xfId="0" applyFont="1" applyFill="1" applyBorder="1" applyAlignment="1">
      <alignment horizontal="center" vertical="center" wrapText="1"/>
    </xf>
    <xf numFmtId="0" fontId="11" fillId="0" borderId="1" xfId="0" applyFont="1" applyFill="1" applyBorder="1" applyAlignment="1">
      <alignment horizont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63" xfId="0" applyFont="1" applyBorder="1" applyAlignment="1">
      <alignment horizontal="center" vertical="center" wrapText="1"/>
    </xf>
    <xf numFmtId="0" fontId="44" fillId="0" borderId="7" xfId="10" applyNumberFormat="1" applyFont="1" applyFill="1" applyBorder="1" applyAlignment="1" applyProtection="1">
      <alignment horizontal="center" vertical="center" wrapText="1"/>
      <protection locked="0"/>
    </xf>
    <xf numFmtId="0" fontId="73" fillId="0" borderId="1" xfId="0" applyFont="1" applyFill="1" applyBorder="1" applyAlignment="1">
      <alignment horizontal="center"/>
    </xf>
    <xf numFmtId="3" fontId="16" fillId="0" borderId="1" xfId="0" applyNumberFormat="1" applyFont="1" applyFill="1" applyBorder="1" applyAlignment="1">
      <alignment vertical="center" wrapText="1"/>
    </xf>
    <xf numFmtId="0" fontId="79" fillId="0" borderId="1" xfId="0" applyFont="1" applyFill="1" applyBorder="1" applyAlignment="1">
      <alignment horizontal="center" vertical="center" wrapText="1"/>
    </xf>
    <xf numFmtId="0" fontId="14" fillId="17" borderId="40" xfId="0" applyFont="1" applyFill="1" applyBorder="1" applyAlignment="1">
      <alignment horizontal="center" vertical="center" wrapText="1"/>
    </xf>
    <xf numFmtId="0" fontId="14" fillId="17" borderId="5" xfId="0"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1" xfId="0" applyFont="1" applyFill="1" applyBorder="1" applyAlignment="1">
      <alignment horizontal="center" vertical="center" wrapText="1"/>
    </xf>
    <xf numFmtId="0" fontId="14" fillId="17" borderId="63" xfId="0" applyFont="1" applyFill="1" applyBorder="1" applyAlignment="1">
      <alignment horizontal="center" vertical="center" wrapText="1"/>
    </xf>
    <xf numFmtId="0" fontId="14" fillId="17" borderId="4" xfId="0" applyFont="1" applyFill="1" applyBorder="1" applyAlignment="1">
      <alignment horizontal="center" vertical="center" wrapText="1"/>
    </xf>
    <xf numFmtId="0" fontId="50" fillId="17" borderId="17" xfId="0" applyFont="1" applyFill="1" applyBorder="1" applyAlignment="1">
      <alignment horizontal="center" vertical="center"/>
    </xf>
    <xf numFmtId="0" fontId="50" fillId="17" borderId="3" xfId="0" applyFont="1" applyFill="1" applyBorder="1" applyAlignment="1">
      <alignment horizontal="center" vertical="center"/>
    </xf>
    <xf numFmtId="0" fontId="50" fillId="17" borderId="10" xfId="0" applyFont="1" applyFill="1" applyBorder="1" applyAlignment="1">
      <alignment horizontal="center" vertical="center"/>
    </xf>
    <xf numFmtId="0" fontId="51" fillId="17" borderId="18" xfId="0" applyFont="1" applyFill="1" applyBorder="1" applyAlignment="1">
      <alignment horizontal="center" vertical="center" wrapText="1"/>
    </xf>
    <xf numFmtId="0" fontId="51" fillId="17" borderId="1" xfId="0" applyFont="1" applyFill="1" applyBorder="1" applyAlignment="1">
      <alignment horizontal="center" vertical="center"/>
    </xf>
    <xf numFmtId="0" fontId="51" fillId="17" borderId="2" xfId="0" applyFont="1" applyFill="1" applyBorder="1" applyAlignment="1">
      <alignment horizontal="center" vertical="center"/>
    </xf>
    <xf numFmtId="0" fontId="51" fillId="17" borderId="19" xfId="0" applyFont="1" applyFill="1" applyBorder="1" applyAlignment="1">
      <alignment horizontal="center" vertical="center"/>
    </xf>
    <xf numFmtId="0" fontId="52" fillId="0" borderId="45" xfId="0" applyFont="1" applyBorder="1" applyAlignment="1">
      <alignment horizontal="center"/>
    </xf>
    <xf numFmtId="0" fontId="52" fillId="0" borderId="30" xfId="0" applyFont="1" applyBorder="1" applyAlignment="1">
      <alignment horizontal="center"/>
    </xf>
    <xf numFmtId="0" fontId="9" fillId="0" borderId="48" xfId="0" applyFont="1" applyBorder="1" applyAlignment="1">
      <alignment horizontal="center"/>
    </xf>
    <xf numFmtId="0" fontId="9" fillId="0" borderId="49" xfId="0" applyFont="1" applyBorder="1" applyAlignment="1">
      <alignment horizontal="center"/>
    </xf>
    <xf numFmtId="0" fontId="9" fillId="0" borderId="50" xfId="0" applyFont="1" applyBorder="1" applyAlignment="1">
      <alignment horizontal="center"/>
    </xf>
    <xf numFmtId="0" fontId="53" fillId="17" borderId="23" xfId="0" applyFont="1" applyFill="1" applyBorder="1" applyAlignment="1">
      <alignment horizontal="left" vertical="center"/>
    </xf>
    <xf numFmtId="0" fontId="53" fillId="17" borderId="38" xfId="0" applyFont="1" applyFill="1" applyBorder="1" applyAlignment="1">
      <alignment horizontal="left" vertical="center"/>
    </xf>
    <xf numFmtId="0" fontId="75" fillId="0" borderId="49" xfId="0" applyFont="1" applyBorder="1" applyAlignment="1">
      <alignment horizontal="left"/>
    </xf>
    <xf numFmtId="0" fontId="75" fillId="0" borderId="50" xfId="0" applyFont="1" applyBorder="1" applyAlignment="1">
      <alignment horizontal="left"/>
    </xf>
    <xf numFmtId="0" fontId="54" fillId="18" borderId="17" xfId="0" applyFont="1" applyFill="1" applyBorder="1" applyAlignment="1">
      <alignment horizontal="center" vertical="center"/>
    </xf>
    <xf numFmtId="0" fontId="54" fillId="18" borderId="3" xfId="0" applyFont="1" applyFill="1" applyBorder="1" applyAlignment="1">
      <alignment horizontal="center" vertical="center"/>
    </xf>
    <xf numFmtId="0" fontId="54" fillId="18" borderId="10" xfId="0" applyFont="1" applyFill="1" applyBorder="1" applyAlignment="1">
      <alignment horizontal="center" vertical="center"/>
    </xf>
    <xf numFmtId="0" fontId="54" fillId="18" borderId="41" xfId="0" applyFont="1" applyFill="1" applyBorder="1" applyAlignment="1">
      <alignment horizontal="center" vertical="center"/>
    </xf>
    <xf numFmtId="0" fontId="54" fillId="18" borderId="32" xfId="0" applyFont="1" applyFill="1" applyBorder="1" applyAlignment="1">
      <alignment horizontal="center" vertical="center"/>
    </xf>
    <xf numFmtId="0" fontId="54" fillId="18" borderId="33" xfId="0" applyFont="1" applyFill="1" applyBorder="1" applyAlignment="1">
      <alignment horizontal="center" vertical="center"/>
    </xf>
    <xf numFmtId="0" fontId="53" fillId="17" borderId="48" xfId="0" applyFont="1" applyFill="1" applyBorder="1" applyAlignment="1">
      <alignment horizontal="left" vertical="center"/>
    </xf>
    <xf numFmtId="0" fontId="53" fillId="17" borderId="50" xfId="0" applyFont="1" applyFill="1" applyBorder="1" applyAlignment="1">
      <alignment horizontal="left" vertical="center"/>
    </xf>
    <xf numFmtId="0" fontId="75" fillId="0" borderId="29" xfId="0" applyFont="1" applyBorder="1" applyAlignment="1">
      <alignment horizontal="left"/>
    </xf>
    <xf numFmtId="0" fontId="75" fillId="0" borderId="39" xfId="0" applyFont="1" applyBorder="1" applyAlignment="1">
      <alignment horizontal="left"/>
    </xf>
    <xf numFmtId="0" fontId="56" fillId="3" borderId="20" xfId="0" applyFont="1" applyFill="1" applyBorder="1" applyAlignment="1">
      <alignment horizontal="center" vertical="center"/>
    </xf>
    <xf numFmtId="0" fontId="56" fillId="3" borderId="14" xfId="0" applyFont="1" applyFill="1" applyBorder="1" applyAlignment="1">
      <alignment horizontal="center" vertical="center"/>
    </xf>
    <xf numFmtId="0" fontId="56" fillId="3" borderId="40" xfId="0" applyFont="1" applyFill="1" applyBorder="1" applyAlignment="1">
      <alignment horizontal="center" vertical="center"/>
    </xf>
    <xf numFmtId="0" fontId="56" fillId="3" borderId="35" xfId="0" applyFont="1" applyFill="1" applyBorder="1" applyAlignment="1">
      <alignment horizontal="center" vertical="center" wrapText="1"/>
    </xf>
    <xf numFmtId="0" fontId="56" fillId="3" borderId="22" xfId="0" applyFont="1" applyFill="1" applyBorder="1" applyAlignment="1">
      <alignment horizontal="center" vertical="center" wrapText="1"/>
    </xf>
    <xf numFmtId="0" fontId="56" fillId="3" borderId="5" xfId="0" applyFont="1" applyFill="1" applyBorder="1" applyAlignment="1">
      <alignment horizontal="center" vertical="center" wrapText="1"/>
    </xf>
    <xf numFmtId="0" fontId="56" fillId="3" borderId="36" xfId="0" applyFont="1" applyFill="1" applyBorder="1" applyAlignment="1">
      <alignment horizontal="center" vertical="center" wrapText="1"/>
    </xf>
    <xf numFmtId="0" fontId="56" fillId="0" borderId="35" xfId="0" applyFont="1" applyFill="1" applyBorder="1" applyAlignment="1">
      <alignment horizontal="center" vertical="center" wrapText="1"/>
    </xf>
    <xf numFmtId="0" fontId="56" fillId="0" borderId="22" xfId="0" applyFont="1" applyFill="1" applyBorder="1" applyAlignment="1">
      <alignment horizontal="center" vertical="center" wrapText="1"/>
    </xf>
    <xf numFmtId="0" fontId="56" fillId="0" borderId="36" xfId="0" applyFont="1" applyFill="1" applyBorder="1" applyAlignment="1">
      <alignment horizontal="center" vertical="center" wrapText="1"/>
    </xf>
    <xf numFmtId="0" fontId="0" fillId="0" borderId="73"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40" xfId="0" applyBorder="1" applyAlignment="1">
      <alignment horizontal="center" vertical="center"/>
    </xf>
    <xf numFmtId="0" fontId="56" fillId="3" borderId="2" xfId="0" applyFont="1" applyFill="1" applyBorder="1" applyAlignment="1">
      <alignment horizontal="center" vertical="center" wrapText="1"/>
    </xf>
    <xf numFmtId="0" fontId="56" fillId="3" borderId="15" xfId="0" applyFont="1" applyFill="1" applyBorder="1" applyAlignment="1">
      <alignment horizontal="center" vertical="center"/>
    </xf>
    <xf numFmtId="0" fontId="56" fillId="3" borderId="2" xfId="0" applyFont="1" applyFill="1" applyBorder="1" applyAlignment="1">
      <alignment horizontal="center" vertical="top" wrapText="1"/>
    </xf>
    <xf numFmtId="0" fontId="56" fillId="3" borderId="22" xfId="0" applyFont="1" applyFill="1" applyBorder="1" applyAlignment="1">
      <alignment horizontal="center" vertical="top" wrapText="1"/>
    </xf>
    <xf numFmtId="0" fontId="56" fillId="3" borderId="36" xfId="0" applyFont="1" applyFill="1" applyBorder="1" applyAlignment="1">
      <alignment horizontal="center" vertical="top" wrapText="1"/>
    </xf>
    <xf numFmtId="0" fontId="54" fillId="18" borderId="41" xfId="0" applyFont="1" applyFill="1" applyBorder="1" applyAlignment="1">
      <alignment horizontal="center"/>
    </xf>
    <xf numFmtId="0" fontId="54" fillId="18" borderId="32" xfId="0" applyFont="1" applyFill="1" applyBorder="1" applyAlignment="1">
      <alignment horizontal="center"/>
    </xf>
    <xf numFmtId="0" fontId="54" fillId="18" borderId="33" xfId="0" applyFont="1" applyFill="1" applyBorder="1" applyAlignment="1">
      <alignment horizontal="center"/>
    </xf>
    <xf numFmtId="0" fontId="56" fillId="0" borderId="35" xfId="0" applyFont="1" applyBorder="1" applyAlignment="1">
      <alignment vertical="center" wrapText="1"/>
    </xf>
    <xf numFmtId="0" fontId="56" fillId="0" borderId="22" xfId="0" applyFont="1" applyBorder="1" applyAlignment="1">
      <alignment vertical="center" wrapText="1"/>
    </xf>
    <xf numFmtId="0" fontId="56" fillId="0" borderId="5" xfId="0" applyFont="1" applyBorder="1" applyAlignment="1">
      <alignment vertical="center" wrapText="1"/>
    </xf>
    <xf numFmtId="0" fontId="56" fillId="0" borderId="20" xfId="0" applyFont="1" applyBorder="1" applyAlignment="1">
      <alignment horizontal="center" vertical="center"/>
    </xf>
    <xf numFmtId="0" fontId="56" fillId="0" borderId="14" xfId="0" applyFont="1" applyBorder="1" applyAlignment="1">
      <alignment horizontal="center" vertical="center"/>
    </xf>
    <xf numFmtId="0" fontId="56" fillId="0" borderId="40" xfId="0" applyFont="1" applyBorder="1" applyAlignment="1">
      <alignment horizontal="center" vertical="center"/>
    </xf>
    <xf numFmtId="0" fontId="56" fillId="0" borderId="35"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15" xfId="0" applyFont="1" applyBorder="1" applyAlignment="1">
      <alignment horizontal="center" vertical="center"/>
    </xf>
    <xf numFmtId="0" fontId="56" fillId="0" borderId="36" xfId="0" applyFont="1" applyBorder="1" applyAlignment="1">
      <alignment horizontal="center" vertical="center" wrapText="1"/>
    </xf>
    <xf numFmtId="0" fontId="56" fillId="0" borderId="2" xfId="0" applyFont="1" applyBorder="1" applyAlignment="1">
      <alignment horizontal="center" vertical="top" wrapText="1"/>
    </xf>
    <xf numFmtId="0" fontId="56" fillId="0" borderId="22" xfId="0" applyFont="1" applyBorder="1" applyAlignment="1">
      <alignment horizontal="center" vertical="top" wrapText="1"/>
    </xf>
    <xf numFmtId="0" fontId="56" fillId="0" borderId="36" xfId="0" applyFont="1" applyBorder="1" applyAlignment="1">
      <alignment horizontal="center" vertical="top" wrapText="1"/>
    </xf>
    <xf numFmtId="0" fontId="56" fillId="0" borderId="2" xfId="0" applyFont="1" applyFill="1" applyBorder="1" applyAlignment="1">
      <alignment horizontal="center" vertical="center" wrapText="1"/>
    </xf>
    <xf numFmtId="0" fontId="56" fillId="0" borderId="2" xfId="0" applyFont="1" applyFill="1" applyBorder="1" applyAlignment="1">
      <alignment horizontal="center" vertical="top" wrapText="1"/>
    </xf>
    <xf numFmtId="0" fontId="56" fillId="0" borderId="22" xfId="0" applyFont="1" applyFill="1" applyBorder="1" applyAlignment="1">
      <alignment horizontal="center" vertical="top" wrapText="1"/>
    </xf>
    <xf numFmtId="0" fontId="56" fillId="0" borderId="36" xfId="0" applyFont="1" applyFill="1" applyBorder="1" applyAlignment="1">
      <alignment horizontal="center" vertical="top" wrapText="1"/>
    </xf>
    <xf numFmtId="0" fontId="56" fillId="0" borderId="2" xfId="0" applyFont="1" applyFill="1" applyBorder="1" applyAlignment="1">
      <alignment horizontal="center" vertical="center"/>
    </xf>
    <xf numFmtId="0" fontId="56" fillId="0" borderId="22" xfId="0" applyFont="1" applyFill="1" applyBorder="1" applyAlignment="1">
      <alignment horizontal="center" vertical="center"/>
    </xf>
    <xf numFmtId="0" fontId="56" fillId="0" borderId="5" xfId="0" applyFont="1" applyFill="1" applyBorder="1" applyAlignment="1">
      <alignment horizontal="center" vertical="center"/>
    </xf>
    <xf numFmtId="181" fontId="0" fillId="0" borderId="3" xfId="9" applyNumberFormat="1" applyFont="1" applyBorder="1" applyAlignment="1">
      <alignment horizontal="center" vertical="center"/>
    </xf>
    <xf numFmtId="181" fontId="0" fillId="0" borderId="1" xfId="9" applyNumberFormat="1" applyFont="1" applyBorder="1" applyAlignment="1">
      <alignment horizontal="center" vertical="center"/>
    </xf>
    <xf numFmtId="181" fontId="0" fillId="0" borderId="4" xfId="9" applyNumberFormat="1" applyFont="1" applyBorder="1" applyAlignment="1">
      <alignment horizontal="center" vertical="center"/>
    </xf>
    <xf numFmtId="0" fontId="0" fillId="20" borderId="65" xfId="0" applyFill="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0" borderId="35"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47" xfId="0" applyBorder="1" applyAlignment="1">
      <alignment horizontal="center" vertical="center"/>
    </xf>
    <xf numFmtId="0" fontId="0" fillId="4" borderId="35"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35" xfId="0" applyBorder="1" applyAlignment="1">
      <alignment horizontal="center" vertical="center" wrapText="1"/>
    </xf>
    <xf numFmtId="0" fontId="0" fillId="0" borderId="22" xfId="0" applyBorder="1" applyAlignment="1">
      <alignment horizontal="center" vertical="center" wrapText="1"/>
    </xf>
    <xf numFmtId="0" fontId="0" fillId="0" borderId="36" xfId="0" applyBorder="1" applyAlignment="1">
      <alignment horizontal="center" vertical="center" wrapText="1"/>
    </xf>
    <xf numFmtId="0" fontId="56" fillId="0" borderId="35" xfId="0" applyFont="1" applyBorder="1" applyAlignment="1">
      <alignment horizontal="center" wrapText="1"/>
    </xf>
    <xf numFmtId="0" fontId="56" fillId="0" borderId="22" xfId="0" applyFont="1" applyBorder="1" applyAlignment="1">
      <alignment horizontal="center" wrapText="1"/>
    </xf>
    <xf numFmtId="0" fontId="56" fillId="0" borderId="36" xfId="0" applyFont="1" applyBorder="1" applyAlignment="1">
      <alignment horizontal="center" wrapText="1"/>
    </xf>
    <xf numFmtId="0" fontId="56" fillId="0" borderId="35" xfId="0" applyFont="1" applyBorder="1" applyAlignment="1">
      <alignment horizontal="center" vertical="center"/>
    </xf>
    <xf numFmtId="0" fontId="56" fillId="0" borderId="22" xfId="0" applyFont="1" applyBorder="1" applyAlignment="1">
      <alignment horizontal="center" vertical="center"/>
    </xf>
    <xf numFmtId="0" fontId="56" fillId="0" borderId="36" xfId="0" applyFont="1" applyBorder="1" applyAlignment="1">
      <alignment horizontal="center" vertical="center"/>
    </xf>
    <xf numFmtId="0" fontId="54" fillId="18" borderId="23" xfId="0" applyFont="1" applyFill="1" applyBorder="1" applyAlignment="1">
      <alignment horizontal="center"/>
    </xf>
    <xf numFmtId="0" fontId="54" fillId="18" borderId="24" xfId="0" applyFont="1" applyFill="1" applyBorder="1" applyAlignment="1">
      <alignment horizontal="center"/>
    </xf>
    <xf numFmtId="0" fontId="54" fillId="18" borderId="38" xfId="0" applyFont="1" applyFill="1" applyBorder="1" applyAlignment="1">
      <alignment horizontal="center"/>
    </xf>
    <xf numFmtId="0" fontId="0" fillId="0" borderId="2" xfId="0" applyBorder="1" applyAlignment="1">
      <alignment horizontal="center" vertical="center" wrapText="1"/>
    </xf>
    <xf numFmtId="0" fontId="56" fillId="0" borderId="35" xfId="0" applyFont="1" applyBorder="1" applyAlignment="1">
      <alignment horizontal="center" vertical="top"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0" fillId="0" borderId="2" xfId="0" applyBorder="1" applyAlignment="1">
      <alignment horizontal="center" vertical="center"/>
    </xf>
    <xf numFmtId="0" fontId="0" fillId="0" borderId="54" xfId="0" applyBorder="1" applyAlignment="1">
      <alignment horizontal="center" vertical="center" wrapText="1"/>
    </xf>
    <xf numFmtId="0" fontId="0" fillId="0" borderId="60" xfId="0" applyBorder="1" applyAlignment="1">
      <alignment horizontal="center" vertical="center" wrapText="1"/>
    </xf>
    <xf numFmtId="0" fontId="0" fillId="0" borderId="64"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4" fillId="18" borderId="24" xfId="0" applyFont="1" applyFill="1" applyBorder="1" applyAlignment="1">
      <alignment horizontal="center" vertical="center"/>
    </xf>
    <xf numFmtId="0" fontId="54"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56" fillId="0" borderId="13" xfId="0" applyFont="1" applyBorder="1" applyAlignment="1">
      <alignment horizontal="center" vertic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4" xfId="0" applyNumberFormat="1" applyBorder="1" applyAlignment="1">
      <alignment horizontal="center" vertical="center"/>
    </xf>
    <xf numFmtId="42" fontId="0" fillId="0" borderId="35" xfId="0" applyNumberFormat="1" applyBorder="1" applyAlignment="1">
      <alignment horizontal="center" vertical="center"/>
    </xf>
    <xf numFmtId="42" fontId="0" fillId="0" borderId="22" xfId="0" applyNumberFormat="1" applyBorder="1" applyAlignment="1">
      <alignment horizontal="center" vertical="center"/>
    </xf>
    <xf numFmtId="42" fontId="0" fillId="0" borderId="36" xfId="0" applyNumberFormat="1" applyBorder="1" applyAlignment="1">
      <alignment horizontal="center" vertical="center"/>
    </xf>
    <xf numFmtId="42" fontId="0" fillId="0" borderId="66" xfId="0" applyNumberFormat="1" applyBorder="1"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0" fontId="0" fillId="0" borderId="51" xfId="0" applyBorder="1" applyAlignment="1">
      <alignment horizontal="center"/>
    </xf>
    <xf numFmtId="0" fontId="0" fillId="0" borderId="59" xfId="0" applyBorder="1" applyAlignment="1">
      <alignment horizontal="center"/>
    </xf>
    <xf numFmtId="0" fontId="0" fillId="0" borderId="70" xfId="0" applyBorder="1" applyAlignment="1">
      <alignment horizontal="center"/>
    </xf>
    <xf numFmtId="42" fontId="0" fillId="0" borderId="35" xfId="2866" applyFont="1" applyFill="1" applyBorder="1" applyAlignment="1">
      <alignment horizontal="center" vertical="center"/>
    </xf>
    <xf numFmtId="42" fontId="0" fillId="0" borderId="22" xfId="2866" applyFont="1" applyFill="1" applyBorder="1" applyAlignment="1">
      <alignment horizontal="center" vertical="center"/>
    </xf>
    <xf numFmtId="0" fontId="0" fillId="0" borderId="35" xfId="0" applyBorder="1" applyAlignment="1">
      <alignment horizontal="center"/>
    </xf>
    <xf numFmtId="0" fontId="0" fillId="0" borderId="22"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36" xfId="0" applyBorder="1" applyAlignment="1">
      <alignment horizontal="center"/>
    </xf>
    <xf numFmtId="0" fontId="0" fillId="0" borderId="47" xfId="0" applyBorder="1" applyAlignment="1">
      <alignment horizontal="center"/>
    </xf>
    <xf numFmtId="42" fontId="0" fillId="0" borderId="35" xfId="2866" applyFont="1" applyBorder="1" applyAlignment="1">
      <alignment horizontal="center" vertical="center"/>
    </xf>
    <xf numFmtId="42" fontId="0" fillId="0" borderId="22" xfId="2866" applyFont="1" applyBorder="1" applyAlignment="1">
      <alignment horizontal="center" vertical="center"/>
    </xf>
    <xf numFmtId="42" fontId="0" fillId="0" borderId="36" xfId="2866" applyFont="1" applyBorder="1" applyAlignment="1">
      <alignment horizontal="center" vertical="center"/>
    </xf>
    <xf numFmtId="0" fontId="22" fillId="0" borderId="29" xfId="0" applyFont="1" applyBorder="1" applyAlignment="1">
      <alignment horizontal="left" vertical="center"/>
    </xf>
    <xf numFmtId="0" fontId="22" fillId="0" borderId="39" xfId="0" applyFont="1" applyBorder="1" applyAlignment="1">
      <alignment horizontal="left" vertical="center"/>
    </xf>
    <xf numFmtId="42" fontId="0" fillId="0" borderId="35"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6" xfId="2866"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51" fillId="0" borderId="48" xfId="0" applyFont="1" applyBorder="1" applyAlignment="1">
      <alignment horizontal="center"/>
    </xf>
    <xf numFmtId="0" fontId="51" fillId="0" borderId="49" xfId="0" applyFont="1" applyBorder="1" applyAlignment="1">
      <alignment horizontal="center"/>
    </xf>
    <xf numFmtId="0" fontId="51" fillId="0" borderId="50" xfId="0" applyFont="1" applyBorder="1" applyAlignment="1">
      <alignment horizontal="center"/>
    </xf>
    <xf numFmtId="0" fontId="22" fillId="0" borderId="49" xfId="0" applyFont="1" applyBorder="1" applyAlignment="1">
      <alignment horizontal="left" vertical="center"/>
    </xf>
    <xf numFmtId="0" fontId="22" fillId="0" borderId="50" xfId="0" applyFont="1" applyBorder="1" applyAlignment="1">
      <alignment horizontal="left" vertical="center"/>
    </xf>
    <xf numFmtId="0" fontId="3" fillId="0" borderId="22" xfId="0" applyFont="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6" fillId="0" borderId="1" xfId="0" applyFont="1" applyBorder="1" applyAlignment="1">
      <alignment horizontal="center" vertical="center"/>
    </xf>
    <xf numFmtId="0" fontId="56" fillId="0" borderId="4" xfId="0" applyFont="1" applyBorder="1" applyAlignment="1">
      <alignment horizontal="center" vertical="center"/>
    </xf>
    <xf numFmtId="0" fontId="0" fillId="4" borderId="2" xfId="0" applyFill="1" applyBorder="1" applyAlignment="1">
      <alignment horizontal="center" vertical="center" wrapText="1"/>
    </xf>
    <xf numFmtId="0" fontId="56" fillId="0" borderId="2" xfId="0" applyFont="1" applyBorder="1" applyAlignment="1">
      <alignment horizontal="center" vertical="center"/>
    </xf>
    <xf numFmtId="0" fontId="56" fillId="0" borderId="1" xfId="0" applyFont="1" applyBorder="1" applyAlignment="1">
      <alignment horizontal="center" wrapText="1"/>
    </xf>
    <xf numFmtId="0" fontId="56" fillId="0" borderId="4" xfId="0" applyFont="1" applyBorder="1" applyAlignment="1">
      <alignment horizontal="center" wrapText="1"/>
    </xf>
  </cellXfs>
  <cellStyles count="7906">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10" xfId="4150" xr:uid="{8E5832E0-01A2-4C4F-928B-73A68120E20E}"/>
    <cellStyle name="Comma [0] 10 2" xfId="5835" xr:uid="{FFC05810-6C61-447B-B5BC-B95F207DD5F2}"/>
    <cellStyle name="Comma [0] 10 3" xfId="7512" xr:uid="{A280C958-42EE-4DF4-894B-F7D9E7866D69}"/>
    <cellStyle name="Comma [0] 11" xfId="4566" xr:uid="{6DA2E8E9-0156-4D6B-BBCF-36D00E6BEC3C}"/>
    <cellStyle name="Comma [0] 12" xfId="6242" xr:uid="{A4BF7D1C-EA3D-48C4-A93F-6D4445E77698}"/>
    <cellStyle name="Comma [0] 2" xfId="71" xr:uid="{00000000-0005-0000-0000-00002D000000}"/>
    <cellStyle name="Comma [0] 2 10" xfId="4151" xr:uid="{85EE938C-3279-48F8-B838-5F7002E723DC}"/>
    <cellStyle name="Comma [0] 2 10 2" xfId="5836" xr:uid="{DBE9A09D-3F6B-4175-9D7C-7188A6D818CC}"/>
    <cellStyle name="Comma [0] 2 10 3" xfId="7513" xr:uid="{48EEB77C-4D21-4025-A8AC-6DA388EB55F4}"/>
    <cellStyle name="Comma [0] 2 11" xfId="4567" xr:uid="{77B294F7-136B-47D3-8C85-B624F6FC8AB6}"/>
    <cellStyle name="Comma [0] 2 12" xfId="6243" xr:uid="{D1E74748-7DD5-4107-8EF1-667D103978D2}"/>
    <cellStyle name="Comma [0] 2 2" xfId="72" xr:uid="{00000000-0005-0000-0000-00002E000000}"/>
    <cellStyle name="Comma [0] 2 2 10" xfId="4568" xr:uid="{F3724673-C5A6-49AD-A837-0ACD2E279D0F}"/>
    <cellStyle name="Comma [0] 2 2 11" xfId="6244" xr:uid="{FB220845-3061-4C5B-A0A2-B5B32FC1BA20}"/>
    <cellStyle name="Comma [0] 2 2 2" xfId="73" xr:uid="{00000000-0005-0000-0000-00002F000000}"/>
    <cellStyle name="Comma [0] 2 2 2 10" xfId="6245" xr:uid="{8A9B454C-5BA4-4431-B1B4-9126D046AD20}"/>
    <cellStyle name="Comma [0] 2 2 2 2" xfId="2875" xr:uid="{00000000-0005-0000-0000-000030000000}"/>
    <cellStyle name="Comma [0] 2 2 2 2 2" xfId="3007" xr:uid="{00000000-0005-0000-0000-000031000000}"/>
    <cellStyle name="Comma [0] 2 2 2 2 2 2" xfId="3205" xr:uid="{00000000-0005-0000-0000-000032000000}"/>
    <cellStyle name="Comma [0] 2 2 2 2 2 2 2" xfId="3598" xr:uid="{00000000-0005-0000-0000-000033000000}"/>
    <cellStyle name="Comma [0] 2 2 2 2 2 2 2 2" xfId="5302" xr:uid="{590D81F2-B973-41ED-8F88-7AFD2FE435D0}"/>
    <cellStyle name="Comma [0] 2 2 2 2 2 2 2 3" xfId="6979" xr:uid="{D83E0D34-02E5-4398-BDA1-5A32EFB219C9}"/>
    <cellStyle name="Comma [0] 2 2 2 2 2 2 3" xfId="3993" xr:uid="{00000000-0005-0000-0000-000034000000}"/>
    <cellStyle name="Comma [0] 2 2 2 2 2 2 3 2" xfId="5691" xr:uid="{D27F0194-51AD-4392-AF38-210F74EF1D0C}"/>
    <cellStyle name="Comma [0] 2 2 2 2 2 2 3 3" xfId="7368" xr:uid="{243F509C-A7DA-4F83-B6ED-07D8515824B7}"/>
    <cellStyle name="Comma [0] 2 2 2 2 2 2 4" xfId="4500" xr:uid="{6BBDF5FF-8B48-4949-8936-06D768437E26}"/>
    <cellStyle name="Comma [0] 2 2 2 2 2 2 4 2" xfId="6181" xr:uid="{DB308C5D-0BFB-4312-97BA-7712838A8A42}"/>
    <cellStyle name="Comma [0] 2 2 2 2 2 2 4 3" xfId="7858" xr:uid="{B5F931A8-F4FA-4225-A2BF-679C6E26E6F2}"/>
    <cellStyle name="Comma [0] 2 2 2 2 2 2 5" xfId="4914" xr:uid="{A56FDFFF-07AD-4EB4-91B2-65001D3864E0}"/>
    <cellStyle name="Comma [0] 2 2 2 2 2 2 6" xfId="6591" xr:uid="{038C02BA-FD21-4BB8-959D-2A7FD5E858EB}"/>
    <cellStyle name="Comma [0] 2 2 2 2 2 3" xfId="3404" xr:uid="{00000000-0005-0000-0000-000035000000}"/>
    <cellStyle name="Comma [0] 2 2 2 2 2 3 2" xfId="5108" xr:uid="{88D600E2-75D7-4C0F-BADB-CE3A85F685A1}"/>
    <cellStyle name="Comma [0] 2 2 2 2 2 3 3" xfId="6785" xr:uid="{0B98267B-E017-4C47-8A80-DCE892CC45BE}"/>
    <cellStyle name="Comma [0] 2 2 2 2 2 4" xfId="3799" xr:uid="{00000000-0005-0000-0000-000036000000}"/>
    <cellStyle name="Comma [0] 2 2 2 2 2 4 2" xfId="5497" xr:uid="{DB521E33-F781-46E9-AFD1-EFEE752A0CE6}"/>
    <cellStyle name="Comma [0] 2 2 2 2 2 4 3" xfId="7174" xr:uid="{3E944500-1498-49E0-9AB3-FC5C1B8B56FE}"/>
    <cellStyle name="Comma [0] 2 2 2 2 2 5" xfId="4306" xr:uid="{398ABF48-E2AF-41E6-8087-3D9BF9578BDE}"/>
    <cellStyle name="Comma [0] 2 2 2 2 2 5 2" xfId="5987" xr:uid="{5B2A8A29-3A3F-470D-A9C9-4DB5272270D3}"/>
    <cellStyle name="Comma [0] 2 2 2 2 2 5 3" xfId="7664" xr:uid="{D3797363-55AE-45F9-B913-B99353CF80CE}"/>
    <cellStyle name="Comma [0] 2 2 2 2 2 6" xfId="4720" xr:uid="{8D105965-FF0C-4F1A-B4AB-2A241AEDC39A}"/>
    <cellStyle name="Comma [0] 2 2 2 2 2 7" xfId="6397" xr:uid="{B7E9F308-F5E3-45D4-8AF7-C867797B66EA}"/>
    <cellStyle name="Comma [0] 2 2 2 2 3" xfId="3107" xr:uid="{00000000-0005-0000-0000-000037000000}"/>
    <cellStyle name="Comma [0] 2 2 2 2 3 2" xfId="3500" xr:uid="{00000000-0005-0000-0000-000038000000}"/>
    <cellStyle name="Comma [0] 2 2 2 2 3 2 2" xfId="5204" xr:uid="{3731B63A-1384-4523-AF66-C634ED20F545}"/>
    <cellStyle name="Comma [0] 2 2 2 2 3 2 3" xfId="6881" xr:uid="{3AF97CE4-06E9-497F-A6AD-000614D3FEF8}"/>
    <cellStyle name="Comma [0] 2 2 2 2 3 3" xfId="3895" xr:uid="{00000000-0005-0000-0000-000039000000}"/>
    <cellStyle name="Comma [0] 2 2 2 2 3 3 2" xfId="5593" xr:uid="{17C207B3-B43E-4FEA-825E-F8B84FA902BB}"/>
    <cellStyle name="Comma [0] 2 2 2 2 3 3 3" xfId="7270" xr:uid="{14FEE522-AAEC-42C1-B349-88EA354EFD56}"/>
    <cellStyle name="Comma [0] 2 2 2 2 3 4" xfId="4402" xr:uid="{6680C3C1-E071-452B-9FAB-44C65B19B1B2}"/>
    <cellStyle name="Comma [0] 2 2 2 2 3 4 2" xfId="6083" xr:uid="{904FD24A-F613-4D57-9DDD-455383284ED4}"/>
    <cellStyle name="Comma [0] 2 2 2 2 3 4 3" xfId="7760" xr:uid="{77E98E50-1A1A-41EB-9008-978762C0CEC5}"/>
    <cellStyle name="Comma [0] 2 2 2 2 3 5" xfId="4816" xr:uid="{B70B48F6-B157-46CE-A62D-8ACBAC8E9611}"/>
    <cellStyle name="Comma [0] 2 2 2 2 3 6" xfId="6493" xr:uid="{D6B4E4BD-FC13-4BCB-894C-B239F76E0E18}"/>
    <cellStyle name="Comma [0] 2 2 2 2 4" xfId="3306" xr:uid="{00000000-0005-0000-0000-00003A000000}"/>
    <cellStyle name="Comma [0] 2 2 2 2 4 2" xfId="5010" xr:uid="{0F131BC8-23F3-496B-90B6-0DA4045A50D0}"/>
    <cellStyle name="Comma [0] 2 2 2 2 4 3" xfId="6687" xr:uid="{0991FECF-B3B3-4E33-AF4B-3ED3302AC840}"/>
    <cellStyle name="Comma [0] 2 2 2 2 5" xfId="3701" xr:uid="{00000000-0005-0000-0000-00003B000000}"/>
    <cellStyle name="Comma [0] 2 2 2 2 5 2" xfId="5399" xr:uid="{50889542-43B9-40FE-8799-C63ABAE7D244}"/>
    <cellStyle name="Comma [0] 2 2 2 2 5 3" xfId="7076" xr:uid="{D9A6630A-7D5D-4072-9B08-0E6B5393AFE2}"/>
    <cellStyle name="Comma [0] 2 2 2 2 6" xfId="4099" xr:uid="{00000000-0005-0000-0000-00003C000000}"/>
    <cellStyle name="Comma [0] 2 2 2 2 6 2" xfId="5791" xr:uid="{1DB4FB9E-AC73-46D0-ACFB-B970CE421F0F}"/>
    <cellStyle name="Comma [0] 2 2 2 2 6 3" xfId="7468" xr:uid="{EAAB498E-837B-4BE0-91ED-646CC334B3BA}"/>
    <cellStyle name="Comma [0] 2 2 2 2 7" xfId="4208" xr:uid="{462DDFDD-E07D-4A35-AC87-8D61C0E5C127}"/>
    <cellStyle name="Comma [0] 2 2 2 2 7 2" xfId="5889" xr:uid="{C5702F6C-E3E6-4CEB-AA39-210E71C90BB7}"/>
    <cellStyle name="Comma [0] 2 2 2 2 7 3" xfId="7566" xr:uid="{1C5717A8-1F87-4E46-82D0-2C58A6C31F50}"/>
    <cellStyle name="Comma [0] 2 2 2 2 8" xfId="4622" xr:uid="{2B4EB5B3-8F41-436E-94EA-9179291C1DC5}"/>
    <cellStyle name="Comma [0] 2 2 2 2 9" xfId="6299" xr:uid="{CFD25922-7DD0-4777-A138-A6812414E5AE}"/>
    <cellStyle name="Comma [0] 2 2 2 3" xfId="2952" xr:uid="{00000000-0005-0000-0000-00003D000000}"/>
    <cellStyle name="Comma [0] 2 2 2 3 2" xfId="3154" xr:uid="{00000000-0005-0000-0000-00003E000000}"/>
    <cellStyle name="Comma [0] 2 2 2 3 2 2" xfId="3547" xr:uid="{00000000-0005-0000-0000-00003F000000}"/>
    <cellStyle name="Comma [0] 2 2 2 3 2 2 2" xfId="5251" xr:uid="{940BAF2F-F075-4F4E-833B-A480EA943A06}"/>
    <cellStyle name="Comma [0] 2 2 2 3 2 2 3" xfId="6928" xr:uid="{7540000F-BA76-41B4-AEF2-A5E383B2DBDF}"/>
    <cellStyle name="Comma [0] 2 2 2 3 2 3" xfId="3942" xr:uid="{00000000-0005-0000-0000-000040000000}"/>
    <cellStyle name="Comma [0] 2 2 2 3 2 3 2" xfId="5640" xr:uid="{D55E490C-CB39-4A22-BA3C-BC10E6ACA6E4}"/>
    <cellStyle name="Comma [0] 2 2 2 3 2 3 3" xfId="7317" xr:uid="{05C603EC-0044-4D3E-B1F4-C168D8ED3B21}"/>
    <cellStyle name="Comma [0] 2 2 2 3 2 4" xfId="4449" xr:uid="{CFE99E29-301C-4450-8378-12EA1021C172}"/>
    <cellStyle name="Comma [0] 2 2 2 3 2 4 2" xfId="6130" xr:uid="{FBBE5E98-F44B-428E-8401-4F62E57ABF92}"/>
    <cellStyle name="Comma [0] 2 2 2 3 2 4 3" xfId="7807" xr:uid="{BFA847D5-8DA8-49AE-99EE-DA0AF3C10795}"/>
    <cellStyle name="Comma [0] 2 2 2 3 2 5" xfId="4863" xr:uid="{4F218B4A-C45B-4512-9258-3FEF89E98814}"/>
    <cellStyle name="Comma [0] 2 2 2 3 2 6" xfId="6540" xr:uid="{7B8F1B40-C942-4FBD-8DF6-062714D1DACF}"/>
    <cellStyle name="Comma [0] 2 2 2 3 3" xfId="3353" xr:uid="{00000000-0005-0000-0000-000041000000}"/>
    <cellStyle name="Comma [0] 2 2 2 3 3 2" xfId="5057" xr:uid="{9C5C60FD-DBA3-404D-8726-C7D5701C2025}"/>
    <cellStyle name="Comma [0] 2 2 2 3 3 3" xfId="6734" xr:uid="{B579EA14-D58D-4BBF-82C6-D1BDB0641109}"/>
    <cellStyle name="Comma [0] 2 2 2 3 4" xfId="3748" xr:uid="{00000000-0005-0000-0000-000042000000}"/>
    <cellStyle name="Comma [0] 2 2 2 3 4 2" xfId="5446" xr:uid="{A357679F-B951-4DCA-931D-3A11FC8B8DB7}"/>
    <cellStyle name="Comma [0] 2 2 2 3 4 3" xfId="7123" xr:uid="{77E5A8D7-039F-4238-9FDD-27696A2F30EC}"/>
    <cellStyle name="Comma [0] 2 2 2 3 5" xfId="4255" xr:uid="{E8DD78DE-B4C4-40CF-8563-C170635ABE9D}"/>
    <cellStyle name="Comma [0] 2 2 2 3 5 2" xfId="5936" xr:uid="{DF83D243-0A9B-40A6-8AE8-6C17731E70C6}"/>
    <cellStyle name="Comma [0] 2 2 2 3 5 3" xfId="7613" xr:uid="{49E219B7-5B23-4B51-9E2C-59551864A620}"/>
    <cellStyle name="Comma [0] 2 2 2 3 6" xfId="4669" xr:uid="{046415BA-07C1-411A-BB27-7496CA26378A}"/>
    <cellStyle name="Comma [0] 2 2 2 3 7" xfId="6346" xr:uid="{C1FA2CF4-49F5-4AB6-90E3-9FECFE0AD526}"/>
    <cellStyle name="Comma [0] 2 2 2 4" xfId="3058" xr:uid="{00000000-0005-0000-0000-000043000000}"/>
    <cellStyle name="Comma [0] 2 2 2 4 2" xfId="3451" xr:uid="{00000000-0005-0000-0000-000044000000}"/>
    <cellStyle name="Comma [0] 2 2 2 4 2 2" xfId="5155" xr:uid="{A19CCB15-332A-43A2-9556-757148FD2BEB}"/>
    <cellStyle name="Comma [0] 2 2 2 4 2 3" xfId="6832" xr:uid="{877F45B7-5035-4D4D-B338-801318563B30}"/>
    <cellStyle name="Comma [0] 2 2 2 4 3" xfId="3846" xr:uid="{00000000-0005-0000-0000-000045000000}"/>
    <cellStyle name="Comma [0] 2 2 2 4 3 2" xfId="5544" xr:uid="{EDD501B3-1CD9-495C-B78B-F575F79CAAD9}"/>
    <cellStyle name="Comma [0] 2 2 2 4 3 3" xfId="7221" xr:uid="{11E37409-82D2-4887-B246-C6F6E169A5CA}"/>
    <cellStyle name="Comma [0] 2 2 2 4 4" xfId="4353" xr:uid="{B409E89F-C426-4C1F-8159-757A445CA1A3}"/>
    <cellStyle name="Comma [0] 2 2 2 4 4 2" xfId="6034" xr:uid="{8EA922BB-E2E1-488C-957E-4E70104589F5}"/>
    <cellStyle name="Comma [0] 2 2 2 4 4 3" xfId="7711" xr:uid="{45933984-6C0B-49C9-8521-894EBD41B54D}"/>
    <cellStyle name="Comma [0] 2 2 2 4 5" xfId="4767" xr:uid="{96CCAA49-491E-4C32-A526-B06623BDF8E9}"/>
    <cellStyle name="Comma [0] 2 2 2 4 6" xfId="6444" xr:uid="{CBFCF53C-7E17-4820-95B8-B008FB8555D9}"/>
    <cellStyle name="Comma [0] 2 2 2 5" xfId="3256" xr:uid="{00000000-0005-0000-0000-000046000000}"/>
    <cellStyle name="Comma [0] 2 2 2 5 2" xfId="4961" xr:uid="{7E818D77-3C9F-45AD-827B-FF6AA6226F68}"/>
    <cellStyle name="Comma [0] 2 2 2 5 3" xfId="6638" xr:uid="{27209EE5-DBF3-46C9-AE7F-49C92D203CB5}"/>
    <cellStyle name="Comma [0] 2 2 2 6" xfId="3650" xr:uid="{00000000-0005-0000-0000-000047000000}"/>
    <cellStyle name="Comma [0] 2 2 2 6 2" xfId="5349" xr:uid="{EBB70F87-E8FC-49A9-8DDF-0C020EBAC9BF}"/>
    <cellStyle name="Comma [0] 2 2 2 6 3" xfId="7026" xr:uid="{CDA340D7-DCC2-45A9-A4B0-1032BC0E79B4}"/>
    <cellStyle name="Comma [0] 2 2 2 7" xfId="4045" xr:uid="{00000000-0005-0000-0000-000048000000}"/>
    <cellStyle name="Comma [0] 2 2 2 7 2" xfId="5739" xr:uid="{39ADABA9-BDD8-4B7A-A612-0B9E5214D146}"/>
    <cellStyle name="Comma [0] 2 2 2 7 3" xfId="7416" xr:uid="{3A5CC500-9BEF-4C20-A282-ED25B7149D6C}"/>
    <cellStyle name="Comma [0] 2 2 2 8" xfId="4153" xr:uid="{486D0436-B0DE-494D-A3A4-9ED2CCD18826}"/>
    <cellStyle name="Comma [0] 2 2 2 8 2" xfId="5838" xr:uid="{220665DB-DD18-4FB9-AEE3-FD59BCEB8F11}"/>
    <cellStyle name="Comma [0] 2 2 2 8 3" xfId="7515" xr:uid="{5B1BE594-F66E-4114-AD91-BF644DE124F5}"/>
    <cellStyle name="Comma [0] 2 2 2 9" xfId="4569" xr:uid="{E7C1AD2F-DF5F-43E6-9473-6FB329F1B7FE}"/>
    <cellStyle name="Comma [0] 2 2 3" xfId="2874" xr:uid="{00000000-0005-0000-0000-000049000000}"/>
    <cellStyle name="Comma [0] 2 2 3 2" xfId="3006" xr:uid="{00000000-0005-0000-0000-00004A000000}"/>
    <cellStyle name="Comma [0] 2 2 3 2 2" xfId="3204" xr:uid="{00000000-0005-0000-0000-00004B000000}"/>
    <cellStyle name="Comma [0] 2 2 3 2 2 2" xfId="3597" xr:uid="{00000000-0005-0000-0000-00004C000000}"/>
    <cellStyle name="Comma [0] 2 2 3 2 2 2 2" xfId="5301" xr:uid="{3409C934-9B39-4951-B582-FA70E192ECAF}"/>
    <cellStyle name="Comma [0] 2 2 3 2 2 2 3" xfId="6978" xr:uid="{1040DEBE-7C61-4A61-9211-5C89655FB57D}"/>
    <cellStyle name="Comma [0] 2 2 3 2 2 3" xfId="3992" xr:uid="{00000000-0005-0000-0000-00004D000000}"/>
    <cellStyle name="Comma [0] 2 2 3 2 2 3 2" xfId="5690" xr:uid="{65F85FAD-0E94-4268-9898-04F59297987D}"/>
    <cellStyle name="Comma [0] 2 2 3 2 2 3 3" xfId="7367" xr:uid="{34A1422D-07F9-4DF3-9CC0-BC49347A72DC}"/>
    <cellStyle name="Comma [0] 2 2 3 2 2 4" xfId="4499" xr:uid="{C38CA0C7-2AC9-4472-8A1C-7B2847D63A14}"/>
    <cellStyle name="Comma [0] 2 2 3 2 2 4 2" xfId="6180" xr:uid="{39C60061-EE4B-40A5-83C5-60B7EBE96BB7}"/>
    <cellStyle name="Comma [0] 2 2 3 2 2 4 3" xfId="7857" xr:uid="{B412DA2E-9FC1-4BEC-BEBE-51E06753EFF2}"/>
    <cellStyle name="Comma [0] 2 2 3 2 2 5" xfId="4913" xr:uid="{1C992336-E9C0-49C5-8392-527811C914DA}"/>
    <cellStyle name="Comma [0] 2 2 3 2 2 6" xfId="6590" xr:uid="{CF053662-1B86-45FB-BB91-984FCE505FB9}"/>
    <cellStyle name="Comma [0] 2 2 3 2 3" xfId="3403" xr:uid="{00000000-0005-0000-0000-00004E000000}"/>
    <cellStyle name="Comma [0] 2 2 3 2 3 2" xfId="5107" xr:uid="{E5C4B48E-D985-454A-A31C-63BE368E2440}"/>
    <cellStyle name="Comma [0] 2 2 3 2 3 3" xfId="6784" xr:uid="{7FB50C16-8FAB-41AE-B0AA-7798DE6B7550}"/>
    <cellStyle name="Comma [0] 2 2 3 2 4" xfId="3798" xr:uid="{00000000-0005-0000-0000-00004F000000}"/>
    <cellStyle name="Comma [0] 2 2 3 2 4 2" xfId="5496" xr:uid="{E4937642-4C19-4EC7-B228-53072EFC3F9E}"/>
    <cellStyle name="Comma [0] 2 2 3 2 4 3" xfId="7173" xr:uid="{957394BC-5E8A-4A80-BB8A-B5A38A931649}"/>
    <cellStyle name="Comma [0] 2 2 3 2 5" xfId="4305" xr:uid="{13537840-1629-4D12-94C0-81825B221A9C}"/>
    <cellStyle name="Comma [0] 2 2 3 2 5 2" xfId="5986" xr:uid="{281992CD-A2A8-48AA-8F46-1B784211FE42}"/>
    <cellStyle name="Comma [0] 2 2 3 2 5 3" xfId="7663" xr:uid="{DAF407CD-1BB8-48AB-9C52-E48B34081FF6}"/>
    <cellStyle name="Comma [0] 2 2 3 2 6" xfId="4719" xr:uid="{C5BE1624-E155-41C4-BF53-4D01D99E2C28}"/>
    <cellStyle name="Comma [0] 2 2 3 2 7" xfId="6396" xr:uid="{8ADD1D72-D0FF-4629-86F6-5E5B87A4B41C}"/>
    <cellStyle name="Comma [0] 2 2 3 3" xfId="3106" xr:uid="{00000000-0005-0000-0000-000050000000}"/>
    <cellStyle name="Comma [0] 2 2 3 3 2" xfId="3499" xr:uid="{00000000-0005-0000-0000-000051000000}"/>
    <cellStyle name="Comma [0] 2 2 3 3 2 2" xfId="5203" xr:uid="{3F174458-5E03-47D4-8B3E-19C1EFB5423C}"/>
    <cellStyle name="Comma [0] 2 2 3 3 2 3" xfId="6880" xr:uid="{DE0ECB16-EF8D-41E9-9ACB-7754FC46D714}"/>
    <cellStyle name="Comma [0] 2 2 3 3 3" xfId="3894" xr:uid="{00000000-0005-0000-0000-000052000000}"/>
    <cellStyle name="Comma [0] 2 2 3 3 3 2" xfId="5592" xr:uid="{2560B4FD-E617-4F59-A369-C330BE365668}"/>
    <cellStyle name="Comma [0] 2 2 3 3 3 3" xfId="7269" xr:uid="{1C596EAE-A3B2-4984-A941-E33AD05F85D1}"/>
    <cellStyle name="Comma [0] 2 2 3 3 4" xfId="4401" xr:uid="{68B75F99-384C-42DB-92A3-2FA28CA7B3E5}"/>
    <cellStyle name="Comma [0] 2 2 3 3 4 2" xfId="6082" xr:uid="{E062AC6F-CDAD-4CB3-ABB8-327D7B4CFA18}"/>
    <cellStyle name="Comma [0] 2 2 3 3 4 3" xfId="7759" xr:uid="{E36820C5-6CBC-458A-818A-33CC27989F46}"/>
    <cellStyle name="Comma [0] 2 2 3 3 5" xfId="4815" xr:uid="{DD578965-C843-420C-B771-369CA0115C85}"/>
    <cellStyle name="Comma [0] 2 2 3 3 6" xfId="6492" xr:uid="{C450E0F9-1C3C-4281-B4AC-2E5D2A4C84C5}"/>
    <cellStyle name="Comma [0] 2 2 3 4" xfId="3305" xr:uid="{00000000-0005-0000-0000-000053000000}"/>
    <cellStyle name="Comma [0] 2 2 3 4 2" xfId="5009" xr:uid="{92590444-0654-4900-AB79-12B507E078D2}"/>
    <cellStyle name="Comma [0] 2 2 3 4 3" xfId="6686" xr:uid="{36756118-A8DC-4857-8EA7-3CA94789D1F4}"/>
    <cellStyle name="Comma [0] 2 2 3 5" xfId="3700" xr:uid="{00000000-0005-0000-0000-000054000000}"/>
    <cellStyle name="Comma [0] 2 2 3 5 2" xfId="5398" xr:uid="{4B3A261B-C433-4091-A09E-C51D5A4BEE6E}"/>
    <cellStyle name="Comma [0] 2 2 3 5 3" xfId="7075" xr:uid="{FCBE4E3A-8C43-48A2-ADF6-D53D6F4021EB}"/>
    <cellStyle name="Comma [0] 2 2 3 6" xfId="4098" xr:uid="{00000000-0005-0000-0000-000055000000}"/>
    <cellStyle name="Comma [0] 2 2 3 6 2" xfId="5790" xr:uid="{DD2BE365-8C22-494E-B3F0-9C99BA6EE120}"/>
    <cellStyle name="Comma [0] 2 2 3 6 3" xfId="7467" xr:uid="{651D9F73-415C-452E-8EA0-E8FA20868B9F}"/>
    <cellStyle name="Comma [0] 2 2 3 7" xfId="4207" xr:uid="{B28DB083-FA12-4F89-8698-97517C2B4041}"/>
    <cellStyle name="Comma [0] 2 2 3 7 2" xfId="5888" xr:uid="{CBF560B9-6AC7-4391-B63F-489DDB99BD97}"/>
    <cellStyle name="Comma [0] 2 2 3 7 3" xfId="7565" xr:uid="{DFF8A640-C430-40D2-BB48-FF0D8914497B}"/>
    <cellStyle name="Comma [0] 2 2 3 8" xfId="4621" xr:uid="{1E53961D-BACC-4FEB-BE90-B191C33AF4A5}"/>
    <cellStyle name="Comma [0] 2 2 3 9" xfId="6298" xr:uid="{30539E9C-B482-4DBE-9D76-60D49D3D6751}"/>
    <cellStyle name="Comma [0] 2 2 4" xfId="2951" xr:uid="{00000000-0005-0000-0000-000056000000}"/>
    <cellStyle name="Comma [0] 2 2 4 2" xfId="3153" xr:uid="{00000000-0005-0000-0000-000057000000}"/>
    <cellStyle name="Comma [0] 2 2 4 2 2" xfId="3546" xr:uid="{00000000-0005-0000-0000-000058000000}"/>
    <cellStyle name="Comma [0] 2 2 4 2 2 2" xfId="5250" xr:uid="{52203671-B6D4-4ABC-8219-F9AE0E88E689}"/>
    <cellStyle name="Comma [0] 2 2 4 2 2 3" xfId="6927" xr:uid="{DD84A75A-A03A-4E53-B525-501CFD4A2393}"/>
    <cellStyle name="Comma [0] 2 2 4 2 3" xfId="3941" xr:uid="{00000000-0005-0000-0000-000059000000}"/>
    <cellStyle name="Comma [0] 2 2 4 2 3 2" xfId="5639" xr:uid="{CAB26366-9815-41A9-8380-8CFD2962A6F8}"/>
    <cellStyle name="Comma [0] 2 2 4 2 3 3" xfId="7316" xr:uid="{820EBED3-A8AE-4BE6-88D2-FB08766A756B}"/>
    <cellStyle name="Comma [0] 2 2 4 2 4" xfId="4448" xr:uid="{5F63FD82-F90A-4D5B-BA8B-F64EADB117F6}"/>
    <cellStyle name="Comma [0] 2 2 4 2 4 2" xfId="6129" xr:uid="{9B573AF5-D481-494C-877D-D761D7305328}"/>
    <cellStyle name="Comma [0] 2 2 4 2 4 3" xfId="7806" xr:uid="{E090101E-C906-4504-861E-FCBB4BB979AA}"/>
    <cellStyle name="Comma [0] 2 2 4 2 5" xfId="4862" xr:uid="{930D3FD5-8883-48D1-9FF5-6D3400E3B603}"/>
    <cellStyle name="Comma [0] 2 2 4 2 6" xfId="6539" xr:uid="{370E556B-30AA-4ED3-8E40-4AF764C85F56}"/>
    <cellStyle name="Comma [0] 2 2 4 3" xfId="3352" xr:uid="{00000000-0005-0000-0000-00005A000000}"/>
    <cellStyle name="Comma [0] 2 2 4 3 2" xfId="5056" xr:uid="{3D539897-8A0E-4770-97FD-F2DCAED5EF60}"/>
    <cellStyle name="Comma [0] 2 2 4 3 3" xfId="6733" xr:uid="{E7C7D936-F64E-40D5-A248-75D6C2A7B77F}"/>
    <cellStyle name="Comma [0] 2 2 4 4" xfId="3747" xr:uid="{00000000-0005-0000-0000-00005B000000}"/>
    <cellStyle name="Comma [0] 2 2 4 4 2" xfId="5445" xr:uid="{EF42F76D-4F33-4EC0-93D0-3A445188C159}"/>
    <cellStyle name="Comma [0] 2 2 4 4 3" xfId="7122" xr:uid="{D197B288-C20C-4068-9981-C9D323FA3FA1}"/>
    <cellStyle name="Comma [0] 2 2 4 5" xfId="4254" xr:uid="{730FFE85-A741-4994-8C8A-83341177FF70}"/>
    <cellStyle name="Comma [0] 2 2 4 5 2" xfId="5935" xr:uid="{3432BF73-8A22-4D1E-A2AC-E535CF1A051D}"/>
    <cellStyle name="Comma [0] 2 2 4 5 3" xfId="7612" xr:uid="{7F1B30FF-3A89-4DD8-A436-CAE517543E90}"/>
    <cellStyle name="Comma [0] 2 2 4 6" xfId="4668" xr:uid="{E29BEF38-A26B-40D0-AF41-7CB636894FDB}"/>
    <cellStyle name="Comma [0] 2 2 4 7" xfId="6345" xr:uid="{B9BE5FB1-D409-4B29-A6FB-7BE5A2389BAC}"/>
    <cellStyle name="Comma [0] 2 2 5" xfId="3057" xr:uid="{00000000-0005-0000-0000-00005C000000}"/>
    <cellStyle name="Comma [0] 2 2 5 2" xfId="3450" xr:uid="{00000000-0005-0000-0000-00005D000000}"/>
    <cellStyle name="Comma [0] 2 2 5 2 2" xfId="5154" xr:uid="{46F5EA7C-96E7-43CA-86DA-37437543B914}"/>
    <cellStyle name="Comma [0] 2 2 5 2 3" xfId="6831" xr:uid="{4E538EF6-D14D-40A3-A2F0-28E439FBCA2F}"/>
    <cellStyle name="Comma [0] 2 2 5 3" xfId="3845" xr:uid="{00000000-0005-0000-0000-00005E000000}"/>
    <cellStyle name="Comma [0] 2 2 5 3 2" xfId="5543" xr:uid="{A2697CA2-AF62-43E7-9F77-47483BEF4315}"/>
    <cellStyle name="Comma [0] 2 2 5 3 3" xfId="7220" xr:uid="{DE2D8EFD-5E7A-4E2F-A46E-A30DB74A1ABF}"/>
    <cellStyle name="Comma [0] 2 2 5 4" xfId="4352" xr:uid="{8B9A854A-F7A3-440B-9AC7-A95C779E16EA}"/>
    <cellStyle name="Comma [0] 2 2 5 4 2" xfId="6033" xr:uid="{1FE1C7BE-E139-442F-9E4F-03F637E0092B}"/>
    <cellStyle name="Comma [0] 2 2 5 4 3" xfId="7710" xr:uid="{C453EB58-CA1B-47E1-B455-7CD3B94C2EE1}"/>
    <cellStyle name="Comma [0] 2 2 5 5" xfId="4766" xr:uid="{B5B461A2-B739-4133-819D-717736324A7D}"/>
    <cellStyle name="Comma [0] 2 2 5 6" xfId="6443" xr:uid="{1E1E00FF-74B6-4E9C-AE65-A5AD8A3E2D75}"/>
    <cellStyle name="Comma [0] 2 2 6" xfId="3255" xr:uid="{00000000-0005-0000-0000-00005F000000}"/>
    <cellStyle name="Comma [0] 2 2 6 2" xfId="4960" xr:uid="{527235CE-7D26-41AA-AABF-C593FDF0119B}"/>
    <cellStyle name="Comma [0] 2 2 6 3" xfId="6637" xr:uid="{227F566E-7993-47AE-AD29-EA26238DA9CA}"/>
    <cellStyle name="Comma [0] 2 2 7" xfId="3649" xr:uid="{00000000-0005-0000-0000-000060000000}"/>
    <cellStyle name="Comma [0] 2 2 7 2" xfId="5348" xr:uid="{8692E71C-C2F1-4BDA-97A0-65124BB7FB24}"/>
    <cellStyle name="Comma [0] 2 2 7 3" xfId="7025" xr:uid="{0873F5E2-D88E-4270-9F95-2E7AAF0C5249}"/>
    <cellStyle name="Comma [0] 2 2 8" xfId="4044" xr:uid="{00000000-0005-0000-0000-000061000000}"/>
    <cellStyle name="Comma [0] 2 2 8 2" xfId="5738" xr:uid="{FB17805C-9C83-472D-87FC-263530A7EE53}"/>
    <cellStyle name="Comma [0] 2 2 8 3" xfId="7415" xr:uid="{BE3E5343-5885-4E17-A74B-F2045FE4B978}"/>
    <cellStyle name="Comma [0] 2 2 9" xfId="4152" xr:uid="{A00C556C-8F37-4E12-AE56-A34403261290}"/>
    <cellStyle name="Comma [0] 2 2 9 2" xfId="5837" xr:uid="{20BB1318-CF3A-4836-8048-FB35A345BEE6}"/>
    <cellStyle name="Comma [0] 2 2 9 3" xfId="7514" xr:uid="{35C2DA33-2705-424F-8B4F-76E36751E6AB}"/>
    <cellStyle name="Comma [0] 2 3" xfId="74" xr:uid="{00000000-0005-0000-0000-000062000000}"/>
    <cellStyle name="Comma [0] 2 3 10" xfId="6246" xr:uid="{A66CC76B-1A23-4158-96D6-BAB1D0ABC110}"/>
    <cellStyle name="Comma [0] 2 3 2" xfId="2876" xr:uid="{00000000-0005-0000-0000-000063000000}"/>
    <cellStyle name="Comma [0] 2 3 2 2" xfId="3008" xr:uid="{00000000-0005-0000-0000-000064000000}"/>
    <cellStyle name="Comma [0] 2 3 2 2 2" xfId="3206" xr:uid="{00000000-0005-0000-0000-000065000000}"/>
    <cellStyle name="Comma [0] 2 3 2 2 2 2" xfId="3599" xr:uid="{00000000-0005-0000-0000-000066000000}"/>
    <cellStyle name="Comma [0] 2 3 2 2 2 2 2" xfId="5303" xr:uid="{DCA94D8B-B526-4D8A-ABE2-425B8CD8A60F}"/>
    <cellStyle name="Comma [0] 2 3 2 2 2 2 3" xfId="6980" xr:uid="{0C9B40BC-F57D-4ACE-9E8C-436FC326FDB8}"/>
    <cellStyle name="Comma [0] 2 3 2 2 2 3" xfId="3994" xr:uid="{00000000-0005-0000-0000-000067000000}"/>
    <cellStyle name="Comma [0] 2 3 2 2 2 3 2" xfId="5692" xr:uid="{A317EB6E-F3B2-49AB-9F88-8CAF0CA7FFCD}"/>
    <cellStyle name="Comma [0] 2 3 2 2 2 3 3" xfId="7369" xr:uid="{3A255320-1869-4118-8D67-05D10602438A}"/>
    <cellStyle name="Comma [0] 2 3 2 2 2 4" xfId="4501" xr:uid="{932F8A7F-C1F8-4CB3-9CF5-52A90BCB0F88}"/>
    <cellStyle name="Comma [0] 2 3 2 2 2 4 2" xfId="6182" xr:uid="{4FAE8002-2375-4E1B-B6A0-19817B3B7FF5}"/>
    <cellStyle name="Comma [0] 2 3 2 2 2 4 3" xfId="7859" xr:uid="{E4D42181-53BD-451D-9824-E9ABBF044E0F}"/>
    <cellStyle name="Comma [0] 2 3 2 2 2 5" xfId="4915" xr:uid="{EC41C42E-045C-4998-B689-2218D32FFDA1}"/>
    <cellStyle name="Comma [0] 2 3 2 2 2 6" xfId="6592" xr:uid="{A28B996A-80A9-45AC-93F9-2623D3C14D85}"/>
    <cellStyle name="Comma [0] 2 3 2 2 3" xfId="3405" xr:uid="{00000000-0005-0000-0000-000068000000}"/>
    <cellStyle name="Comma [0] 2 3 2 2 3 2" xfId="5109" xr:uid="{3A89530D-3E3E-4440-86EB-A64A072EC16B}"/>
    <cellStyle name="Comma [0] 2 3 2 2 3 3" xfId="6786" xr:uid="{0DD5BAF8-FC70-48FE-AFAA-CC7DBCB9FBCC}"/>
    <cellStyle name="Comma [0] 2 3 2 2 4" xfId="3800" xr:uid="{00000000-0005-0000-0000-000069000000}"/>
    <cellStyle name="Comma [0] 2 3 2 2 4 2" xfId="5498" xr:uid="{5A33D6D7-78A9-4A2F-AF4B-38B07AEAA3E9}"/>
    <cellStyle name="Comma [0] 2 3 2 2 4 3" xfId="7175" xr:uid="{45946330-4A8D-4422-948D-4030265BAA66}"/>
    <cellStyle name="Comma [0] 2 3 2 2 5" xfId="4307" xr:uid="{4E26C395-205D-4725-9282-8A9B8FB4489A}"/>
    <cellStyle name="Comma [0] 2 3 2 2 5 2" xfId="5988" xr:uid="{0EBB0EB4-8D70-40BB-B64E-AC2E55FB9774}"/>
    <cellStyle name="Comma [0] 2 3 2 2 5 3" xfId="7665" xr:uid="{96F37B6A-C1D3-4B78-8FC7-B0728E7AC34F}"/>
    <cellStyle name="Comma [0] 2 3 2 2 6" xfId="4721" xr:uid="{265F0D8B-0CA2-4EFA-AC4C-FF95882B5B8C}"/>
    <cellStyle name="Comma [0] 2 3 2 2 7" xfId="6398" xr:uid="{119ABA89-EA78-42A3-BE86-4715BB446802}"/>
    <cellStyle name="Comma [0] 2 3 2 3" xfId="3108" xr:uid="{00000000-0005-0000-0000-00006A000000}"/>
    <cellStyle name="Comma [0] 2 3 2 3 2" xfId="3501" xr:uid="{00000000-0005-0000-0000-00006B000000}"/>
    <cellStyle name="Comma [0] 2 3 2 3 2 2" xfId="5205" xr:uid="{C3C4CAE5-DBD3-4E12-9CB0-0DFCC38040C8}"/>
    <cellStyle name="Comma [0] 2 3 2 3 2 3" xfId="6882" xr:uid="{F0308BD3-97B8-4167-BD78-0B9CCF635C51}"/>
    <cellStyle name="Comma [0] 2 3 2 3 3" xfId="3896" xr:uid="{00000000-0005-0000-0000-00006C000000}"/>
    <cellStyle name="Comma [0] 2 3 2 3 3 2" xfId="5594" xr:uid="{8177490D-43CC-4E6C-A61A-DA72BE72932A}"/>
    <cellStyle name="Comma [0] 2 3 2 3 3 3" xfId="7271" xr:uid="{0E0B8B2E-F829-4580-8FD8-8812BA1ED9E8}"/>
    <cellStyle name="Comma [0] 2 3 2 3 4" xfId="4403" xr:uid="{79EB3E10-CF75-45A1-B95D-AA4E3A95D9D7}"/>
    <cellStyle name="Comma [0] 2 3 2 3 4 2" xfId="6084" xr:uid="{19AB201B-5C1E-469F-9F91-686C5AC7B9CC}"/>
    <cellStyle name="Comma [0] 2 3 2 3 4 3" xfId="7761" xr:uid="{0045C2ED-6DD5-4A6B-8A1C-BACB1FDCEBFD}"/>
    <cellStyle name="Comma [0] 2 3 2 3 5" xfId="4817" xr:uid="{3C7A3D46-D53F-4F16-8B7F-4DE09A761672}"/>
    <cellStyle name="Comma [0] 2 3 2 3 6" xfId="6494" xr:uid="{C7AF661E-BF7B-4758-8DF1-6388A179CD29}"/>
    <cellStyle name="Comma [0] 2 3 2 4" xfId="3307" xr:uid="{00000000-0005-0000-0000-00006D000000}"/>
    <cellStyle name="Comma [0] 2 3 2 4 2" xfId="5011" xr:uid="{7008E37F-0A2C-4FE5-939A-7249112DCCE9}"/>
    <cellStyle name="Comma [0] 2 3 2 4 3" xfId="6688" xr:uid="{77030CB8-7C16-46F3-BE7D-1B8EFA4F8F46}"/>
    <cellStyle name="Comma [0] 2 3 2 5" xfId="3702" xr:uid="{00000000-0005-0000-0000-00006E000000}"/>
    <cellStyle name="Comma [0] 2 3 2 5 2" xfId="5400" xr:uid="{E67FCACC-BCBB-476D-ACAE-838C39746552}"/>
    <cellStyle name="Comma [0] 2 3 2 5 3" xfId="7077" xr:uid="{8493662A-E2D7-4E85-8775-77ACA44D6B37}"/>
    <cellStyle name="Comma [0] 2 3 2 6" xfId="4100" xr:uid="{00000000-0005-0000-0000-00006F000000}"/>
    <cellStyle name="Comma [0] 2 3 2 6 2" xfId="5792" xr:uid="{8CAEA68F-3AB6-4BB9-8664-A09492AF12FD}"/>
    <cellStyle name="Comma [0] 2 3 2 6 3" xfId="7469" xr:uid="{9227888C-9624-4F63-BC21-5EB95A505F89}"/>
    <cellStyle name="Comma [0] 2 3 2 7" xfId="4209" xr:uid="{4E6F99A2-F545-4358-BAC1-7C2773614AC6}"/>
    <cellStyle name="Comma [0] 2 3 2 7 2" xfId="5890" xr:uid="{48EBC26D-B6E4-4536-B64F-22FF23B9B30D}"/>
    <cellStyle name="Comma [0] 2 3 2 7 3" xfId="7567" xr:uid="{C4E94FA0-F8C4-42E2-8FF7-E555D8679417}"/>
    <cellStyle name="Comma [0] 2 3 2 8" xfId="4623" xr:uid="{2FA47553-BEE1-4D9C-BA5A-DFA46E370400}"/>
    <cellStyle name="Comma [0] 2 3 2 9" xfId="6300" xr:uid="{D0B72D8F-F76F-4040-9E27-7CE3CAEA3A12}"/>
    <cellStyle name="Comma [0] 2 3 3" xfId="2953" xr:uid="{00000000-0005-0000-0000-000070000000}"/>
    <cellStyle name="Comma [0] 2 3 3 2" xfId="3155" xr:uid="{00000000-0005-0000-0000-000071000000}"/>
    <cellStyle name="Comma [0] 2 3 3 2 2" xfId="3548" xr:uid="{00000000-0005-0000-0000-000072000000}"/>
    <cellStyle name="Comma [0] 2 3 3 2 2 2" xfId="5252" xr:uid="{79C68604-77F0-4730-91CD-B3CD6C2F0780}"/>
    <cellStyle name="Comma [0] 2 3 3 2 2 3" xfId="6929" xr:uid="{2E15EB24-DE09-40FF-90A3-9F953CE43C6B}"/>
    <cellStyle name="Comma [0] 2 3 3 2 3" xfId="3943" xr:uid="{00000000-0005-0000-0000-000073000000}"/>
    <cellStyle name="Comma [0] 2 3 3 2 3 2" xfId="5641" xr:uid="{F1B9B854-0264-44EA-8F38-01FD3C9B9E1B}"/>
    <cellStyle name="Comma [0] 2 3 3 2 3 3" xfId="7318" xr:uid="{AA72C52B-4767-4C67-B02F-55BE21A85E42}"/>
    <cellStyle name="Comma [0] 2 3 3 2 4" xfId="4450" xr:uid="{F27BD9B9-2D4F-481F-A9D3-4FC958B49C96}"/>
    <cellStyle name="Comma [0] 2 3 3 2 4 2" xfId="6131" xr:uid="{7B7A9221-1DCA-4B2F-98DC-E0C5E7DD99B3}"/>
    <cellStyle name="Comma [0] 2 3 3 2 4 3" xfId="7808" xr:uid="{A7D1621E-7988-409E-A386-87A5718F51C5}"/>
    <cellStyle name="Comma [0] 2 3 3 2 5" xfId="4864" xr:uid="{A27B0EB5-AEEF-4DAC-888B-6824FD72601C}"/>
    <cellStyle name="Comma [0] 2 3 3 2 6" xfId="6541" xr:uid="{E8309E0D-47FE-46FF-871F-F31896A349CC}"/>
    <cellStyle name="Comma [0] 2 3 3 3" xfId="3354" xr:uid="{00000000-0005-0000-0000-000074000000}"/>
    <cellStyle name="Comma [0] 2 3 3 3 2" xfId="5058" xr:uid="{C8CEC47E-E685-4D07-80FA-AC313066919C}"/>
    <cellStyle name="Comma [0] 2 3 3 3 3" xfId="6735" xr:uid="{7E13830E-2E97-49B2-B957-0C9897EE4B00}"/>
    <cellStyle name="Comma [0] 2 3 3 4" xfId="3749" xr:uid="{00000000-0005-0000-0000-000075000000}"/>
    <cellStyle name="Comma [0] 2 3 3 4 2" xfId="5447" xr:uid="{480485D0-C437-4855-BDD7-01E158E949A1}"/>
    <cellStyle name="Comma [0] 2 3 3 4 3" xfId="7124" xr:uid="{B0D780EC-2F06-42E5-8C76-53E214E90595}"/>
    <cellStyle name="Comma [0] 2 3 3 5" xfId="4256" xr:uid="{E502BBF2-FCBF-47E8-B189-96E92F19E4A5}"/>
    <cellStyle name="Comma [0] 2 3 3 5 2" xfId="5937" xr:uid="{37AFB554-D6E2-4088-915F-765332B6D4DA}"/>
    <cellStyle name="Comma [0] 2 3 3 5 3" xfId="7614" xr:uid="{22A17DB4-BDA7-498C-B691-F3C01828023C}"/>
    <cellStyle name="Comma [0] 2 3 3 6" xfId="4670" xr:uid="{6C7B7C74-CB4A-4663-BE7C-66EA6D2222EB}"/>
    <cellStyle name="Comma [0] 2 3 3 7" xfId="6347" xr:uid="{5DFECA35-150D-4857-98AB-B49A550D2092}"/>
    <cellStyle name="Comma [0] 2 3 4" xfId="3059" xr:uid="{00000000-0005-0000-0000-000076000000}"/>
    <cellStyle name="Comma [0] 2 3 4 2" xfId="3452" xr:uid="{00000000-0005-0000-0000-000077000000}"/>
    <cellStyle name="Comma [0] 2 3 4 2 2" xfId="5156" xr:uid="{13429460-2889-4EEC-A557-1F94429064DE}"/>
    <cellStyle name="Comma [0] 2 3 4 2 3" xfId="6833" xr:uid="{61BF96CF-B624-4352-BBD9-B2A90E1300CB}"/>
    <cellStyle name="Comma [0] 2 3 4 3" xfId="3847" xr:uid="{00000000-0005-0000-0000-000078000000}"/>
    <cellStyle name="Comma [0] 2 3 4 3 2" xfId="5545" xr:uid="{A783E11E-CF3C-4E7E-BB1B-CD56AD53240E}"/>
    <cellStyle name="Comma [0] 2 3 4 3 3" xfId="7222" xr:uid="{DB47F6DC-FD5E-4991-82EE-B663652D4197}"/>
    <cellStyle name="Comma [0] 2 3 4 4" xfId="4354" xr:uid="{B1BB1439-E5A1-49CD-9A09-76E40D61323D}"/>
    <cellStyle name="Comma [0] 2 3 4 4 2" xfId="6035" xr:uid="{BADCC6CD-70F3-43AB-8196-BFBF6B6F6267}"/>
    <cellStyle name="Comma [0] 2 3 4 4 3" xfId="7712" xr:uid="{BD4D1523-8CAE-48B2-8DF4-8B19AB4FE61C}"/>
    <cellStyle name="Comma [0] 2 3 4 5" xfId="4768" xr:uid="{238023B2-53EB-4D53-A4D7-FB155335F784}"/>
    <cellStyle name="Comma [0] 2 3 4 6" xfId="6445" xr:uid="{72D2361F-A599-48C9-A532-8ED01873B32C}"/>
    <cellStyle name="Comma [0] 2 3 5" xfId="3257" xr:uid="{00000000-0005-0000-0000-000079000000}"/>
    <cellStyle name="Comma [0] 2 3 5 2" xfId="4962" xr:uid="{56B34D35-5DD5-4491-8522-26A7FB4D9BA4}"/>
    <cellStyle name="Comma [0] 2 3 5 3" xfId="6639" xr:uid="{AF217A2D-BCDB-4B66-88AF-BF7BB26D12B1}"/>
    <cellStyle name="Comma [0] 2 3 6" xfId="3651" xr:uid="{00000000-0005-0000-0000-00007A000000}"/>
    <cellStyle name="Comma [0] 2 3 6 2" xfId="5350" xr:uid="{12DF8287-18C7-4013-9E0E-F473CCB8751B}"/>
    <cellStyle name="Comma [0] 2 3 6 3" xfId="7027" xr:uid="{C70C3801-98E4-4FAF-8CEC-B2C9CF9AC952}"/>
    <cellStyle name="Comma [0] 2 3 7" xfId="4046" xr:uid="{00000000-0005-0000-0000-00007B000000}"/>
    <cellStyle name="Comma [0] 2 3 7 2" xfId="5740" xr:uid="{5E35C37A-3725-4561-889E-317A697CA8FA}"/>
    <cellStyle name="Comma [0] 2 3 7 3" xfId="7417" xr:uid="{583B7524-2D83-4B27-AE31-2312A642D06A}"/>
    <cellStyle name="Comma [0] 2 3 8" xfId="4154" xr:uid="{3492A938-8BE9-461E-9BD3-47A84728BEE9}"/>
    <cellStyle name="Comma [0] 2 3 8 2" xfId="5839" xr:uid="{6A90C23C-A952-4940-B9AD-3AD4CDC6989D}"/>
    <cellStyle name="Comma [0] 2 3 8 3" xfId="7516" xr:uid="{0AD9A1D8-6F9E-405E-AEBB-0BB713C0A3B9}"/>
    <cellStyle name="Comma [0] 2 3 9" xfId="4570" xr:uid="{B80F48A2-6210-4655-8DD1-2AE119A041CF}"/>
    <cellStyle name="Comma [0] 2 4" xfId="2873" xr:uid="{00000000-0005-0000-0000-00007C000000}"/>
    <cellStyle name="Comma [0] 2 4 2" xfId="3005" xr:uid="{00000000-0005-0000-0000-00007D000000}"/>
    <cellStyle name="Comma [0] 2 4 2 2" xfId="3203" xr:uid="{00000000-0005-0000-0000-00007E000000}"/>
    <cellStyle name="Comma [0] 2 4 2 2 2" xfId="3596" xr:uid="{00000000-0005-0000-0000-00007F000000}"/>
    <cellStyle name="Comma [0] 2 4 2 2 2 2" xfId="5300" xr:uid="{F38FB0BC-C719-450E-A7AB-BC4CDEC75BDD}"/>
    <cellStyle name="Comma [0] 2 4 2 2 2 3" xfId="6977" xr:uid="{5A292DDC-BB19-4450-BF9B-4D837395B73A}"/>
    <cellStyle name="Comma [0] 2 4 2 2 3" xfId="3991" xr:uid="{00000000-0005-0000-0000-000080000000}"/>
    <cellStyle name="Comma [0] 2 4 2 2 3 2" xfId="5689" xr:uid="{561F19A4-3AF0-4E29-8804-10529B13313E}"/>
    <cellStyle name="Comma [0] 2 4 2 2 3 3" xfId="7366" xr:uid="{6D1651E8-7405-4EB8-94E2-5825AF183229}"/>
    <cellStyle name="Comma [0] 2 4 2 2 4" xfId="4498" xr:uid="{49B3D7D1-1AD7-4122-B7C9-FD9A313F51A6}"/>
    <cellStyle name="Comma [0] 2 4 2 2 4 2" xfId="6179" xr:uid="{EC254B23-3C22-4CC0-9F25-3B77E2C92782}"/>
    <cellStyle name="Comma [0] 2 4 2 2 4 3" xfId="7856" xr:uid="{4C7A43F7-7785-4591-A026-D6C6678AB1E6}"/>
    <cellStyle name="Comma [0] 2 4 2 2 5" xfId="4912" xr:uid="{DFE925F6-2BDC-4503-9576-B406172B9C25}"/>
    <cellStyle name="Comma [0] 2 4 2 2 6" xfId="6589" xr:uid="{D971D879-E1FB-459A-8AAE-1E359F4ABA88}"/>
    <cellStyle name="Comma [0] 2 4 2 3" xfId="3402" xr:uid="{00000000-0005-0000-0000-000081000000}"/>
    <cellStyle name="Comma [0] 2 4 2 3 2" xfId="5106" xr:uid="{2699B7AB-F19E-4ED2-B70B-9CF23FA12479}"/>
    <cellStyle name="Comma [0] 2 4 2 3 3" xfId="6783" xr:uid="{0963A1E4-F9CC-451E-A98F-21B0FCCA878F}"/>
    <cellStyle name="Comma [0] 2 4 2 4" xfId="3797" xr:uid="{00000000-0005-0000-0000-000082000000}"/>
    <cellStyle name="Comma [0] 2 4 2 4 2" xfId="5495" xr:uid="{E9C70E64-537D-4344-8589-95724D5AD6AD}"/>
    <cellStyle name="Comma [0] 2 4 2 4 3" xfId="7172" xr:uid="{D9EED3B3-E3B7-4FE7-81C0-1CDF22708038}"/>
    <cellStyle name="Comma [0] 2 4 2 5" xfId="4304" xr:uid="{2034DAEC-3F2B-4AD2-886E-20ABB8218189}"/>
    <cellStyle name="Comma [0] 2 4 2 5 2" xfId="5985" xr:uid="{8706F5E8-5BEA-4DCD-973B-F08829AEEA62}"/>
    <cellStyle name="Comma [0] 2 4 2 5 3" xfId="7662" xr:uid="{BB455578-0AAE-4612-A90C-481635E98981}"/>
    <cellStyle name="Comma [0] 2 4 2 6" xfId="4718" xr:uid="{645CEA39-E280-4204-910B-8649E98632D7}"/>
    <cellStyle name="Comma [0] 2 4 2 7" xfId="6395" xr:uid="{38D539C6-3F2C-4E76-9326-4621ED19D4C1}"/>
    <cellStyle name="Comma [0] 2 4 3" xfId="3105" xr:uid="{00000000-0005-0000-0000-000083000000}"/>
    <cellStyle name="Comma [0] 2 4 3 2" xfId="3498" xr:uid="{00000000-0005-0000-0000-000084000000}"/>
    <cellStyle name="Comma [0] 2 4 3 2 2" xfId="5202" xr:uid="{E807688D-1BA2-4969-B85D-EB086384E9CC}"/>
    <cellStyle name="Comma [0] 2 4 3 2 3" xfId="6879" xr:uid="{142BF6DA-5B95-4A06-B38C-7CAEC0BEB8D5}"/>
    <cellStyle name="Comma [0] 2 4 3 3" xfId="3893" xr:uid="{00000000-0005-0000-0000-000085000000}"/>
    <cellStyle name="Comma [0] 2 4 3 3 2" xfId="5591" xr:uid="{90BF1746-F8BC-445C-BF0A-11A6B018C9EE}"/>
    <cellStyle name="Comma [0] 2 4 3 3 3" xfId="7268" xr:uid="{CEAD4509-574B-4D49-9305-AE3690A26CAB}"/>
    <cellStyle name="Comma [0] 2 4 3 4" xfId="4400" xr:uid="{6355DF78-174B-4452-BE86-83408DAC4994}"/>
    <cellStyle name="Comma [0] 2 4 3 4 2" xfId="6081" xr:uid="{12D2772F-C8A3-4BAF-963C-DD1877269160}"/>
    <cellStyle name="Comma [0] 2 4 3 4 3" xfId="7758" xr:uid="{05DC88EB-A7AD-44B6-A817-AB4FAEBF51B4}"/>
    <cellStyle name="Comma [0] 2 4 3 5" xfId="4814" xr:uid="{577D0DF1-C8F4-40D9-A5B2-7A194A069FB4}"/>
    <cellStyle name="Comma [0] 2 4 3 6" xfId="6491" xr:uid="{9F51852C-E23F-4E3B-A380-FAD2AF78CF22}"/>
    <cellStyle name="Comma [0] 2 4 4" xfId="3304" xr:uid="{00000000-0005-0000-0000-000086000000}"/>
    <cellStyle name="Comma [0] 2 4 4 2" xfId="5008" xr:uid="{314238D6-3896-4FA0-814D-9237192E209E}"/>
    <cellStyle name="Comma [0] 2 4 4 3" xfId="6685" xr:uid="{F9C4CA0F-DB1C-4A2B-8BE5-3E99FB2295F6}"/>
    <cellStyle name="Comma [0] 2 4 5" xfId="3699" xr:uid="{00000000-0005-0000-0000-000087000000}"/>
    <cellStyle name="Comma [0] 2 4 5 2" xfId="5397" xr:uid="{6AB6553E-EFE0-4B26-B686-5F8E5884FFC1}"/>
    <cellStyle name="Comma [0] 2 4 5 3" xfId="7074" xr:uid="{2ACCF0BF-F9A5-4C15-AC11-34EDAE9A49FE}"/>
    <cellStyle name="Comma [0] 2 4 6" xfId="4097" xr:uid="{00000000-0005-0000-0000-000088000000}"/>
    <cellStyle name="Comma [0] 2 4 6 2" xfId="5789" xr:uid="{609A4CC8-A5C5-4CDE-A1D9-18D17EA9C047}"/>
    <cellStyle name="Comma [0] 2 4 6 3" xfId="7466" xr:uid="{A796043B-8DC7-4F85-AAA5-C3E4B008E324}"/>
    <cellStyle name="Comma [0] 2 4 7" xfId="4206" xr:uid="{D735C045-6EA6-40C7-AC34-3B8F73630658}"/>
    <cellStyle name="Comma [0] 2 4 7 2" xfId="5887" xr:uid="{8C1A875F-7C22-4DA1-B56E-F63A10D76754}"/>
    <cellStyle name="Comma [0] 2 4 7 3" xfId="7564" xr:uid="{99660FD3-0272-42C2-AF2A-E483EF31F86B}"/>
    <cellStyle name="Comma [0] 2 4 8" xfId="4620" xr:uid="{306FA0C4-3FAE-4C19-BA4A-39CD9621EA40}"/>
    <cellStyle name="Comma [0] 2 4 9" xfId="6297" xr:uid="{607CC98C-34ED-4E41-A561-A138AB915E56}"/>
    <cellStyle name="Comma [0] 2 5" xfId="2950" xr:uid="{00000000-0005-0000-0000-000089000000}"/>
    <cellStyle name="Comma [0] 2 5 2" xfId="3152" xr:uid="{00000000-0005-0000-0000-00008A000000}"/>
    <cellStyle name="Comma [0] 2 5 2 2" xfId="3545" xr:uid="{00000000-0005-0000-0000-00008B000000}"/>
    <cellStyle name="Comma [0] 2 5 2 2 2" xfId="5249" xr:uid="{6FD1699F-75F9-4A77-AAA9-C5980CCD8DA5}"/>
    <cellStyle name="Comma [0] 2 5 2 2 3" xfId="6926" xr:uid="{C7BC1EDB-D877-4123-981F-47ECEA3E52A7}"/>
    <cellStyle name="Comma [0] 2 5 2 3" xfId="3940" xr:uid="{00000000-0005-0000-0000-00008C000000}"/>
    <cellStyle name="Comma [0] 2 5 2 3 2" xfId="5638" xr:uid="{84B7FFB0-9977-4D1C-B067-76C96B86EA2D}"/>
    <cellStyle name="Comma [0] 2 5 2 3 3" xfId="7315" xr:uid="{4A8F82D1-95EC-4F7A-AA0F-4208550D921F}"/>
    <cellStyle name="Comma [0] 2 5 2 4" xfId="4447" xr:uid="{8A4768F1-3D72-4CFE-8AAF-2A3A97C7E1E6}"/>
    <cellStyle name="Comma [0] 2 5 2 4 2" xfId="6128" xr:uid="{353CA416-B2AE-42FF-BA17-50F29A88C508}"/>
    <cellStyle name="Comma [0] 2 5 2 4 3" xfId="7805" xr:uid="{0D8E33C1-A002-4F3F-8F1A-5FF2F89431DF}"/>
    <cellStyle name="Comma [0] 2 5 2 5" xfId="4861" xr:uid="{EC63D82F-B3D1-4F86-B95F-D2A426E0F57A}"/>
    <cellStyle name="Comma [0] 2 5 2 6" xfId="6538" xr:uid="{CBAA8994-FA0D-482B-B865-EEEB0DF42BBF}"/>
    <cellStyle name="Comma [0] 2 5 3" xfId="3351" xr:uid="{00000000-0005-0000-0000-00008D000000}"/>
    <cellStyle name="Comma [0] 2 5 3 2" xfId="5055" xr:uid="{7A1DA284-0232-4731-8226-DACDB362CFDD}"/>
    <cellStyle name="Comma [0] 2 5 3 3" xfId="6732" xr:uid="{B3674C2F-9122-48F7-9CAE-B5E8A057D3FC}"/>
    <cellStyle name="Comma [0] 2 5 4" xfId="3746" xr:uid="{00000000-0005-0000-0000-00008E000000}"/>
    <cellStyle name="Comma [0] 2 5 4 2" xfId="5444" xr:uid="{9CC42D49-D4FB-4A1E-8756-930195DBA7A7}"/>
    <cellStyle name="Comma [0] 2 5 4 3" xfId="7121" xr:uid="{6A0A919C-0684-4793-B2C2-254B17E658C8}"/>
    <cellStyle name="Comma [0] 2 5 5" xfId="4253" xr:uid="{DD84B843-E503-4EFD-9516-3BC3C42E3DF6}"/>
    <cellStyle name="Comma [0] 2 5 5 2" xfId="5934" xr:uid="{C3FE68CF-E347-474D-AFB6-01705840435E}"/>
    <cellStyle name="Comma [0] 2 5 5 3" xfId="7611" xr:uid="{51017291-F681-48A8-876F-71DE661BDB6B}"/>
    <cellStyle name="Comma [0] 2 5 6" xfId="4667" xr:uid="{03B1F686-454B-497B-9DA0-A5666AC3E9D3}"/>
    <cellStyle name="Comma [0] 2 5 7" xfId="6344" xr:uid="{B8136E85-2420-4740-8DE1-858E963A9B85}"/>
    <cellStyle name="Comma [0] 2 6" xfId="3056" xr:uid="{00000000-0005-0000-0000-00008F000000}"/>
    <cellStyle name="Comma [0] 2 6 2" xfId="3449" xr:uid="{00000000-0005-0000-0000-000090000000}"/>
    <cellStyle name="Comma [0] 2 6 2 2" xfId="5153" xr:uid="{D2F7483F-EDA7-4B68-B85C-7268E584C035}"/>
    <cellStyle name="Comma [0] 2 6 2 3" xfId="6830" xr:uid="{DD660484-D6C4-4E14-8542-6A8E0B97F066}"/>
    <cellStyle name="Comma [0] 2 6 3" xfId="3844" xr:uid="{00000000-0005-0000-0000-000091000000}"/>
    <cellStyle name="Comma [0] 2 6 3 2" xfId="5542" xr:uid="{D18B150A-1CDA-4570-A59A-4E4CDB0D960F}"/>
    <cellStyle name="Comma [0] 2 6 3 3" xfId="7219" xr:uid="{85982884-EAEB-4690-A2E6-9E1E594B84DE}"/>
    <cellStyle name="Comma [0] 2 6 4" xfId="4351" xr:uid="{272A18CD-36F8-43AF-9C91-7D69FC501E34}"/>
    <cellStyle name="Comma [0] 2 6 4 2" xfId="6032" xr:uid="{B25ADFA5-C92D-4C53-898B-7008A2A9C569}"/>
    <cellStyle name="Comma [0] 2 6 4 3" xfId="7709" xr:uid="{04E6102B-59D1-401E-8C20-5B298E05ABC1}"/>
    <cellStyle name="Comma [0] 2 6 5" xfId="4765" xr:uid="{5BD3DFFC-6105-49FA-B1B5-4922506F46BD}"/>
    <cellStyle name="Comma [0] 2 6 6" xfId="6442" xr:uid="{6FD82F91-A53A-4C3B-8B3C-6CCBA1FAFB95}"/>
    <cellStyle name="Comma [0] 2 7" xfId="3254" xr:uid="{00000000-0005-0000-0000-000092000000}"/>
    <cellStyle name="Comma [0] 2 7 2" xfId="4959" xr:uid="{FCCD1756-EBC1-4B12-8E1A-FEF1ECB2F1C6}"/>
    <cellStyle name="Comma [0] 2 7 3" xfId="6636" xr:uid="{E8832262-8995-4AFE-A383-10DDAEC8DE59}"/>
    <cellStyle name="Comma [0] 2 8" xfId="3648" xr:uid="{00000000-0005-0000-0000-000093000000}"/>
    <cellStyle name="Comma [0] 2 8 2" xfId="5347" xr:uid="{58E194AD-D833-42CE-9810-9EDC27353B06}"/>
    <cellStyle name="Comma [0] 2 8 3" xfId="7024" xr:uid="{9C776EC3-8D1E-4B6D-B6F6-C1AC84FC9667}"/>
    <cellStyle name="Comma [0] 2 9" xfId="4043" xr:uid="{00000000-0005-0000-0000-000094000000}"/>
    <cellStyle name="Comma [0] 2 9 2" xfId="5737" xr:uid="{C0226965-2847-46C7-8A2D-6320C53AB550}"/>
    <cellStyle name="Comma [0] 2 9 3" xfId="7414" xr:uid="{629B3C52-305C-4E69-B0DB-CD89C27DAAD3}"/>
    <cellStyle name="Comma [0] 3" xfId="75" xr:uid="{00000000-0005-0000-0000-000095000000}"/>
    <cellStyle name="Comma [0] 3 10" xfId="6247" xr:uid="{0BCBFCCD-CF3E-40EF-BF24-7601DFF5C199}"/>
    <cellStyle name="Comma [0] 3 2" xfId="2877" xr:uid="{00000000-0005-0000-0000-000096000000}"/>
    <cellStyle name="Comma [0] 3 2 2" xfId="3009" xr:uid="{00000000-0005-0000-0000-000097000000}"/>
    <cellStyle name="Comma [0] 3 2 2 2" xfId="3207" xr:uid="{00000000-0005-0000-0000-000098000000}"/>
    <cellStyle name="Comma [0] 3 2 2 2 2" xfId="3600" xr:uid="{00000000-0005-0000-0000-000099000000}"/>
    <cellStyle name="Comma [0] 3 2 2 2 2 2" xfId="5304" xr:uid="{CF99DEAA-C27E-4F4C-BD3D-AE6BC8D7E060}"/>
    <cellStyle name="Comma [0] 3 2 2 2 2 3" xfId="6981" xr:uid="{7C2BE871-48AB-48E6-B29E-EC64FA70DE7B}"/>
    <cellStyle name="Comma [0] 3 2 2 2 3" xfId="3995" xr:uid="{00000000-0005-0000-0000-00009A000000}"/>
    <cellStyle name="Comma [0] 3 2 2 2 3 2" xfId="5693" xr:uid="{0AC703B1-80F8-4605-A7FA-28D9A814997F}"/>
    <cellStyle name="Comma [0] 3 2 2 2 3 3" xfId="7370" xr:uid="{96E589DB-A510-474A-8338-B4AC7334B2CA}"/>
    <cellStyle name="Comma [0] 3 2 2 2 4" xfId="4502" xr:uid="{FA9D2C59-3CCC-4FF0-83C4-13E25FF9D5F3}"/>
    <cellStyle name="Comma [0] 3 2 2 2 4 2" xfId="6183" xr:uid="{D45F6834-08B3-4D20-8BDB-9D654D2800A6}"/>
    <cellStyle name="Comma [0] 3 2 2 2 4 3" xfId="7860" xr:uid="{9E5B676E-3743-474F-8097-D2F188BABF74}"/>
    <cellStyle name="Comma [0] 3 2 2 2 5" xfId="4916" xr:uid="{94EFC41E-A704-4FC5-BF78-476CA678DE91}"/>
    <cellStyle name="Comma [0] 3 2 2 2 6" xfId="6593" xr:uid="{7C853275-918A-40AD-9216-DFE5B0D2EC07}"/>
    <cellStyle name="Comma [0] 3 2 2 3" xfId="3406" xr:uid="{00000000-0005-0000-0000-00009B000000}"/>
    <cellStyle name="Comma [0] 3 2 2 3 2" xfId="5110" xr:uid="{8D6FD46C-AF5F-4288-B725-05E98F4176DA}"/>
    <cellStyle name="Comma [0] 3 2 2 3 3" xfId="6787" xr:uid="{FF057C1F-7A52-4C44-8B72-8AF8538A0F74}"/>
    <cellStyle name="Comma [0] 3 2 2 4" xfId="3801" xr:uid="{00000000-0005-0000-0000-00009C000000}"/>
    <cellStyle name="Comma [0] 3 2 2 4 2" xfId="5499" xr:uid="{1FBB4682-BBDA-46FF-8B5D-686BC40BB999}"/>
    <cellStyle name="Comma [0] 3 2 2 4 3" xfId="7176" xr:uid="{0DCEBA5F-4066-4F71-A632-587E0B3C9E4F}"/>
    <cellStyle name="Comma [0] 3 2 2 5" xfId="4308" xr:uid="{569215BA-2873-4EFF-8FF2-4052CB6007CC}"/>
    <cellStyle name="Comma [0] 3 2 2 5 2" xfId="5989" xr:uid="{6B239706-FBDE-4B38-AAD8-7E98DCDC3515}"/>
    <cellStyle name="Comma [0] 3 2 2 5 3" xfId="7666" xr:uid="{55FF4A72-4A7C-4D91-8914-C6BF3A2F30A5}"/>
    <cellStyle name="Comma [0] 3 2 2 6" xfId="4722" xr:uid="{A53080C7-120D-4055-8C94-F8DF4ED475A1}"/>
    <cellStyle name="Comma [0] 3 2 2 7" xfId="6399" xr:uid="{7491FDA3-9E06-459F-AE1E-76918B806E74}"/>
    <cellStyle name="Comma [0] 3 2 3" xfId="3109" xr:uid="{00000000-0005-0000-0000-00009D000000}"/>
    <cellStyle name="Comma [0] 3 2 3 2" xfId="3502" xr:uid="{00000000-0005-0000-0000-00009E000000}"/>
    <cellStyle name="Comma [0] 3 2 3 2 2" xfId="5206" xr:uid="{1507D48A-1D4A-4CB1-8A3D-5C29AFFB8C0D}"/>
    <cellStyle name="Comma [0] 3 2 3 2 3" xfId="6883" xr:uid="{9DAE68A4-2E98-40D3-8694-C78F56720BA0}"/>
    <cellStyle name="Comma [0] 3 2 3 3" xfId="3897" xr:uid="{00000000-0005-0000-0000-00009F000000}"/>
    <cellStyle name="Comma [0] 3 2 3 3 2" xfId="5595" xr:uid="{1726A630-3A15-4744-8DC0-58E8E0B0EFA5}"/>
    <cellStyle name="Comma [0] 3 2 3 3 3" xfId="7272" xr:uid="{4A2CD1BB-E7D6-437F-AC70-263CAC3FFE5F}"/>
    <cellStyle name="Comma [0] 3 2 3 4" xfId="4404" xr:uid="{7AB5A874-5770-4C56-BCD6-352FD7FB7ACC}"/>
    <cellStyle name="Comma [0] 3 2 3 4 2" xfId="6085" xr:uid="{D9ED3088-2038-4400-994F-8A4B01B67A54}"/>
    <cellStyle name="Comma [0] 3 2 3 4 3" xfId="7762" xr:uid="{3F770B66-E8DB-4B88-B7EA-AFF9DD7048F5}"/>
    <cellStyle name="Comma [0] 3 2 3 5" xfId="4818" xr:uid="{98E9AF04-3E3F-4BF5-AB7D-5437B30DE872}"/>
    <cellStyle name="Comma [0] 3 2 3 6" xfId="6495" xr:uid="{5AE88886-55E4-4289-A180-F21A4BBEC92C}"/>
    <cellStyle name="Comma [0] 3 2 4" xfId="3308" xr:uid="{00000000-0005-0000-0000-0000A0000000}"/>
    <cellStyle name="Comma [0] 3 2 4 2" xfId="5012" xr:uid="{981E9EDA-2D27-4926-B1D6-7F7BA4F8770A}"/>
    <cellStyle name="Comma [0] 3 2 4 3" xfId="6689" xr:uid="{0E7FE695-C44A-4C02-BB6D-1953185342F7}"/>
    <cellStyle name="Comma [0] 3 2 5" xfId="3703" xr:uid="{00000000-0005-0000-0000-0000A1000000}"/>
    <cellStyle name="Comma [0] 3 2 5 2" xfId="5401" xr:uid="{F5D42EC6-8D60-42A8-B0E4-F6D2B249F580}"/>
    <cellStyle name="Comma [0] 3 2 5 3" xfId="7078" xr:uid="{C6A9A22D-6EF1-48BD-A2A3-834907A1CC5D}"/>
    <cellStyle name="Comma [0] 3 2 6" xfId="4101" xr:uid="{00000000-0005-0000-0000-0000A2000000}"/>
    <cellStyle name="Comma [0] 3 2 6 2" xfId="5793" xr:uid="{EE7B4F1E-6019-47D5-84B1-4EED79900803}"/>
    <cellStyle name="Comma [0] 3 2 6 3" xfId="7470" xr:uid="{AE892828-4843-48AA-AD0A-49CC421DC01E}"/>
    <cellStyle name="Comma [0] 3 2 7" xfId="4210" xr:uid="{CE2E698D-8821-487D-86E0-CBFC0E729DAA}"/>
    <cellStyle name="Comma [0] 3 2 7 2" xfId="5891" xr:uid="{FCE30499-0C0C-46FD-8D2C-3543B5BDF98E}"/>
    <cellStyle name="Comma [0] 3 2 7 3" xfId="7568" xr:uid="{2270DDB6-4CED-48A4-B9E7-8EDCA4920339}"/>
    <cellStyle name="Comma [0] 3 2 8" xfId="4624" xr:uid="{E4A51E1B-A365-4231-906A-819570454DEB}"/>
    <cellStyle name="Comma [0] 3 2 9" xfId="6301" xr:uid="{AC1758B2-3385-4AFD-9045-3A01043BB036}"/>
    <cellStyle name="Comma [0] 3 3" xfId="2954" xr:uid="{00000000-0005-0000-0000-0000A3000000}"/>
    <cellStyle name="Comma [0] 3 3 2" xfId="3156" xr:uid="{00000000-0005-0000-0000-0000A4000000}"/>
    <cellStyle name="Comma [0] 3 3 2 2" xfId="3549" xr:uid="{00000000-0005-0000-0000-0000A5000000}"/>
    <cellStyle name="Comma [0] 3 3 2 2 2" xfId="5253" xr:uid="{3DE6885D-DA12-4F04-88E7-A6C7CA588AAF}"/>
    <cellStyle name="Comma [0] 3 3 2 2 3" xfId="6930" xr:uid="{099213BC-1AC4-4F1D-9FF9-D856113CC41E}"/>
    <cellStyle name="Comma [0] 3 3 2 3" xfId="3944" xr:uid="{00000000-0005-0000-0000-0000A6000000}"/>
    <cellStyle name="Comma [0] 3 3 2 3 2" xfId="5642" xr:uid="{6380134D-C8CD-4B66-97E9-484EDFC24C6F}"/>
    <cellStyle name="Comma [0] 3 3 2 3 3" xfId="7319" xr:uid="{5E426357-FEC5-4B19-BB5D-EF680BA6C303}"/>
    <cellStyle name="Comma [0] 3 3 2 4" xfId="4451" xr:uid="{BDC25974-EEEB-46F1-94CF-13272E8EBEB5}"/>
    <cellStyle name="Comma [0] 3 3 2 4 2" xfId="6132" xr:uid="{F96AD865-A9D2-4820-A425-5F2C77F9A7C0}"/>
    <cellStyle name="Comma [0] 3 3 2 4 3" xfId="7809" xr:uid="{7F5E6B9B-3E1A-4C22-B913-8CDED548C385}"/>
    <cellStyle name="Comma [0] 3 3 2 5" xfId="4865" xr:uid="{2EDD1B74-72F7-415E-9966-9E4A02B4ED33}"/>
    <cellStyle name="Comma [0] 3 3 2 6" xfId="6542" xr:uid="{FF7C6010-928E-4814-982E-06FAB4DF0ED1}"/>
    <cellStyle name="Comma [0] 3 3 3" xfId="3355" xr:uid="{00000000-0005-0000-0000-0000A7000000}"/>
    <cellStyle name="Comma [0] 3 3 3 2" xfId="5059" xr:uid="{383C771B-3857-4F06-9BEA-A9188D9283C7}"/>
    <cellStyle name="Comma [0] 3 3 3 3" xfId="6736" xr:uid="{9F1EF457-5D8C-4707-AC3A-34E9DF979E69}"/>
    <cellStyle name="Comma [0] 3 3 4" xfId="3750" xr:uid="{00000000-0005-0000-0000-0000A8000000}"/>
    <cellStyle name="Comma [0] 3 3 4 2" xfId="5448" xr:uid="{87BDE6B1-0D4E-4A1B-9927-4813E8EC897F}"/>
    <cellStyle name="Comma [0] 3 3 4 3" xfId="7125" xr:uid="{93524201-A575-49B4-AD7E-66A5682876A1}"/>
    <cellStyle name="Comma [0] 3 3 5" xfId="4257" xr:uid="{5A3505C8-B2BF-408C-997E-91B7F745AC25}"/>
    <cellStyle name="Comma [0] 3 3 5 2" xfId="5938" xr:uid="{AA29A2F7-91E2-4142-A511-73C2CC73D90F}"/>
    <cellStyle name="Comma [0] 3 3 5 3" xfId="7615" xr:uid="{1BE880E3-E8DF-4F2A-8D85-10B94F794B03}"/>
    <cellStyle name="Comma [0] 3 3 6" xfId="4671" xr:uid="{95FE899F-CF1D-44FA-9A74-1E213AD0AC5E}"/>
    <cellStyle name="Comma [0] 3 3 7" xfId="6348" xr:uid="{391FCC91-665E-498B-BB77-83BF8A0552CF}"/>
    <cellStyle name="Comma [0] 3 4" xfId="3060" xr:uid="{00000000-0005-0000-0000-0000A9000000}"/>
    <cellStyle name="Comma [0] 3 4 2" xfId="3453" xr:uid="{00000000-0005-0000-0000-0000AA000000}"/>
    <cellStyle name="Comma [0] 3 4 2 2" xfId="5157" xr:uid="{9A505A60-EC17-476D-B630-BFADD32D4AA1}"/>
    <cellStyle name="Comma [0] 3 4 2 3" xfId="6834" xr:uid="{B7D69DA0-0682-4C41-BF48-09F864A345AC}"/>
    <cellStyle name="Comma [0] 3 4 3" xfId="3848" xr:uid="{00000000-0005-0000-0000-0000AB000000}"/>
    <cellStyle name="Comma [0] 3 4 3 2" xfId="5546" xr:uid="{98203A2B-AC37-482C-A96B-4F7EB3E11158}"/>
    <cellStyle name="Comma [0] 3 4 3 3" xfId="7223" xr:uid="{06E200D4-4BFB-4F38-BA44-20B82DA3CD30}"/>
    <cellStyle name="Comma [0] 3 4 4" xfId="4355" xr:uid="{25467F35-35B7-4F12-92B8-057787F2062F}"/>
    <cellStyle name="Comma [0] 3 4 4 2" xfId="6036" xr:uid="{3454B5C9-8076-49E1-8F25-BDDC59E6F67A}"/>
    <cellStyle name="Comma [0] 3 4 4 3" xfId="7713" xr:uid="{897F8922-D5E0-4DDF-9746-E8C909B6B8F5}"/>
    <cellStyle name="Comma [0] 3 4 5" xfId="4769" xr:uid="{05D23238-4C4D-4D92-A79C-826EDE7AEB81}"/>
    <cellStyle name="Comma [0] 3 4 6" xfId="6446" xr:uid="{9F4727EB-C0E3-4792-919A-3993186945E6}"/>
    <cellStyle name="Comma [0] 3 5" xfId="3258" xr:uid="{00000000-0005-0000-0000-0000AC000000}"/>
    <cellStyle name="Comma [0] 3 5 2" xfId="4963" xr:uid="{55A68180-7EA5-4D90-91F8-D969791FC2EE}"/>
    <cellStyle name="Comma [0] 3 5 3" xfId="6640" xr:uid="{0C2F5B7A-1BAE-47B0-B061-C132FBEAE181}"/>
    <cellStyle name="Comma [0] 3 6" xfId="3652" xr:uid="{00000000-0005-0000-0000-0000AD000000}"/>
    <cellStyle name="Comma [0] 3 6 2" xfId="5351" xr:uid="{65E215C3-DB8D-48CB-83BE-AFB9556C0D85}"/>
    <cellStyle name="Comma [0] 3 6 3" xfId="7028" xr:uid="{C646E35C-6AF2-4AAE-A59E-024792F46F21}"/>
    <cellStyle name="Comma [0] 3 7" xfId="4047" xr:uid="{00000000-0005-0000-0000-0000AE000000}"/>
    <cellStyle name="Comma [0] 3 7 2" xfId="5741" xr:uid="{99B2D9F3-86D4-47B6-9B89-9582AFBFC6E0}"/>
    <cellStyle name="Comma [0] 3 7 3" xfId="7418" xr:uid="{5D2C4B57-E219-42D6-BE76-67FC9E14A5DF}"/>
    <cellStyle name="Comma [0] 3 8" xfId="4155" xr:uid="{62ECF4E1-8C7E-432F-878B-3B05C74E21E2}"/>
    <cellStyle name="Comma [0] 3 8 2" xfId="5840" xr:uid="{209B08D8-B509-4146-8327-A3A28504AF91}"/>
    <cellStyle name="Comma [0] 3 8 3" xfId="7517" xr:uid="{EF9A5418-31C3-406A-9EB5-7A46EA7EF461}"/>
    <cellStyle name="Comma [0] 3 9" xfId="4571" xr:uid="{13C7F1FD-7A7D-42AA-9B1C-B63B311DF6A7}"/>
    <cellStyle name="Comma [0] 4" xfId="2872" xr:uid="{00000000-0005-0000-0000-0000AF000000}"/>
    <cellStyle name="Comma [0] 4 2" xfId="3004" xr:uid="{00000000-0005-0000-0000-0000B0000000}"/>
    <cellStyle name="Comma [0] 4 2 2" xfId="3202" xr:uid="{00000000-0005-0000-0000-0000B1000000}"/>
    <cellStyle name="Comma [0] 4 2 2 2" xfId="3595" xr:uid="{00000000-0005-0000-0000-0000B2000000}"/>
    <cellStyle name="Comma [0] 4 2 2 2 2" xfId="5299" xr:uid="{E1631422-2F99-4CFE-801E-92D035CDEF1A}"/>
    <cellStyle name="Comma [0] 4 2 2 2 3" xfId="6976" xr:uid="{26C1BEDD-A6E8-4897-858E-FC710FB75843}"/>
    <cellStyle name="Comma [0] 4 2 2 3" xfId="3990" xr:uid="{00000000-0005-0000-0000-0000B3000000}"/>
    <cellStyle name="Comma [0] 4 2 2 3 2" xfId="5688" xr:uid="{6F2249F1-C4D0-4739-AF8E-0457D5BAC1BF}"/>
    <cellStyle name="Comma [0] 4 2 2 3 3" xfId="7365" xr:uid="{3AE57A96-4479-4FD1-8553-3E74EDF0FAFF}"/>
    <cellStyle name="Comma [0] 4 2 2 4" xfId="4497" xr:uid="{FFF7E1E0-AD85-4673-A814-D811ED852FF0}"/>
    <cellStyle name="Comma [0] 4 2 2 4 2" xfId="6178" xr:uid="{420C62EA-6D93-4B7E-A5CF-270CCDE2B04E}"/>
    <cellStyle name="Comma [0] 4 2 2 4 3" xfId="7855" xr:uid="{FAC5A6E3-F01F-4C8B-8BFF-45A4AD946B37}"/>
    <cellStyle name="Comma [0] 4 2 2 5" xfId="4911" xr:uid="{FA6193EA-018D-4AAD-8000-1F7172475C95}"/>
    <cellStyle name="Comma [0] 4 2 2 6" xfId="6588" xr:uid="{107F1F3A-1D8D-45A2-956A-3E6B9C6EF7ED}"/>
    <cellStyle name="Comma [0] 4 2 3" xfId="3401" xr:uid="{00000000-0005-0000-0000-0000B4000000}"/>
    <cellStyle name="Comma [0] 4 2 3 2" xfId="5105" xr:uid="{03861466-8EE8-476D-B0F7-1DB81359B318}"/>
    <cellStyle name="Comma [0] 4 2 3 3" xfId="6782" xr:uid="{BEE9F6EB-F468-4AA8-806C-5DA8D9A5DB9B}"/>
    <cellStyle name="Comma [0] 4 2 4" xfId="3796" xr:uid="{00000000-0005-0000-0000-0000B5000000}"/>
    <cellStyle name="Comma [0] 4 2 4 2" xfId="5494" xr:uid="{F794F5A6-81C7-45C0-BEFC-4E39F8FBADF7}"/>
    <cellStyle name="Comma [0] 4 2 4 3" xfId="7171" xr:uid="{FE54D144-6025-4FDA-881C-A2C7651BC90E}"/>
    <cellStyle name="Comma [0] 4 2 5" xfId="4303" xr:uid="{58858715-D308-489A-AE96-669B480E606E}"/>
    <cellStyle name="Comma [0] 4 2 5 2" xfId="5984" xr:uid="{65FE3EA0-A404-4890-9F6A-32EEB2EA0925}"/>
    <cellStyle name="Comma [0] 4 2 5 3" xfId="7661" xr:uid="{F93F4B3E-40C0-4D6C-821E-878F2E9683D5}"/>
    <cellStyle name="Comma [0] 4 2 6" xfId="4717" xr:uid="{65207C3F-C2CF-469D-B817-239851A2E888}"/>
    <cellStyle name="Comma [0] 4 2 7" xfId="6394" xr:uid="{F853DB68-E496-442E-AB8C-D101D4532840}"/>
    <cellStyle name="Comma [0] 4 3" xfId="3104" xr:uid="{00000000-0005-0000-0000-0000B6000000}"/>
    <cellStyle name="Comma [0] 4 3 2" xfId="3497" xr:uid="{00000000-0005-0000-0000-0000B7000000}"/>
    <cellStyle name="Comma [0] 4 3 2 2" xfId="5201" xr:uid="{A82E6F12-CF85-44FA-A75A-73FAD59A130C}"/>
    <cellStyle name="Comma [0] 4 3 2 3" xfId="6878" xr:uid="{4B714E7D-FEBB-411A-AFB6-36BFE3AA2B7F}"/>
    <cellStyle name="Comma [0] 4 3 3" xfId="3892" xr:uid="{00000000-0005-0000-0000-0000B8000000}"/>
    <cellStyle name="Comma [0] 4 3 3 2" xfId="5590" xr:uid="{A44E662C-CF65-4306-B058-E9A6E6720C70}"/>
    <cellStyle name="Comma [0] 4 3 3 3" xfId="7267" xr:uid="{F969886B-BC29-458C-86A3-4401D7829B7B}"/>
    <cellStyle name="Comma [0] 4 3 4" xfId="4399" xr:uid="{3267D7B3-54F7-41DE-8676-43FDD8EF1EDF}"/>
    <cellStyle name="Comma [0] 4 3 4 2" xfId="6080" xr:uid="{C35EAE53-5674-4B10-9EE9-8639F12BAA44}"/>
    <cellStyle name="Comma [0] 4 3 4 3" xfId="7757" xr:uid="{2C7A1587-4DE7-4B44-99AD-3B972106F162}"/>
    <cellStyle name="Comma [0] 4 3 5" xfId="4813" xr:uid="{D4AD5CC8-D350-4656-9083-7F2C2FBADEE9}"/>
    <cellStyle name="Comma [0] 4 3 6" xfId="6490" xr:uid="{0E263695-B381-4EDE-93CB-20034E69FA7A}"/>
    <cellStyle name="Comma [0] 4 4" xfId="3303" xr:uid="{00000000-0005-0000-0000-0000B9000000}"/>
    <cellStyle name="Comma [0] 4 4 2" xfId="5007" xr:uid="{3C6B2702-874D-4CFA-A325-60F646F4F943}"/>
    <cellStyle name="Comma [0] 4 4 3" xfId="6684" xr:uid="{93081975-4BEA-4AFD-B0FE-83EC7CED6E5A}"/>
    <cellStyle name="Comma [0] 4 5" xfId="3698" xr:uid="{00000000-0005-0000-0000-0000BA000000}"/>
    <cellStyle name="Comma [0] 4 5 2" xfId="5396" xr:uid="{6369C208-0B13-4213-A79E-A0B43FDABC84}"/>
    <cellStyle name="Comma [0] 4 5 3" xfId="7073" xr:uid="{F28EDA1D-E6FC-4F9F-96FF-F329809CFDE5}"/>
    <cellStyle name="Comma [0] 4 6" xfId="4096" xr:uid="{00000000-0005-0000-0000-0000BB000000}"/>
    <cellStyle name="Comma [0] 4 6 2" xfId="5788" xr:uid="{3659BE56-CE51-4ECA-A0B8-F0E52E4E00F8}"/>
    <cellStyle name="Comma [0] 4 6 3" xfId="7465" xr:uid="{9784D193-33C4-4D83-8FC3-CD171D51ED74}"/>
    <cellStyle name="Comma [0] 4 7" xfId="4205" xr:uid="{2608B2AA-08D8-4949-B816-DB9EB57C523A}"/>
    <cellStyle name="Comma [0] 4 7 2" xfId="5886" xr:uid="{B1C96594-3F46-467F-9DB4-651FCEE172DB}"/>
    <cellStyle name="Comma [0] 4 7 3" xfId="7563" xr:uid="{B0DC1B5F-8681-40F4-99C4-6E70D1457292}"/>
    <cellStyle name="Comma [0] 4 8" xfId="4619" xr:uid="{D47796B3-96A9-4338-A48C-A1C1767282A6}"/>
    <cellStyle name="Comma [0] 4 9" xfId="6296" xr:uid="{6CD819AF-B997-458F-8A3D-9BF662FE1A03}"/>
    <cellStyle name="Comma [0] 5" xfId="2949" xr:uid="{00000000-0005-0000-0000-0000BC000000}"/>
    <cellStyle name="Comma [0] 5 2" xfId="3151" xr:uid="{00000000-0005-0000-0000-0000BD000000}"/>
    <cellStyle name="Comma [0] 5 2 2" xfId="3544" xr:uid="{00000000-0005-0000-0000-0000BE000000}"/>
    <cellStyle name="Comma [0] 5 2 2 2" xfId="5248" xr:uid="{13FC087A-E218-45AF-B22C-E03A27499735}"/>
    <cellStyle name="Comma [0] 5 2 2 3" xfId="6925" xr:uid="{2A455705-6E1B-4CCA-8708-0F9C737ED00F}"/>
    <cellStyle name="Comma [0] 5 2 3" xfId="3939" xr:uid="{00000000-0005-0000-0000-0000BF000000}"/>
    <cellStyle name="Comma [0] 5 2 3 2" xfId="5637" xr:uid="{1E07CB88-1896-46DE-861C-F52937D2818A}"/>
    <cellStyle name="Comma [0] 5 2 3 3" xfId="7314" xr:uid="{171328BC-96A9-433A-8026-DCE071D51BEC}"/>
    <cellStyle name="Comma [0] 5 2 4" xfId="4446" xr:uid="{C99D78DF-AE87-497A-B559-7122BBE9DDEE}"/>
    <cellStyle name="Comma [0] 5 2 4 2" xfId="6127" xr:uid="{4DF825C2-D716-48DF-9895-CE37725FF69E}"/>
    <cellStyle name="Comma [0] 5 2 4 3" xfId="7804" xr:uid="{5E67563C-3976-4485-92D0-421A35067F31}"/>
    <cellStyle name="Comma [0] 5 2 5" xfId="4860" xr:uid="{AB05C330-69E9-48C1-BDE2-5CDE056046A4}"/>
    <cellStyle name="Comma [0] 5 2 6" xfId="6537" xr:uid="{781B67E5-2886-48EA-A60F-4038FAF26646}"/>
    <cellStyle name="Comma [0] 5 3" xfId="3350" xr:uid="{00000000-0005-0000-0000-0000C0000000}"/>
    <cellStyle name="Comma [0] 5 3 2" xfId="5054" xr:uid="{5E13C8FA-6EDA-43A2-8DC9-97B6A31ACB5E}"/>
    <cellStyle name="Comma [0] 5 3 3" xfId="6731" xr:uid="{B59BFA14-8968-4822-A4F0-51A2068609AC}"/>
    <cellStyle name="Comma [0] 5 4" xfId="3745" xr:uid="{00000000-0005-0000-0000-0000C1000000}"/>
    <cellStyle name="Comma [0] 5 4 2" xfId="5443" xr:uid="{B158C380-9D60-484E-BB67-99AAF3E8F74B}"/>
    <cellStyle name="Comma [0] 5 4 3" xfId="7120" xr:uid="{83E200D8-23BC-4A6D-B901-D66242F56756}"/>
    <cellStyle name="Comma [0] 5 5" xfId="4252" xr:uid="{98E612F4-CC4D-4155-94B3-4C3972755739}"/>
    <cellStyle name="Comma [0] 5 5 2" xfId="5933" xr:uid="{D7410FE5-07F2-4F78-8E77-78F437CBAE98}"/>
    <cellStyle name="Comma [0] 5 5 3" xfId="7610" xr:uid="{D36B9FF3-30F2-4D18-85BE-8CC11E3A547B}"/>
    <cellStyle name="Comma [0] 5 6" xfId="4666" xr:uid="{99E88BFE-8E64-44E9-B7CC-6C1D42326AFE}"/>
    <cellStyle name="Comma [0] 5 7" xfId="6343" xr:uid="{B39BA1D1-8D75-4B00-B74C-66F0CBFEE210}"/>
    <cellStyle name="Comma [0] 6" xfId="3055" xr:uid="{00000000-0005-0000-0000-0000C2000000}"/>
    <cellStyle name="Comma [0] 6 2" xfId="3448" xr:uid="{00000000-0005-0000-0000-0000C3000000}"/>
    <cellStyle name="Comma [0] 6 2 2" xfId="5152" xr:uid="{58D8B606-B732-4C0A-A442-2E29322E6C3A}"/>
    <cellStyle name="Comma [0] 6 2 3" xfId="6829" xr:uid="{0ECD5742-C6F3-4B1F-A81E-8BBE5FE516F3}"/>
    <cellStyle name="Comma [0] 6 3" xfId="3843" xr:uid="{00000000-0005-0000-0000-0000C4000000}"/>
    <cellStyle name="Comma [0] 6 3 2" xfId="5541" xr:uid="{F1E6931C-D3A2-49AB-8A7B-E3A81485C200}"/>
    <cellStyle name="Comma [0] 6 3 3" xfId="7218" xr:uid="{135D3352-C25B-4C4A-B5B1-CC79DD56FD8F}"/>
    <cellStyle name="Comma [0] 6 4" xfId="4350" xr:uid="{BBC5075C-73F1-4157-8E9A-7ABC04585709}"/>
    <cellStyle name="Comma [0] 6 4 2" xfId="6031" xr:uid="{683B0A2D-6E1A-4483-AB2F-460839D2C1EE}"/>
    <cellStyle name="Comma [0] 6 4 3" xfId="7708" xr:uid="{BF271FF3-458E-4A3A-A64D-B92C075ED803}"/>
    <cellStyle name="Comma [0] 6 5" xfId="4764" xr:uid="{FA929671-E6F8-4FBE-B1F7-5CBABEF892CC}"/>
    <cellStyle name="Comma [0] 6 6" xfId="6441" xr:uid="{7556A920-2CC0-426A-A5CD-23BAAD2063C3}"/>
    <cellStyle name="Comma [0] 7" xfId="3253" xr:uid="{00000000-0005-0000-0000-0000C5000000}"/>
    <cellStyle name="Comma [0] 7 2" xfId="4958" xr:uid="{DC94EC9F-67B8-4C0B-BBDC-EBE8B47275E5}"/>
    <cellStyle name="Comma [0] 7 3" xfId="6635" xr:uid="{681168BF-5715-4A84-8C8F-95B449F6F547}"/>
    <cellStyle name="Comma [0] 8" xfId="3647" xr:uid="{00000000-0005-0000-0000-0000C6000000}"/>
    <cellStyle name="Comma [0] 8 2" xfId="5346" xr:uid="{4AFBEAD9-FA94-4F0A-861B-96D47E4BD75C}"/>
    <cellStyle name="Comma [0] 8 3" xfId="7023" xr:uid="{E13BC975-B2EB-466D-9DC6-0583D887BED9}"/>
    <cellStyle name="Comma [0] 9" xfId="4042" xr:uid="{00000000-0005-0000-0000-0000C7000000}"/>
    <cellStyle name="Comma [0] 9 2" xfId="5736" xr:uid="{13CAC2F5-85C8-4B98-9C7A-8768B7D20195}"/>
    <cellStyle name="Comma [0] 9 3" xfId="7413" xr:uid="{37A52F83-A9AF-4DEB-91C8-0029D50DFDD3}"/>
    <cellStyle name="Comma 10" xfId="2947" xr:uid="{00000000-0005-0000-0000-0000C8000000}"/>
    <cellStyle name="Comma 10 2" xfId="3149" xr:uid="{00000000-0005-0000-0000-0000C9000000}"/>
    <cellStyle name="Comma 10 2 2" xfId="3542" xr:uid="{00000000-0005-0000-0000-0000CA000000}"/>
    <cellStyle name="Comma 10 2 2 2" xfId="5246" xr:uid="{635C4ECB-80CF-4E35-A866-E275B4C6E6A2}"/>
    <cellStyle name="Comma 10 2 2 3" xfId="6923" xr:uid="{B09FC358-3D9D-45CA-AF1C-1379417DA93D}"/>
    <cellStyle name="Comma 10 2 3" xfId="3937" xr:uid="{00000000-0005-0000-0000-0000CB000000}"/>
    <cellStyle name="Comma 10 2 3 2" xfId="5635" xr:uid="{BA79673D-DB9F-4120-9D24-D493BE89C459}"/>
    <cellStyle name="Comma 10 2 3 3" xfId="7312" xr:uid="{A3263E38-A935-4235-AF2C-EBF197BA13CA}"/>
    <cellStyle name="Comma 10 2 4" xfId="4444" xr:uid="{629DE2AE-430E-48A1-8A8C-39BD4E48D4F7}"/>
    <cellStyle name="Comma 10 2 4 2" xfId="6125" xr:uid="{7C2DDD11-F1BB-452A-93A6-EF9C13EBD541}"/>
    <cellStyle name="Comma 10 2 4 3" xfId="7802" xr:uid="{442FC00F-8CDC-4EA3-A352-F0D43B311AF9}"/>
    <cellStyle name="Comma 10 2 5" xfId="4858" xr:uid="{5F790533-EBDA-4533-8402-04BBE64806D1}"/>
    <cellStyle name="Comma 10 2 6" xfId="6535" xr:uid="{B9D3C7DD-2BBC-4053-AB24-3C29CFD6CE35}"/>
    <cellStyle name="Comma 10 3" xfId="3348" xr:uid="{00000000-0005-0000-0000-0000CC000000}"/>
    <cellStyle name="Comma 10 3 2" xfId="5052" xr:uid="{4176021D-0BF2-4FB9-A55D-7C0C2BC91F5E}"/>
    <cellStyle name="Comma 10 3 3" xfId="6729" xr:uid="{3355A5AF-1E3A-4F76-B36D-B80C1C29C2C3}"/>
    <cellStyle name="Comma 10 4" xfId="3743" xr:uid="{00000000-0005-0000-0000-0000CD000000}"/>
    <cellStyle name="Comma 10 4 2" xfId="5441" xr:uid="{0CD7AC60-1AA7-401D-8C41-A67C0019FDF2}"/>
    <cellStyle name="Comma 10 4 3" xfId="7118" xr:uid="{F80A0D32-8AFB-4072-BD8E-0BA87971FCE5}"/>
    <cellStyle name="Comma 10 5" xfId="4250" xr:uid="{988A03D5-971C-495B-8EAF-D16AC10D97C5}"/>
    <cellStyle name="Comma 10 5 2" xfId="5931" xr:uid="{4CE14457-A101-4CDF-8FB6-7343192D5BD1}"/>
    <cellStyle name="Comma 10 5 3" xfId="7608" xr:uid="{6F8C4D98-B74C-4E2D-A0D0-19107D97A063}"/>
    <cellStyle name="Comma 10 6" xfId="4664" xr:uid="{1034F045-2039-4D4D-AA0D-932A95343B46}"/>
    <cellStyle name="Comma 10 7" xfId="6341" xr:uid="{270EF84A-CC6A-4664-AB2A-517081AB1A31}"/>
    <cellStyle name="Comma 11" xfId="2995" xr:uid="{00000000-0005-0000-0000-0000CE000000}"/>
    <cellStyle name="Comma 11 2" xfId="3197" xr:uid="{00000000-0005-0000-0000-0000CF000000}"/>
    <cellStyle name="Comma 11 2 2" xfId="3590" xr:uid="{00000000-0005-0000-0000-0000D0000000}"/>
    <cellStyle name="Comma 11 2 2 2" xfId="5294" xr:uid="{4F9B97E0-E246-488C-AA3C-18F16AAA7E28}"/>
    <cellStyle name="Comma 11 2 2 3" xfId="6971" xr:uid="{036F417F-5F06-4F17-B92C-364DD4C8C1DE}"/>
    <cellStyle name="Comma 11 2 3" xfId="3985" xr:uid="{00000000-0005-0000-0000-0000D1000000}"/>
    <cellStyle name="Comma 11 2 3 2" xfId="5683" xr:uid="{C9A8A5E7-EE3C-4FA7-83D9-53296702FBB5}"/>
    <cellStyle name="Comma 11 2 3 3" xfId="7360" xr:uid="{A22C0FC9-1301-419E-845C-2339963D92C7}"/>
    <cellStyle name="Comma 11 2 4" xfId="4492" xr:uid="{D3555208-36B7-474D-887E-8408F29FD3FF}"/>
    <cellStyle name="Comma 11 2 4 2" xfId="6173" xr:uid="{37022C10-86DA-4972-903D-FB7198FCCB29}"/>
    <cellStyle name="Comma 11 2 4 3" xfId="7850" xr:uid="{D86960E2-606B-4750-92C9-C3D987460E0A}"/>
    <cellStyle name="Comma 11 2 5" xfId="4906" xr:uid="{DF62A8D2-7FEF-4826-959E-A9021CB2D8EA}"/>
    <cellStyle name="Comma 11 2 6" xfId="6583" xr:uid="{AD374790-9C96-4FBA-A9AE-EADE71070F40}"/>
    <cellStyle name="Comma 11 3" xfId="3396" xr:uid="{00000000-0005-0000-0000-0000D2000000}"/>
    <cellStyle name="Comma 11 3 2" xfId="5100" xr:uid="{C123D4BE-4E93-4C9C-B309-17121614AA0D}"/>
    <cellStyle name="Comma 11 3 3" xfId="6777" xr:uid="{738AC291-F702-43BA-96D3-2432BA0A6FDC}"/>
    <cellStyle name="Comma 11 4" xfId="3791" xr:uid="{00000000-0005-0000-0000-0000D3000000}"/>
    <cellStyle name="Comma 11 4 2" xfId="5489" xr:uid="{B44FED08-BA9E-4FD6-8F45-B7BC19EEC1EB}"/>
    <cellStyle name="Comma 11 4 3" xfId="7166" xr:uid="{8251B44C-74FD-41EF-B537-498062417C9F}"/>
    <cellStyle name="Comma 11 5" xfId="4298" xr:uid="{22A45B75-4E1D-4163-B956-6746557CA646}"/>
    <cellStyle name="Comma 11 5 2" xfId="5979" xr:uid="{CFC0781D-8C09-4D1C-A381-52B1FDE5A85D}"/>
    <cellStyle name="Comma 11 5 3" xfId="7656" xr:uid="{4571E56B-8151-48CC-B105-BB420C25CF06}"/>
    <cellStyle name="Comma 11 6" xfId="4712" xr:uid="{78B89F20-44E4-48B0-A438-C3EB2C7CA865}"/>
    <cellStyle name="Comma 11 7" xfId="6389" xr:uid="{EF83F4F1-391D-4F93-9547-F644BCCFBE9B}"/>
    <cellStyle name="Comma 12" xfId="3054" xr:uid="{00000000-0005-0000-0000-0000D4000000}"/>
    <cellStyle name="Comma 12 2" xfId="3447" xr:uid="{00000000-0005-0000-0000-0000D5000000}"/>
    <cellStyle name="Comma 12 2 2" xfId="5151" xr:uid="{F100248D-68E6-46B1-A24A-936DD87C222A}"/>
    <cellStyle name="Comma 12 2 3" xfId="6828" xr:uid="{23F28348-5DC8-4EBA-83D0-644AC1C10C9E}"/>
    <cellStyle name="Comma 12 3" xfId="3842" xr:uid="{00000000-0005-0000-0000-0000D6000000}"/>
    <cellStyle name="Comma 12 3 2" xfId="5540" xr:uid="{4817D800-B491-484D-B5E6-C5D524DDA7B8}"/>
    <cellStyle name="Comma 12 3 3" xfId="7217" xr:uid="{1BA81015-F094-4BB4-B712-819D125F3512}"/>
    <cellStyle name="Comma 12 4" xfId="4349" xr:uid="{166B4901-E6D6-448D-8B25-F176BC701422}"/>
    <cellStyle name="Comma 12 4 2" xfId="6030" xr:uid="{A14AFA16-43E8-4764-9672-271630DF6391}"/>
    <cellStyle name="Comma 12 4 3" xfId="7707" xr:uid="{1C17FEFF-48CC-491B-B397-EEAF1CFFFDE3}"/>
    <cellStyle name="Comma 12 5" xfId="4763" xr:uid="{08D4EAB9-78F0-4D6C-AF98-EA2F802CF012}"/>
    <cellStyle name="Comma 12 6" xfId="6440" xr:uid="{6A508891-9273-49C9-A690-B450FD9A27BF}"/>
    <cellStyle name="Comma 13" xfId="3252" xr:uid="{00000000-0005-0000-0000-0000D7000000}"/>
    <cellStyle name="Comma 13 2" xfId="4957" xr:uid="{FAA7204B-619E-4097-AA4D-B06B161BC1C2}"/>
    <cellStyle name="Comma 13 3" xfId="6634" xr:uid="{590B9C2C-902D-4620-AC6B-E4F6F7C1C74A}"/>
    <cellStyle name="Comma 14" xfId="3646" xr:uid="{00000000-0005-0000-0000-0000D8000000}"/>
    <cellStyle name="Comma 14 2" xfId="5345" xr:uid="{F5808307-81FF-41AF-9FD4-90B72C085ED7}"/>
    <cellStyle name="Comma 14 3" xfId="7022" xr:uid="{B5AC9FD7-9537-4400-B321-5162ADA65B8F}"/>
    <cellStyle name="Comma 15" xfId="3693" xr:uid="{00000000-0005-0000-0000-0000D9000000}"/>
    <cellStyle name="Comma 15 2" xfId="5392" xr:uid="{99492677-3015-487D-AA22-B6CA394FE688}"/>
    <cellStyle name="Comma 15 3" xfId="7069" xr:uid="{3F14E9CD-A3CE-43A5-801E-A11ED868F0AF}"/>
    <cellStyle name="Comma 16" xfId="4041" xr:uid="{00000000-0005-0000-0000-0000DA000000}"/>
    <cellStyle name="Comma 16 2" xfId="5735" xr:uid="{D89FAA8D-9F46-4F62-81B3-C9917A04594A}"/>
    <cellStyle name="Comma 16 3" xfId="7412" xr:uid="{3A432428-EAFD-49BC-9A82-EEFD8B15543E}"/>
    <cellStyle name="Comma 17" xfId="4092" xr:uid="{00000000-0005-0000-0000-0000DB000000}"/>
    <cellStyle name="Comma 17 2" xfId="5784" xr:uid="{B49161E0-25B8-4F91-AC0F-009A3DEFA019}"/>
    <cellStyle name="Comma 17 3" xfId="7461" xr:uid="{F0D95843-8C69-4939-B4C8-0C648AA64F81}"/>
    <cellStyle name="Comma 18" xfId="4040" xr:uid="{00000000-0005-0000-0000-0000DC000000}"/>
    <cellStyle name="Comma 18 2" xfId="5734" xr:uid="{D4476AAD-EE64-4CD6-AC65-0315069EACA5}"/>
    <cellStyle name="Comma 18 3" xfId="7411" xr:uid="{109DD463-1F6F-4B22-B752-F1D763EA0BE3}"/>
    <cellStyle name="Comma 19" xfId="4091" xr:uid="{00000000-0005-0000-0000-0000DD000000}"/>
    <cellStyle name="Comma 19 2" xfId="5783" xr:uid="{0128B89F-6E02-4640-B117-3A3CEF070984}"/>
    <cellStyle name="Comma 19 3" xfId="7460" xr:uid="{5DD1DD51-AA64-4234-AE5D-EEF80C399F10}"/>
    <cellStyle name="Comma 2" xfId="76" xr:uid="{00000000-0005-0000-0000-0000DE000000}"/>
    <cellStyle name="Comma 2 10" xfId="4156" xr:uid="{60B31958-BC9D-45C0-A707-1F7FFB3FD1B8}"/>
    <cellStyle name="Comma 2 10 2" xfId="5841" xr:uid="{0E84C081-CAF4-499B-A13E-C1E32AA6D0C1}"/>
    <cellStyle name="Comma 2 10 3" xfId="7518" xr:uid="{A323BF85-AEBD-4207-B396-C9A63CC2D1EF}"/>
    <cellStyle name="Comma 2 11" xfId="4572" xr:uid="{D2A60A06-0F4E-46D5-A7BC-9B57158A4831}"/>
    <cellStyle name="Comma 2 12" xfId="6248" xr:uid="{8FC79876-D87A-4ECE-B58B-4D20F799D13E}"/>
    <cellStyle name="Comma 2 2" xfId="77" xr:uid="{00000000-0005-0000-0000-0000DF000000}"/>
    <cellStyle name="Comma 2 2 10" xfId="4573" xr:uid="{C352DD39-E356-4DDA-BC68-9B8A90C675AD}"/>
    <cellStyle name="Comma 2 2 11" xfId="6249" xr:uid="{AE115B40-4FFF-4372-8521-BD7330EF55A3}"/>
    <cellStyle name="Comma 2 2 2" xfId="78" xr:uid="{00000000-0005-0000-0000-0000E0000000}"/>
    <cellStyle name="Comma 2 2 2 10" xfId="6250" xr:uid="{ADE8D140-A642-4CC2-9560-D21AA280065F}"/>
    <cellStyle name="Comma 2 2 2 2" xfId="2880" xr:uid="{00000000-0005-0000-0000-0000E1000000}"/>
    <cellStyle name="Comma 2 2 2 2 2" xfId="3012" xr:uid="{00000000-0005-0000-0000-0000E2000000}"/>
    <cellStyle name="Comma 2 2 2 2 2 2" xfId="3210" xr:uid="{00000000-0005-0000-0000-0000E3000000}"/>
    <cellStyle name="Comma 2 2 2 2 2 2 2" xfId="3603" xr:uid="{00000000-0005-0000-0000-0000E4000000}"/>
    <cellStyle name="Comma 2 2 2 2 2 2 2 2" xfId="5307" xr:uid="{C7F59ACF-24F9-4BD2-824F-F431D9A65A13}"/>
    <cellStyle name="Comma 2 2 2 2 2 2 2 3" xfId="6984" xr:uid="{A91F127B-4457-499C-B086-A0663C1CC4C1}"/>
    <cellStyle name="Comma 2 2 2 2 2 2 3" xfId="3998" xr:uid="{00000000-0005-0000-0000-0000E5000000}"/>
    <cellStyle name="Comma 2 2 2 2 2 2 3 2" xfId="5696" xr:uid="{07E971D8-0827-42A4-82F6-464C7CAEF65D}"/>
    <cellStyle name="Comma 2 2 2 2 2 2 3 3" xfId="7373" xr:uid="{5FDA86F8-1517-4A82-93F8-FE86CB68C77C}"/>
    <cellStyle name="Comma 2 2 2 2 2 2 4" xfId="4505" xr:uid="{71867AB1-737A-4641-9BBE-363A50233110}"/>
    <cellStyle name="Comma 2 2 2 2 2 2 4 2" xfId="6186" xr:uid="{66B428E5-6F46-4196-A3A5-005514FF3D99}"/>
    <cellStyle name="Comma 2 2 2 2 2 2 4 3" xfId="7863" xr:uid="{B151B891-9B9B-44A5-88F2-54D1A2930179}"/>
    <cellStyle name="Comma 2 2 2 2 2 2 5" xfId="4919" xr:uid="{8652F94E-16E1-4318-A587-4C2E8EE647A9}"/>
    <cellStyle name="Comma 2 2 2 2 2 2 6" xfId="6596" xr:uid="{D337FD21-4E53-4566-909B-0899EC36D75D}"/>
    <cellStyle name="Comma 2 2 2 2 2 3" xfId="3409" xr:uid="{00000000-0005-0000-0000-0000E6000000}"/>
    <cellStyle name="Comma 2 2 2 2 2 3 2" xfId="5113" xr:uid="{C3685548-0084-42FE-AFE8-E6ECA559B525}"/>
    <cellStyle name="Comma 2 2 2 2 2 3 3" xfId="6790" xr:uid="{F8F1861F-2428-4C61-9D6F-A106C6C39DCC}"/>
    <cellStyle name="Comma 2 2 2 2 2 4" xfId="3804" xr:uid="{00000000-0005-0000-0000-0000E7000000}"/>
    <cellStyle name="Comma 2 2 2 2 2 4 2" xfId="5502" xr:uid="{0B6F5988-8F14-44A4-A71F-62B815D630D2}"/>
    <cellStyle name="Comma 2 2 2 2 2 4 3" xfId="7179" xr:uid="{58048603-D5F3-47CF-907C-21DFB929E579}"/>
    <cellStyle name="Comma 2 2 2 2 2 5" xfId="4311" xr:uid="{0A0195D3-D458-4F18-B02A-83FEF2F3364A}"/>
    <cellStyle name="Comma 2 2 2 2 2 5 2" xfId="5992" xr:uid="{9205326C-CD4C-48DB-8A43-C9C78A1AA9A0}"/>
    <cellStyle name="Comma 2 2 2 2 2 5 3" xfId="7669" xr:uid="{0027B1B8-320D-4A61-95FA-0DDBDCD1A423}"/>
    <cellStyle name="Comma 2 2 2 2 2 6" xfId="4725" xr:uid="{EF1311C7-C8F4-4F4C-A573-B08AF29CADC0}"/>
    <cellStyle name="Comma 2 2 2 2 2 7" xfId="6402" xr:uid="{CFEED270-60DF-4F48-9573-C27355B0C5D2}"/>
    <cellStyle name="Comma 2 2 2 2 3" xfId="3112" xr:uid="{00000000-0005-0000-0000-0000E8000000}"/>
    <cellStyle name="Comma 2 2 2 2 3 2" xfId="3505" xr:uid="{00000000-0005-0000-0000-0000E9000000}"/>
    <cellStyle name="Comma 2 2 2 2 3 2 2" xfId="5209" xr:uid="{4F2720BE-EEA9-4E9E-AC15-22E346F857F0}"/>
    <cellStyle name="Comma 2 2 2 2 3 2 3" xfId="6886" xr:uid="{E8244159-8C3D-48B4-B953-48D21CA36512}"/>
    <cellStyle name="Comma 2 2 2 2 3 3" xfId="3900" xr:uid="{00000000-0005-0000-0000-0000EA000000}"/>
    <cellStyle name="Comma 2 2 2 2 3 3 2" xfId="5598" xr:uid="{2D39F1A6-6155-4E8C-8561-EBA984AA0F68}"/>
    <cellStyle name="Comma 2 2 2 2 3 3 3" xfId="7275" xr:uid="{71B9ACC7-E055-4800-A415-26301DA7747F}"/>
    <cellStyle name="Comma 2 2 2 2 3 4" xfId="4407" xr:uid="{D07F77B4-41C0-496D-A1CB-41718F690A6F}"/>
    <cellStyle name="Comma 2 2 2 2 3 4 2" xfId="6088" xr:uid="{CA1766D5-F9E9-4A27-9805-E36EEA787D1F}"/>
    <cellStyle name="Comma 2 2 2 2 3 4 3" xfId="7765" xr:uid="{7ABFC286-3273-482C-BFFD-66F3900B8BDF}"/>
    <cellStyle name="Comma 2 2 2 2 3 5" xfId="4821" xr:uid="{2F84A2B6-B4A2-4834-8552-31D63C2FDE67}"/>
    <cellStyle name="Comma 2 2 2 2 3 6" xfId="6498" xr:uid="{A1AB018C-32DE-4D53-8F49-46A01E764B7A}"/>
    <cellStyle name="Comma 2 2 2 2 4" xfId="3311" xr:uid="{00000000-0005-0000-0000-0000EB000000}"/>
    <cellStyle name="Comma 2 2 2 2 4 2" xfId="5015" xr:uid="{641F3C02-099A-47D4-BDD1-89637E96D644}"/>
    <cellStyle name="Comma 2 2 2 2 4 3" xfId="6692" xr:uid="{5907C42E-7182-4D59-B3DA-2C34B76DC37A}"/>
    <cellStyle name="Comma 2 2 2 2 5" xfId="3706" xr:uid="{00000000-0005-0000-0000-0000EC000000}"/>
    <cellStyle name="Comma 2 2 2 2 5 2" xfId="5404" xr:uid="{51B4B4EE-A425-4BED-9B5C-2A213D0F3225}"/>
    <cellStyle name="Comma 2 2 2 2 5 3" xfId="7081" xr:uid="{ED794714-9537-4C89-A63B-42518628379A}"/>
    <cellStyle name="Comma 2 2 2 2 6" xfId="4104" xr:uid="{00000000-0005-0000-0000-0000ED000000}"/>
    <cellStyle name="Comma 2 2 2 2 6 2" xfId="5796" xr:uid="{2CA09E5D-340C-400A-9F00-1F0B161110B1}"/>
    <cellStyle name="Comma 2 2 2 2 6 3" xfId="7473" xr:uid="{6D7485D5-BB1D-4C02-A1B7-C21406D989BE}"/>
    <cellStyle name="Comma 2 2 2 2 7" xfId="4213" xr:uid="{C055F90F-9FCF-4E58-8C77-DF06A8FB62EF}"/>
    <cellStyle name="Comma 2 2 2 2 7 2" xfId="5894" xr:uid="{809CF53C-0589-4A7A-9497-C523B4D3C5F7}"/>
    <cellStyle name="Comma 2 2 2 2 7 3" xfId="7571" xr:uid="{BAF1EB22-CD56-4551-B240-E28065E90EAE}"/>
    <cellStyle name="Comma 2 2 2 2 8" xfId="4627" xr:uid="{54349AE5-5148-47E7-8F9C-A0D67899D3A0}"/>
    <cellStyle name="Comma 2 2 2 2 9" xfId="6304" xr:uid="{01349E38-9731-4176-8209-E2465CB05D65}"/>
    <cellStyle name="Comma 2 2 2 3" xfId="2957" xr:uid="{00000000-0005-0000-0000-0000EE000000}"/>
    <cellStyle name="Comma 2 2 2 3 2" xfId="3159" xr:uid="{00000000-0005-0000-0000-0000EF000000}"/>
    <cellStyle name="Comma 2 2 2 3 2 2" xfId="3552" xr:uid="{00000000-0005-0000-0000-0000F0000000}"/>
    <cellStyle name="Comma 2 2 2 3 2 2 2" xfId="5256" xr:uid="{204CFAC6-78B2-43CF-8144-F7C5CE0B8D28}"/>
    <cellStyle name="Comma 2 2 2 3 2 2 3" xfId="6933" xr:uid="{C95D9B28-A453-4AA2-B384-35ECADBF3608}"/>
    <cellStyle name="Comma 2 2 2 3 2 3" xfId="3947" xr:uid="{00000000-0005-0000-0000-0000F1000000}"/>
    <cellStyle name="Comma 2 2 2 3 2 3 2" xfId="5645" xr:uid="{F1AF7BB3-0728-4493-8684-7820BDB8699E}"/>
    <cellStyle name="Comma 2 2 2 3 2 3 3" xfId="7322" xr:uid="{67562A9F-94D0-4F34-81F0-456BF4EFF4FC}"/>
    <cellStyle name="Comma 2 2 2 3 2 4" xfId="4454" xr:uid="{FD515200-7ABD-440D-824D-1A943CA25EE1}"/>
    <cellStyle name="Comma 2 2 2 3 2 4 2" xfId="6135" xr:uid="{46632552-9975-4279-A663-C28EA6E3C820}"/>
    <cellStyle name="Comma 2 2 2 3 2 4 3" xfId="7812" xr:uid="{33DA8415-536B-4C6D-BDCB-745AC9E76FBB}"/>
    <cellStyle name="Comma 2 2 2 3 2 5" xfId="4868" xr:uid="{B77FFDF4-406C-4BFF-95C4-0071F08657CD}"/>
    <cellStyle name="Comma 2 2 2 3 2 6" xfId="6545" xr:uid="{5F3E43A5-1FA4-4C22-B036-807282AD2D5F}"/>
    <cellStyle name="Comma 2 2 2 3 3" xfId="3358" xr:uid="{00000000-0005-0000-0000-0000F2000000}"/>
    <cellStyle name="Comma 2 2 2 3 3 2" xfId="5062" xr:uid="{C56CFE14-5BE7-48C8-A176-A2D70A074416}"/>
    <cellStyle name="Comma 2 2 2 3 3 3" xfId="6739" xr:uid="{E66B6CC4-4841-4B0A-8E16-A1DFC6F1D93C}"/>
    <cellStyle name="Comma 2 2 2 3 4" xfId="3753" xr:uid="{00000000-0005-0000-0000-0000F3000000}"/>
    <cellStyle name="Comma 2 2 2 3 4 2" xfId="5451" xr:uid="{A5525E04-6439-45FC-874E-E1A7B0F32317}"/>
    <cellStyle name="Comma 2 2 2 3 4 3" xfId="7128" xr:uid="{2CDBA80F-1AD4-4938-8D11-C595C5E7C015}"/>
    <cellStyle name="Comma 2 2 2 3 5" xfId="4260" xr:uid="{9796EC08-D9FD-4D9C-9EAE-93220A21DDEF}"/>
    <cellStyle name="Comma 2 2 2 3 5 2" xfId="5941" xr:uid="{214FE83E-28DC-46BF-9667-14E6CD64A72F}"/>
    <cellStyle name="Comma 2 2 2 3 5 3" xfId="7618" xr:uid="{C216BCB1-CAA0-4095-A271-665A217E4895}"/>
    <cellStyle name="Comma 2 2 2 3 6" xfId="4674" xr:uid="{1F13C718-642D-4B5F-9FF8-8E3C6EC13F0F}"/>
    <cellStyle name="Comma 2 2 2 3 7" xfId="6351" xr:uid="{66F6DC9F-67ED-48A0-AC6F-A8FD057BBAE6}"/>
    <cellStyle name="Comma 2 2 2 4" xfId="3063" xr:uid="{00000000-0005-0000-0000-0000F4000000}"/>
    <cellStyle name="Comma 2 2 2 4 2" xfId="3456" xr:uid="{00000000-0005-0000-0000-0000F5000000}"/>
    <cellStyle name="Comma 2 2 2 4 2 2" xfId="5160" xr:uid="{23539C97-D666-40F4-94FD-541A25E480B7}"/>
    <cellStyle name="Comma 2 2 2 4 2 3" xfId="6837" xr:uid="{A55C78E8-4CA0-4C8B-911C-9CDECBAE5263}"/>
    <cellStyle name="Comma 2 2 2 4 3" xfId="3851" xr:uid="{00000000-0005-0000-0000-0000F6000000}"/>
    <cellStyle name="Comma 2 2 2 4 3 2" xfId="5549" xr:uid="{A557D1BB-BF7B-4B9E-83D3-BC765B468144}"/>
    <cellStyle name="Comma 2 2 2 4 3 3" xfId="7226" xr:uid="{A32207C4-B894-41BF-9260-90672A37D73F}"/>
    <cellStyle name="Comma 2 2 2 4 4" xfId="4358" xr:uid="{F0E6D1F4-4F65-48A5-995B-3B4C790482C6}"/>
    <cellStyle name="Comma 2 2 2 4 4 2" xfId="6039" xr:uid="{A782E59C-FD43-4A63-9891-DF86D5C4C258}"/>
    <cellStyle name="Comma 2 2 2 4 4 3" xfId="7716" xr:uid="{5CBABB5B-1D8C-4A3D-9AB9-3334E9A87DA3}"/>
    <cellStyle name="Comma 2 2 2 4 5" xfId="4772" xr:uid="{6FB9E1FB-5395-4A7D-9691-E92DF3455FAC}"/>
    <cellStyle name="Comma 2 2 2 4 6" xfId="6449" xr:uid="{F1C3E88B-5C9B-4A23-BA4A-DD23D9278EEB}"/>
    <cellStyle name="Comma 2 2 2 5" xfId="3261" xr:uid="{00000000-0005-0000-0000-0000F7000000}"/>
    <cellStyle name="Comma 2 2 2 5 2" xfId="4966" xr:uid="{8364BE3D-D1A7-4C00-A819-13B08ABF6650}"/>
    <cellStyle name="Comma 2 2 2 5 3" xfId="6643" xr:uid="{B1688315-F8C7-4E77-A179-D06D8B6E9896}"/>
    <cellStyle name="Comma 2 2 2 6" xfId="3655" xr:uid="{00000000-0005-0000-0000-0000F8000000}"/>
    <cellStyle name="Comma 2 2 2 6 2" xfId="5354" xr:uid="{22164577-BD33-41D2-8547-B845F14F6560}"/>
    <cellStyle name="Comma 2 2 2 6 3" xfId="7031" xr:uid="{5157301C-056C-4B81-8DAA-1570BE0E7485}"/>
    <cellStyle name="Comma 2 2 2 7" xfId="4050" xr:uid="{00000000-0005-0000-0000-0000F9000000}"/>
    <cellStyle name="Comma 2 2 2 7 2" xfId="5744" xr:uid="{360C89DC-E32C-4892-A7F0-14D77D6A6BD1}"/>
    <cellStyle name="Comma 2 2 2 7 3" xfId="7421" xr:uid="{60F521C1-FBDA-451B-BBA6-E381AB46489D}"/>
    <cellStyle name="Comma 2 2 2 8" xfId="4158" xr:uid="{2C05A63B-CA92-4284-A776-52FB1D7B6517}"/>
    <cellStyle name="Comma 2 2 2 8 2" xfId="5843" xr:uid="{A85E84CD-E489-4FDF-A4E9-E0AE0DF9DAB2}"/>
    <cellStyle name="Comma 2 2 2 8 3" xfId="7520" xr:uid="{ED74711D-147A-46A4-8C0B-2AED05D1B593}"/>
    <cellStyle name="Comma 2 2 2 9" xfId="4574" xr:uid="{1AE05857-0A03-4F64-A655-CC2F11B12728}"/>
    <cellStyle name="Comma 2 2 3" xfId="2879" xr:uid="{00000000-0005-0000-0000-0000FA000000}"/>
    <cellStyle name="Comma 2 2 3 2" xfId="3011" xr:uid="{00000000-0005-0000-0000-0000FB000000}"/>
    <cellStyle name="Comma 2 2 3 2 2" xfId="3209" xr:uid="{00000000-0005-0000-0000-0000FC000000}"/>
    <cellStyle name="Comma 2 2 3 2 2 2" xfId="3602" xr:uid="{00000000-0005-0000-0000-0000FD000000}"/>
    <cellStyle name="Comma 2 2 3 2 2 2 2" xfId="5306" xr:uid="{A4278855-63F8-4BE5-8C3A-4C93950B9008}"/>
    <cellStyle name="Comma 2 2 3 2 2 2 3" xfId="6983" xr:uid="{5771C72E-428C-411D-B8A7-CF568C290506}"/>
    <cellStyle name="Comma 2 2 3 2 2 3" xfId="3997" xr:uid="{00000000-0005-0000-0000-0000FE000000}"/>
    <cellStyle name="Comma 2 2 3 2 2 3 2" xfId="5695" xr:uid="{FE56ECE3-F677-410D-B1EE-64413E1DB3B1}"/>
    <cellStyle name="Comma 2 2 3 2 2 3 3" xfId="7372" xr:uid="{7E65FC2F-B7D3-403D-A156-9C23F30D26B5}"/>
    <cellStyle name="Comma 2 2 3 2 2 4" xfId="4504" xr:uid="{DA5F8346-5309-4A7C-8282-78C9438B135A}"/>
    <cellStyle name="Comma 2 2 3 2 2 4 2" xfId="6185" xr:uid="{3B842423-E0C5-4EE3-8135-5FD59A0DC15E}"/>
    <cellStyle name="Comma 2 2 3 2 2 4 3" xfId="7862" xr:uid="{7923825D-3239-44E5-B415-A616905AEEA2}"/>
    <cellStyle name="Comma 2 2 3 2 2 5" xfId="4918" xr:uid="{BAA34D57-6568-4524-A0B8-D844FAE77EBA}"/>
    <cellStyle name="Comma 2 2 3 2 2 6" xfId="6595" xr:uid="{886191A0-0430-4CBF-85DA-3578CAB72DCB}"/>
    <cellStyle name="Comma 2 2 3 2 3" xfId="3408" xr:uid="{00000000-0005-0000-0000-0000FF000000}"/>
    <cellStyle name="Comma 2 2 3 2 3 2" xfId="5112" xr:uid="{58B22293-4500-44E8-8667-0031995CA8E3}"/>
    <cellStyle name="Comma 2 2 3 2 3 3" xfId="6789" xr:uid="{3DA334FD-ED57-4E07-A7A6-DB2AD51BF070}"/>
    <cellStyle name="Comma 2 2 3 2 4" xfId="3803" xr:uid="{00000000-0005-0000-0000-000000010000}"/>
    <cellStyle name="Comma 2 2 3 2 4 2" xfId="5501" xr:uid="{3FA9B62A-2CC5-4F9E-98E9-4DBB707EC23E}"/>
    <cellStyle name="Comma 2 2 3 2 4 3" xfId="7178" xr:uid="{3ADE230D-3208-4536-96D8-1F7EBAC5F23C}"/>
    <cellStyle name="Comma 2 2 3 2 5" xfId="4310" xr:uid="{2496CA52-4450-477E-8BDF-D5E31A8131D5}"/>
    <cellStyle name="Comma 2 2 3 2 5 2" xfId="5991" xr:uid="{1372E166-99D5-46F8-9D85-E6BF83DEBEBF}"/>
    <cellStyle name="Comma 2 2 3 2 5 3" xfId="7668" xr:uid="{7BFC9FDA-412A-4825-AC9C-422B8BF90650}"/>
    <cellStyle name="Comma 2 2 3 2 6" xfId="4724" xr:uid="{ACA762E8-1D93-438E-A4CB-07B19A2D824F}"/>
    <cellStyle name="Comma 2 2 3 2 7" xfId="6401" xr:uid="{461548DB-8F1E-4CD5-BAC9-E2881A8C15A2}"/>
    <cellStyle name="Comma 2 2 3 3" xfId="3111" xr:uid="{00000000-0005-0000-0000-000001010000}"/>
    <cellStyle name="Comma 2 2 3 3 2" xfId="3504" xr:uid="{00000000-0005-0000-0000-000002010000}"/>
    <cellStyle name="Comma 2 2 3 3 2 2" xfId="5208" xr:uid="{3891C010-E8FA-4311-839C-F7BEB9358CD1}"/>
    <cellStyle name="Comma 2 2 3 3 2 3" xfId="6885" xr:uid="{43855401-A2A9-474D-A11B-FFCC4250C17C}"/>
    <cellStyle name="Comma 2 2 3 3 3" xfId="3899" xr:uid="{00000000-0005-0000-0000-000003010000}"/>
    <cellStyle name="Comma 2 2 3 3 3 2" xfId="5597" xr:uid="{1C80FCDA-9D15-4EB8-A641-BC6FA925218B}"/>
    <cellStyle name="Comma 2 2 3 3 3 3" xfId="7274" xr:uid="{3227AE65-FF82-469F-9C90-AF55A725C4A1}"/>
    <cellStyle name="Comma 2 2 3 3 4" xfId="4406" xr:uid="{131CBBBF-AFD3-4104-AB3E-3C63CB57FB1C}"/>
    <cellStyle name="Comma 2 2 3 3 4 2" xfId="6087" xr:uid="{35B8ED59-A274-4B9A-85EF-59DC214A372C}"/>
    <cellStyle name="Comma 2 2 3 3 4 3" xfId="7764" xr:uid="{D3C09F7F-CE15-41F6-A7AF-5891A93CAD4E}"/>
    <cellStyle name="Comma 2 2 3 3 5" xfId="4820" xr:uid="{0D3A42F2-8C2F-4978-B683-E6B4A433911F}"/>
    <cellStyle name="Comma 2 2 3 3 6" xfId="6497" xr:uid="{FC699633-53DF-487E-B9D9-D0AB19B333DD}"/>
    <cellStyle name="Comma 2 2 3 4" xfId="3310" xr:uid="{00000000-0005-0000-0000-000004010000}"/>
    <cellStyle name="Comma 2 2 3 4 2" xfId="5014" xr:uid="{FB5095B1-FBAA-4133-8BDB-897B98126790}"/>
    <cellStyle name="Comma 2 2 3 4 3" xfId="6691" xr:uid="{187876DB-04D2-465D-A427-C2E33FA4C646}"/>
    <cellStyle name="Comma 2 2 3 5" xfId="3705" xr:uid="{00000000-0005-0000-0000-000005010000}"/>
    <cellStyle name="Comma 2 2 3 5 2" xfId="5403" xr:uid="{1EA919CA-440A-4CC0-86E3-16D2F06E76CC}"/>
    <cellStyle name="Comma 2 2 3 5 3" xfId="7080" xr:uid="{01F01B47-D2A5-4B52-8521-AB106954071B}"/>
    <cellStyle name="Comma 2 2 3 6" xfId="4103" xr:uid="{00000000-0005-0000-0000-000006010000}"/>
    <cellStyle name="Comma 2 2 3 6 2" xfId="5795" xr:uid="{14D5501B-E818-4FEC-9515-C6CFFB0F7421}"/>
    <cellStyle name="Comma 2 2 3 6 3" xfId="7472" xr:uid="{9288458E-ACC5-4B53-AC91-82DE70884966}"/>
    <cellStyle name="Comma 2 2 3 7" xfId="4212" xr:uid="{450E86D1-6A83-4E77-A496-A0C13B9BE1A4}"/>
    <cellStyle name="Comma 2 2 3 7 2" xfId="5893" xr:uid="{039FC28D-57F7-4433-B3B8-2D70650A2E2E}"/>
    <cellStyle name="Comma 2 2 3 7 3" xfId="7570" xr:uid="{E25432A8-F216-4121-BB11-B017FB48EF46}"/>
    <cellStyle name="Comma 2 2 3 8" xfId="4626" xr:uid="{6E18173F-3B41-4262-B796-10F39FA477F9}"/>
    <cellStyle name="Comma 2 2 3 9" xfId="6303" xr:uid="{DEF2C12A-6CA2-46FF-A8DC-8B63A1998BA5}"/>
    <cellStyle name="Comma 2 2 4" xfId="2956" xr:uid="{00000000-0005-0000-0000-000007010000}"/>
    <cellStyle name="Comma 2 2 4 2" xfId="3158" xr:uid="{00000000-0005-0000-0000-000008010000}"/>
    <cellStyle name="Comma 2 2 4 2 2" xfId="3551" xr:uid="{00000000-0005-0000-0000-000009010000}"/>
    <cellStyle name="Comma 2 2 4 2 2 2" xfId="5255" xr:uid="{F8B1DABB-971B-4283-8F1C-1046C6F59F56}"/>
    <cellStyle name="Comma 2 2 4 2 2 3" xfId="6932" xr:uid="{421C1869-938A-4578-95FE-53F9EC4967A5}"/>
    <cellStyle name="Comma 2 2 4 2 3" xfId="3946" xr:uid="{00000000-0005-0000-0000-00000A010000}"/>
    <cellStyle name="Comma 2 2 4 2 3 2" xfId="5644" xr:uid="{86D7AC67-3FB1-469B-846B-BFAFB75C6AA5}"/>
    <cellStyle name="Comma 2 2 4 2 3 3" xfId="7321" xr:uid="{C4FEF932-D246-4FC8-98BF-CA929D1869DB}"/>
    <cellStyle name="Comma 2 2 4 2 4" xfId="4453" xr:uid="{3ECA9408-229A-4BFA-A504-EF7ADD8894EE}"/>
    <cellStyle name="Comma 2 2 4 2 4 2" xfId="6134" xr:uid="{8712D792-5FD3-4E05-9193-D8C80ADC28DD}"/>
    <cellStyle name="Comma 2 2 4 2 4 3" xfId="7811" xr:uid="{93CC7F7D-BA94-47A3-8BF6-AAD80F5BFD0A}"/>
    <cellStyle name="Comma 2 2 4 2 5" xfId="4867" xr:uid="{43B70BD8-BE43-47B6-AB01-61ED9F488633}"/>
    <cellStyle name="Comma 2 2 4 2 6" xfId="6544" xr:uid="{9EC5136E-E989-4DE8-B40A-4087DEBDBD3E}"/>
    <cellStyle name="Comma 2 2 4 3" xfId="3357" xr:uid="{00000000-0005-0000-0000-00000B010000}"/>
    <cellStyle name="Comma 2 2 4 3 2" xfId="5061" xr:uid="{571FAD31-A282-4AFD-B362-CD8B93853EE8}"/>
    <cellStyle name="Comma 2 2 4 3 3" xfId="6738" xr:uid="{76766E2D-C5C1-4EA6-8B56-2A87131C84BB}"/>
    <cellStyle name="Comma 2 2 4 4" xfId="3752" xr:uid="{00000000-0005-0000-0000-00000C010000}"/>
    <cellStyle name="Comma 2 2 4 4 2" xfId="5450" xr:uid="{2B0DD21A-1564-4C8A-A89B-B09A7DA025CF}"/>
    <cellStyle name="Comma 2 2 4 4 3" xfId="7127" xr:uid="{A5EA05C0-E01A-41A8-AD04-82C592BD2A96}"/>
    <cellStyle name="Comma 2 2 4 5" xfId="4259" xr:uid="{A4493FB1-1E27-4C5A-965D-A32602599B70}"/>
    <cellStyle name="Comma 2 2 4 5 2" xfId="5940" xr:uid="{53A1B47F-452C-49E1-A150-F06AC03B2AB0}"/>
    <cellStyle name="Comma 2 2 4 5 3" xfId="7617" xr:uid="{9E1831FD-325E-4D0E-9681-AD5826768A66}"/>
    <cellStyle name="Comma 2 2 4 6" xfId="4673" xr:uid="{9ACF7F7C-A87A-42B2-A3F0-A2D1C23E6811}"/>
    <cellStyle name="Comma 2 2 4 7" xfId="6350" xr:uid="{D78193A8-D228-4EC6-9AED-C20B6930FB18}"/>
    <cellStyle name="Comma 2 2 5" xfId="3062" xr:uid="{00000000-0005-0000-0000-00000D010000}"/>
    <cellStyle name="Comma 2 2 5 2" xfId="3455" xr:uid="{00000000-0005-0000-0000-00000E010000}"/>
    <cellStyle name="Comma 2 2 5 2 2" xfId="5159" xr:uid="{1FD24012-B743-4736-A4F3-0DC07736E6C3}"/>
    <cellStyle name="Comma 2 2 5 2 3" xfId="6836" xr:uid="{E447C6D5-98F4-4B34-BBB6-4B61E928A094}"/>
    <cellStyle name="Comma 2 2 5 3" xfId="3850" xr:uid="{00000000-0005-0000-0000-00000F010000}"/>
    <cellStyle name="Comma 2 2 5 3 2" xfId="5548" xr:uid="{C825F57C-F4B6-4E2B-B01B-F2E70BB5E719}"/>
    <cellStyle name="Comma 2 2 5 3 3" xfId="7225" xr:uid="{663F8B78-F5A4-4ED9-A2DA-ED8E61453F31}"/>
    <cellStyle name="Comma 2 2 5 4" xfId="4357" xr:uid="{01AA9E17-32E8-450B-88D1-367AB31DA56E}"/>
    <cellStyle name="Comma 2 2 5 4 2" xfId="6038" xr:uid="{2674423B-06F4-4E79-B4B2-7885400D88E2}"/>
    <cellStyle name="Comma 2 2 5 4 3" xfId="7715" xr:uid="{8D018AF0-102C-4F13-B92C-7BF46B97E5C0}"/>
    <cellStyle name="Comma 2 2 5 5" xfId="4771" xr:uid="{704F2731-6DEB-417D-9458-DFBB00D93410}"/>
    <cellStyle name="Comma 2 2 5 6" xfId="6448" xr:uid="{1850ADE1-985C-4816-AC0D-2AABE815B2F4}"/>
    <cellStyle name="Comma 2 2 6" xfId="3260" xr:uid="{00000000-0005-0000-0000-000010010000}"/>
    <cellStyle name="Comma 2 2 6 2" xfId="4965" xr:uid="{FC451948-011D-4CD3-A477-D9777C5EEF39}"/>
    <cellStyle name="Comma 2 2 6 3" xfId="6642" xr:uid="{B5981348-EBDB-4ECC-BC3E-62EA30A417F4}"/>
    <cellStyle name="Comma 2 2 7" xfId="3654" xr:uid="{00000000-0005-0000-0000-000011010000}"/>
    <cellStyle name="Comma 2 2 7 2" xfId="5353" xr:uid="{004B2C54-452A-465C-BFA6-B9AD89B786A3}"/>
    <cellStyle name="Comma 2 2 7 3" xfId="7030" xr:uid="{3C616D9A-1507-4A3B-9EB4-6B19E25164BE}"/>
    <cellStyle name="Comma 2 2 8" xfId="4049" xr:uid="{00000000-0005-0000-0000-000012010000}"/>
    <cellStyle name="Comma 2 2 8 2" xfId="5743" xr:uid="{2272A913-ED09-4170-A6CC-A74A98B6AED3}"/>
    <cellStyle name="Comma 2 2 8 3" xfId="7420" xr:uid="{1577AF68-3464-419A-B67F-BC4B9D9D0ACA}"/>
    <cellStyle name="Comma 2 2 9" xfId="4157" xr:uid="{E2B23010-F6D2-475D-84FA-4D50F66652BD}"/>
    <cellStyle name="Comma 2 2 9 2" xfId="5842" xr:uid="{53049075-8E50-4365-BAE4-E96D41DF66F1}"/>
    <cellStyle name="Comma 2 2 9 3" xfId="7519" xr:uid="{51E2D540-A61D-4C7F-8391-073404B2DC9A}"/>
    <cellStyle name="Comma 2 3" xfId="79" xr:uid="{00000000-0005-0000-0000-000013010000}"/>
    <cellStyle name="Comma 2 3 10" xfId="6251" xr:uid="{CF109331-122C-44D8-B2E1-CCE15FC6C9BE}"/>
    <cellStyle name="Comma 2 3 2" xfId="2881" xr:uid="{00000000-0005-0000-0000-000014010000}"/>
    <cellStyle name="Comma 2 3 2 2" xfId="3013" xr:uid="{00000000-0005-0000-0000-000015010000}"/>
    <cellStyle name="Comma 2 3 2 2 2" xfId="3211" xr:uid="{00000000-0005-0000-0000-000016010000}"/>
    <cellStyle name="Comma 2 3 2 2 2 2" xfId="3604" xr:uid="{00000000-0005-0000-0000-000017010000}"/>
    <cellStyle name="Comma 2 3 2 2 2 2 2" xfId="5308" xr:uid="{F9A3B6EB-9C82-4B97-9D00-DD047333518A}"/>
    <cellStyle name="Comma 2 3 2 2 2 2 3" xfId="6985" xr:uid="{26DDF86F-EAFC-41C2-A971-AE076A78A69A}"/>
    <cellStyle name="Comma 2 3 2 2 2 3" xfId="3999" xr:uid="{00000000-0005-0000-0000-000018010000}"/>
    <cellStyle name="Comma 2 3 2 2 2 3 2" xfId="5697" xr:uid="{1301DDEC-32A3-4872-AE16-3DE97A36CE18}"/>
    <cellStyle name="Comma 2 3 2 2 2 3 3" xfId="7374" xr:uid="{30FE3D38-06AD-4FFF-8090-C95446DD98EA}"/>
    <cellStyle name="Comma 2 3 2 2 2 4" xfId="4506" xr:uid="{57BB5344-9551-4F48-A104-ED72A1FDB93D}"/>
    <cellStyle name="Comma 2 3 2 2 2 4 2" xfId="6187" xr:uid="{07131EE7-31E1-447A-892B-9CAE69F6E9C2}"/>
    <cellStyle name="Comma 2 3 2 2 2 4 3" xfId="7864" xr:uid="{12AD5627-036B-457A-A568-57498ED22F29}"/>
    <cellStyle name="Comma 2 3 2 2 2 5" xfId="4920" xr:uid="{29ABD1C8-A65E-428B-87C8-BB29F3E7105A}"/>
    <cellStyle name="Comma 2 3 2 2 2 6" xfId="6597" xr:uid="{77A65F95-51E5-4EA6-86F4-64F118D293EA}"/>
    <cellStyle name="Comma 2 3 2 2 3" xfId="3410" xr:uid="{00000000-0005-0000-0000-000019010000}"/>
    <cellStyle name="Comma 2 3 2 2 3 2" xfId="5114" xr:uid="{6D020004-7888-4A7A-A480-CBB6C3DA8E48}"/>
    <cellStyle name="Comma 2 3 2 2 3 3" xfId="6791" xr:uid="{2277328F-036D-4FA9-83CE-0D9B7568E4DA}"/>
    <cellStyle name="Comma 2 3 2 2 4" xfId="3805" xr:uid="{00000000-0005-0000-0000-00001A010000}"/>
    <cellStyle name="Comma 2 3 2 2 4 2" xfId="5503" xr:uid="{D3DD8D2C-C000-4FFC-9E67-563DB85BD602}"/>
    <cellStyle name="Comma 2 3 2 2 4 3" xfId="7180" xr:uid="{1CCDFD1A-AE01-4185-9B92-0EE3305A74EF}"/>
    <cellStyle name="Comma 2 3 2 2 5" xfId="4312" xr:uid="{D8823AF6-2D31-41AE-B45A-EF7E7917F7AB}"/>
    <cellStyle name="Comma 2 3 2 2 5 2" xfId="5993" xr:uid="{2CEED635-D42A-4DD6-81C7-AFDE7D7741AA}"/>
    <cellStyle name="Comma 2 3 2 2 5 3" xfId="7670" xr:uid="{FE739B2E-4839-4D26-B2B8-86E61F2A88C7}"/>
    <cellStyle name="Comma 2 3 2 2 6" xfId="4726" xr:uid="{90962112-189B-4AD5-8654-B86CA3F470B9}"/>
    <cellStyle name="Comma 2 3 2 2 7" xfId="6403" xr:uid="{0E73B5CD-44B1-4B3B-8E27-2C40FCC021B1}"/>
    <cellStyle name="Comma 2 3 2 3" xfId="3113" xr:uid="{00000000-0005-0000-0000-00001B010000}"/>
    <cellStyle name="Comma 2 3 2 3 2" xfId="3506" xr:uid="{00000000-0005-0000-0000-00001C010000}"/>
    <cellStyle name="Comma 2 3 2 3 2 2" xfId="5210" xr:uid="{E8C95A55-986F-45C2-93AE-8826DFD7DE7D}"/>
    <cellStyle name="Comma 2 3 2 3 2 3" xfId="6887" xr:uid="{F9940703-101B-4282-9C8F-EBC6BFF48096}"/>
    <cellStyle name="Comma 2 3 2 3 3" xfId="3901" xr:uid="{00000000-0005-0000-0000-00001D010000}"/>
    <cellStyle name="Comma 2 3 2 3 3 2" xfId="5599" xr:uid="{B86FF772-41EA-4FE2-B9DF-66CAE347AA3B}"/>
    <cellStyle name="Comma 2 3 2 3 3 3" xfId="7276" xr:uid="{D92BCFFE-A97C-47F1-B6BE-55C97E29B6E5}"/>
    <cellStyle name="Comma 2 3 2 3 4" xfId="4408" xr:uid="{12F1B363-67A8-4E4A-BBBF-B0E6A304B81B}"/>
    <cellStyle name="Comma 2 3 2 3 4 2" xfId="6089" xr:uid="{8B35576E-A97C-4477-AA94-4F5C0A847A16}"/>
    <cellStyle name="Comma 2 3 2 3 4 3" xfId="7766" xr:uid="{492BFCFD-D2B7-47DE-A38B-AAE0A5260C4D}"/>
    <cellStyle name="Comma 2 3 2 3 5" xfId="4822" xr:uid="{6C0881EE-4A3D-42C0-9AAC-F9502A44067B}"/>
    <cellStyle name="Comma 2 3 2 3 6" xfId="6499" xr:uid="{5805A846-6B50-4088-8041-7CF2FE326C81}"/>
    <cellStyle name="Comma 2 3 2 4" xfId="3312" xr:uid="{00000000-0005-0000-0000-00001E010000}"/>
    <cellStyle name="Comma 2 3 2 4 2" xfId="5016" xr:uid="{36D2EA06-AAD1-437C-98FF-200897D61CCD}"/>
    <cellStyle name="Comma 2 3 2 4 3" xfId="6693" xr:uid="{09B31B30-7125-463F-BCD4-29FC16D9ECF7}"/>
    <cellStyle name="Comma 2 3 2 5" xfId="3707" xr:uid="{00000000-0005-0000-0000-00001F010000}"/>
    <cellStyle name="Comma 2 3 2 5 2" xfId="5405" xr:uid="{8BC7E3D0-9FF9-4CE7-8507-17E2D366C365}"/>
    <cellStyle name="Comma 2 3 2 5 3" xfId="7082" xr:uid="{2A5EF9D6-B678-4D4B-A15A-68E440F6BA5E}"/>
    <cellStyle name="Comma 2 3 2 6" xfId="4105" xr:uid="{00000000-0005-0000-0000-000020010000}"/>
    <cellStyle name="Comma 2 3 2 6 2" xfId="5797" xr:uid="{610D38D9-179D-4DE5-A2BB-CB2C26C27AFA}"/>
    <cellStyle name="Comma 2 3 2 6 3" xfId="7474" xr:uid="{505019F1-B0D3-42D4-ADD1-BA84411B2085}"/>
    <cellStyle name="Comma 2 3 2 7" xfId="4214" xr:uid="{B3964296-0985-48DC-9FC5-267443CCA3E8}"/>
    <cellStyle name="Comma 2 3 2 7 2" xfId="5895" xr:uid="{DB3A0AD4-CB1A-4D20-9C48-084B05A6BAFC}"/>
    <cellStyle name="Comma 2 3 2 7 3" xfId="7572" xr:uid="{13221754-8442-454E-B93E-06CC417E4106}"/>
    <cellStyle name="Comma 2 3 2 8" xfId="4628" xr:uid="{01ABEA40-0F67-4B8D-AF95-6FD1948B8194}"/>
    <cellStyle name="Comma 2 3 2 9" xfId="6305" xr:uid="{706B57F1-572D-492E-98CF-005305A14F3A}"/>
    <cellStyle name="Comma 2 3 3" xfId="2958" xr:uid="{00000000-0005-0000-0000-000021010000}"/>
    <cellStyle name="Comma 2 3 3 2" xfId="3160" xr:uid="{00000000-0005-0000-0000-000022010000}"/>
    <cellStyle name="Comma 2 3 3 2 2" xfId="3553" xr:uid="{00000000-0005-0000-0000-000023010000}"/>
    <cellStyle name="Comma 2 3 3 2 2 2" xfId="5257" xr:uid="{BB609A7A-A99F-4132-98D2-451D88696B91}"/>
    <cellStyle name="Comma 2 3 3 2 2 3" xfId="6934" xr:uid="{18A75E37-B070-48D8-9230-3EA570AC94B2}"/>
    <cellStyle name="Comma 2 3 3 2 3" xfId="3948" xr:uid="{00000000-0005-0000-0000-000024010000}"/>
    <cellStyle name="Comma 2 3 3 2 3 2" xfId="5646" xr:uid="{3008B708-88F9-4FB8-AE2C-A976058C822C}"/>
    <cellStyle name="Comma 2 3 3 2 3 3" xfId="7323" xr:uid="{55BBDF6F-FCFC-4DA6-AC00-7CE8CBF540E6}"/>
    <cellStyle name="Comma 2 3 3 2 4" xfId="4455" xr:uid="{152E3452-15DD-4FCA-AB0D-6E473E57B7A5}"/>
    <cellStyle name="Comma 2 3 3 2 4 2" xfId="6136" xr:uid="{CC0E2BF8-7BDD-45B4-AD6E-35FEE8964BE6}"/>
    <cellStyle name="Comma 2 3 3 2 4 3" xfId="7813" xr:uid="{42E9328D-5559-41E4-8FF2-7F0808773429}"/>
    <cellStyle name="Comma 2 3 3 2 5" xfId="4869" xr:uid="{E364924C-F110-45DE-A674-EF5412B93C4A}"/>
    <cellStyle name="Comma 2 3 3 2 6" xfId="6546" xr:uid="{C4BD6331-65D0-4CFC-8116-54BA2B013455}"/>
    <cellStyle name="Comma 2 3 3 3" xfId="3359" xr:uid="{00000000-0005-0000-0000-000025010000}"/>
    <cellStyle name="Comma 2 3 3 3 2" xfId="5063" xr:uid="{A7D131BA-D513-4E85-9FD2-2C2BC30A5DAA}"/>
    <cellStyle name="Comma 2 3 3 3 3" xfId="6740" xr:uid="{FDC72A27-51CC-44D3-ACA8-42CC0257484F}"/>
    <cellStyle name="Comma 2 3 3 4" xfId="3754" xr:uid="{00000000-0005-0000-0000-000026010000}"/>
    <cellStyle name="Comma 2 3 3 4 2" xfId="5452" xr:uid="{9ADBA1A5-869C-4969-9660-ABC586C8DE44}"/>
    <cellStyle name="Comma 2 3 3 4 3" xfId="7129" xr:uid="{C651A49A-54A5-4738-9D4C-38F85A1F6826}"/>
    <cellStyle name="Comma 2 3 3 5" xfId="4261" xr:uid="{83C27CA7-E29C-4CBF-8E88-383A417F8073}"/>
    <cellStyle name="Comma 2 3 3 5 2" xfId="5942" xr:uid="{2E055A97-83D3-40F4-96DA-C06144EEE5AC}"/>
    <cellStyle name="Comma 2 3 3 5 3" xfId="7619" xr:uid="{9FBA0A78-B70D-44BA-9557-894635B0D33A}"/>
    <cellStyle name="Comma 2 3 3 6" xfId="4675" xr:uid="{078D775E-5708-4ADC-9DC3-307DE8BEFCE4}"/>
    <cellStyle name="Comma 2 3 3 7" xfId="6352" xr:uid="{6CD4BCF8-8955-4E7F-8F93-B213E758F2AA}"/>
    <cellStyle name="Comma 2 3 4" xfId="3064" xr:uid="{00000000-0005-0000-0000-000027010000}"/>
    <cellStyle name="Comma 2 3 4 2" xfId="3457" xr:uid="{00000000-0005-0000-0000-000028010000}"/>
    <cellStyle name="Comma 2 3 4 2 2" xfId="5161" xr:uid="{3C889F6D-FA26-42D1-8314-3F99ACB4AA53}"/>
    <cellStyle name="Comma 2 3 4 2 3" xfId="6838" xr:uid="{2E22060C-AA84-4AD0-906A-13E73DE235B8}"/>
    <cellStyle name="Comma 2 3 4 3" xfId="3852" xr:uid="{00000000-0005-0000-0000-000029010000}"/>
    <cellStyle name="Comma 2 3 4 3 2" xfId="5550" xr:uid="{74ECE262-9EDC-4739-8EBD-789FC041F7B7}"/>
    <cellStyle name="Comma 2 3 4 3 3" xfId="7227" xr:uid="{DDCA0930-9769-4512-9FF4-6A076890F95B}"/>
    <cellStyle name="Comma 2 3 4 4" xfId="4359" xr:uid="{EB301DE1-B4CE-4DC8-A9C3-766F34F4201D}"/>
    <cellStyle name="Comma 2 3 4 4 2" xfId="6040" xr:uid="{E644CA34-9DB1-4DB8-9439-F8044B435D0D}"/>
    <cellStyle name="Comma 2 3 4 4 3" xfId="7717" xr:uid="{D1B5A0D7-B436-42BA-A264-2FB8ACDC9B70}"/>
    <cellStyle name="Comma 2 3 4 5" xfId="4773" xr:uid="{66D65BE8-A929-435F-A7E4-E9D3F69DEEEE}"/>
    <cellStyle name="Comma 2 3 4 6" xfId="6450" xr:uid="{F5B25588-24DF-41DA-8F30-F48741C5685B}"/>
    <cellStyle name="Comma 2 3 5" xfId="3262" xr:uid="{00000000-0005-0000-0000-00002A010000}"/>
    <cellStyle name="Comma 2 3 5 2" xfId="4967" xr:uid="{1EAB50CD-FD05-493F-B9A4-5F37AAC9A2F5}"/>
    <cellStyle name="Comma 2 3 5 3" xfId="6644" xr:uid="{11201282-0C2A-4001-A06D-3D48D485F07A}"/>
    <cellStyle name="Comma 2 3 6" xfId="3656" xr:uid="{00000000-0005-0000-0000-00002B010000}"/>
    <cellStyle name="Comma 2 3 6 2" xfId="5355" xr:uid="{4F1D69B3-B9CD-4FE4-B6FC-61EB6424F142}"/>
    <cellStyle name="Comma 2 3 6 3" xfId="7032" xr:uid="{2669B231-1950-4871-9BF4-99E665F74090}"/>
    <cellStyle name="Comma 2 3 7" xfId="4051" xr:uid="{00000000-0005-0000-0000-00002C010000}"/>
    <cellStyle name="Comma 2 3 7 2" xfId="5745" xr:uid="{F4F23189-6BAE-411C-832A-3FA5971791A1}"/>
    <cellStyle name="Comma 2 3 7 3" xfId="7422" xr:uid="{B9681AC8-3183-49C3-86A5-E2E8EF0BA02B}"/>
    <cellStyle name="Comma 2 3 8" xfId="4159" xr:uid="{A34BC7F5-07A7-42C5-96CF-A0F7D1016D23}"/>
    <cellStyle name="Comma 2 3 8 2" xfId="5844" xr:uid="{CD3CF2AC-D4D3-4247-AACB-C1967ACBE802}"/>
    <cellStyle name="Comma 2 3 8 3" xfId="7521" xr:uid="{A1563F04-37CB-44E9-B4F3-69CDCEA8BEE5}"/>
    <cellStyle name="Comma 2 3 9" xfId="4575" xr:uid="{F4105387-0BAE-4192-8442-93CB973834BA}"/>
    <cellStyle name="Comma 2 4" xfId="2878" xr:uid="{00000000-0005-0000-0000-00002D010000}"/>
    <cellStyle name="Comma 2 4 2" xfId="3010" xr:uid="{00000000-0005-0000-0000-00002E010000}"/>
    <cellStyle name="Comma 2 4 2 2" xfId="3208" xr:uid="{00000000-0005-0000-0000-00002F010000}"/>
    <cellStyle name="Comma 2 4 2 2 2" xfId="3601" xr:uid="{00000000-0005-0000-0000-000030010000}"/>
    <cellStyle name="Comma 2 4 2 2 2 2" xfId="5305" xr:uid="{D5BC9415-1C81-42F5-A536-B58CB0EE64A7}"/>
    <cellStyle name="Comma 2 4 2 2 2 3" xfId="6982" xr:uid="{61E680C3-7DDD-4CB6-B1C3-23810B56A711}"/>
    <cellStyle name="Comma 2 4 2 2 3" xfId="3996" xr:uid="{00000000-0005-0000-0000-000031010000}"/>
    <cellStyle name="Comma 2 4 2 2 3 2" xfId="5694" xr:uid="{B0F975B5-B2A9-44DD-A0E1-2DC79F2F8A7E}"/>
    <cellStyle name="Comma 2 4 2 2 3 3" xfId="7371" xr:uid="{4502BB8E-9C6F-4BAB-A33F-48671178CA71}"/>
    <cellStyle name="Comma 2 4 2 2 4" xfId="4503" xr:uid="{017803A0-CB1C-408C-94FA-D3B0CDAD7885}"/>
    <cellStyle name="Comma 2 4 2 2 4 2" xfId="6184" xr:uid="{24D4D2D0-9FE0-4568-A3E0-F8F18FB0289B}"/>
    <cellStyle name="Comma 2 4 2 2 4 3" xfId="7861" xr:uid="{A1825797-FF4E-4045-9330-CAA3D2FDEE12}"/>
    <cellStyle name="Comma 2 4 2 2 5" xfId="4917" xr:uid="{3483DA4E-75F4-49A6-B4B3-4F0A31A6D6C4}"/>
    <cellStyle name="Comma 2 4 2 2 6" xfId="6594" xr:uid="{96001771-ACA2-47AC-BF40-48ACD6F71051}"/>
    <cellStyle name="Comma 2 4 2 3" xfId="3407" xr:uid="{00000000-0005-0000-0000-000032010000}"/>
    <cellStyle name="Comma 2 4 2 3 2" xfId="5111" xr:uid="{5CD5AB01-D955-4538-B175-53014568C3DB}"/>
    <cellStyle name="Comma 2 4 2 3 3" xfId="6788" xr:uid="{0FB8F068-90AC-478E-B382-28335975CC5F}"/>
    <cellStyle name="Comma 2 4 2 4" xfId="3802" xr:uid="{00000000-0005-0000-0000-000033010000}"/>
    <cellStyle name="Comma 2 4 2 4 2" xfId="5500" xr:uid="{10132B96-1DE9-4F73-B543-755BE5EECF37}"/>
    <cellStyle name="Comma 2 4 2 4 3" xfId="7177" xr:uid="{4C39D0BC-4A6C-483E-81E9-0C276D080FB8}"/>
    <cellStyle name="Comma 2 4 2 5" xfId="4309" xr:uid="{53AC8B29-CE46-4F40-96E3-55EE8AF0FFC4}"/>
    <cellStyle name="Comma 2 4 2 5 2" xfId="5990" xr:uid="{B80B4E56-8709-4B41-8CE0-E6C976FB623A}"/>
    <cellStyle name="Comma 2 4 2 5 3" xfId="7667" xr:uid="{6280159C-77D9-471D-A8E4-B261C6A67238}"/>
    <cellStyle name="Comma 2 4 2 6" xfId="4723" xr:uid="{E2555CE1-57BB-4D7D-9E6C-FA690A8BE70B}"/>
    <cellStyle name="Comma 2 4 2 7" xfId="6400" xr:uid="{2C7BF5D0-DA5E-4DB4-832E-E9EB028ADDA1}"/>
    <cellStyle name="Comma 2 4 3" xfId="3110" xr:uid="{00000000-0005-0000-0000-000034010000}"/>
    <cellStyle name="Comma 2 4 3 2" xfId="3503" xr:uid="{00000000-0005-0000-0000-000035010000}"/>
    <cellStyle name="Comma 2 4 3 2 2" xfId="5207" xr:uid="{D7377A4C-2E2F-43B3-B377-DF810057B2C8}"/>
    <cellStyle name="Comma 2 4 3 2 3" xfId="6884" xr:uid="{A47E4F9C-E9B4-4BE6-8EC0-3C0EF407F3A6}"/>
    <cellStyle name="Comma 2 4 3 3" xfId="3898" xr:uid="{00000000-0005-0000-0000-000036010000}"/>
    <cellStyle name="Comma 2 4 3 3 2" xfId="5596" xr:uid="{7362FDDD-E9E6-4207-B740-C9D44AFAA54F}"/>
    <cellStyle name="Comma 2 4 3 3 3" xfId="7273" xr:uid="{4C0BB4D1-E048-42F0-85C7-308DDFE2C418}"/>
    <cellStyle name="Comma 2 4 3 4" xfId="4405" xr:uid="{D9CD0862-94D0-4A47-BFDD-8B94E3E24A3D}"/>
    <cellStyle name="Comma 2 4 3 4 2" xfId="6086" xr:uid="{B3770ED8-64DB-4A19-B20D-6BB0C5F263FA}"/>
    <cellStyle name="Comma 2 4 3 4 3" xfId="7763" xr:uid="{46F7D8A7-2E9C-4F9E-B5DB-585A79430848}"/>
    <cellStyle name="Comma 2 4 3 5" xfId="4819" xr:uid="{3B409775-4895-4E4E-A4D0-4164BC92D8D5}"/>
    <cellStyle name="Comma 2 4 3 6" xfId="6496" xr:uid="{79F13845-4439-448C-9A19-691A060D5F6C}"/>
    <cellStyle name="Comma 2 4 4" xfId="3309" xr:uid="{00000000-0005-0000-0000-000037010000}"/>
    <cellStyle name="Comma 2 4 4 2" xfId="5013" xr:uid="{2AA111E2-DBF0-4F2F-A6AA-D1905A5C9B4C}"/>
    <cellStyle name="Comma 2 4 4 3" xfId="6690" xr:uid="{E61AAEE3-2325-4CEF-8FA5-320E71DD2954}"/>
    <cellStyle name="Comma 2 4 5" xfId="3704" xr:uid="{00000000-0005-0000-0000-000038010000}"/>
    <cellStyle name="Comma 2 4 5 2" xfId="5402" xr:uid="{FD06FB84-D37F-48DE-B853-4ADD4C28F6B9}"/>
    <cellStyle name="Comma 2 4 5 3" xfId="7079" xr:uid="{DC9FF2F2-50DB-4B5A-9F75-ED97A7900DE2}"/>
    <cellStyle name="Comma 2 4 6" xfId="4102" xr:uid="{00000000-0005-0000-0000-000039010000}"/>
    <cellStyle name="Comma 2 4 6 2" xfId="5794" xr:uid="{03EC163A-CD4B-4CE5-B374-8374DB7AFE4E}"/>
    <cellStyle name="Comma 2 4 6 3" xfId="7471" xr:uid="{6500105D-DB0B-4E0E-8BC4-AE05FCE152AD}"/>
    <cellStyle name="Comma 2 4 7" xfId="4211" xr:uid="{CAC56441-1435-4E16-8DE8-65D09C58EA84}"/>
    <cellStyle name="Comma 2 4 7 2" xfId="5892" xr:uid="{2C0A8ED6-5CEF-4EF0-8AA1-66CC0DFBC4A2}"/>
    <cellStyle name="Comma 2 4 7 3" xfId="7569" xr:uid="{DE67CDBD-0BC0-477C-8F2C-94191BBFE9AC}"/>
    <cellStyle name="Comma 2 4 8" xfId="4625" xr:uid="{0F08EB26-98DE-4C95-BFD6-57B2F8C25EEC}"/>
    <cellStyle name="Comma 2 4 9" xfId="6302" xr:uid="{77DDE7B7-A08A-4894-ADE3-BB55C1AD7470}"/>
    <cellStyle name="Comma 2 5" xfId="2955" xr:uid="{00000000-0005-0000-0000-00003A010000}"/>
    <cellStyle name="Comma 2 5 2" xfId="3157" xr:uid="{00000000-0005-0000-0000-00003B010000}"/>
    <cellStyle name="Comma 2 5 2 2" xfId="3550" xr:uid="{00000000-0005-0000-0000-00003C010000}"/>
    <cellStyle name="Comma 2 5 2 2 2" xfId="5254" xr:uid="{272879E3-C016-494C-A41B-C7C61B7AA707}"/>
    <cellStyle name="Comma 2 5 2 2 3" xfId="6931" xr:uid="{283E9CF2-76A4-4FE3-9A8A-56B476B3C610}"/>
    <cellStyle name="Comma 2 5 2 3" xfId="3945" xr:uid="{00000000-0005-0000-0000-00003D010000}"/>
    <cellStyle name="Comma 2 5 2 3 2" xfId="5643" xr:uid="{A771152A-AF72-40DB-9C20-392C85BD7337}"/>
    <cellStyle name="Comma 2 5 2 3 3" xfId="7320" xr:uid="{CE439A5C-B584-49A2-BFAC-567BA7A8CE78}"/>
    <cellStyle name="Comma 2 5 2 4" xfId="4452" xr:uid="{63F9D1E8-46EF-40E7-9CE4-8E6FFC9638FB}"/>
    <cellStyle name="Comma 2 5 2 4 2" xfId="6133" xr:uid="{E1DE98DA-88BA-4088-8055-0EA0E9CE722B}"/>
    <cellStyle name="Comma 2 5 2 4 3" xfId="7810" xr:uid="{5E474946-FBCA-4E40-B5FB-3CEA9071EDE8}"/>
    <cellStyle name="Comma 2 5 2 5" xfId="4866" xr:uid="{2C9857C3-F8BA-47C3-BCAF-1EA55BBDD93A}"/>
    <cellStyle name="Comma 2 5 2 6" xfId="6543" xr:uid="{35B61E37-D1B5-4A21-BB24-0E4EAEABA060}"/>
    <cellStyle name="Comma 2 5 3" xfId="3356" xr:uid="{00000000-0005-0000-0000-00003E010000}"/>
    <cellStyle name="Comma 2 5 3 2" xfId="5060" xr:uid="{A8BE4D29-3676-4266-9834-FF764DF63C14}"/>
    <cellStyle name="Comma 2 5 3 3" xfId="6737" xr:uid="{D11D1A71-E9E5-412C-8FD4-907A4820E63E}"/>
    <cellStyle name="Comma 2 5 4" xfId="3751" xr:uid="{00000000-0005-0000-0000-00003F010000}"/>
    <cellStyle name="Comma 2 5 4 2" xfId="5449" xr:uid="{95127918-C8C8-446D-A241-0F7D90B5BD26}"/>
    <cellStyle name="Comma 2 5 4 3" xfId="7126" xr:uid="{03AAF9A2-34D5-4454-8578-9E733932288E}"/>
    <cellStyle name="Comma 2 5 5" xfId="4258" xr:uid="{D48DA7F7-D6AC-48B2-91F9-85504AC887D2}"/>
    <cellStyle name="Comma 2 5 5 2" xfId="5939" xr:uid="{B65C2F21-F66E-41E7-BDA8-EC82A0D656DA}"/>
    <cellStyle name="Comma 2 5 5 3" xfId="7616" xr:uid="{0E9545EF-57D6-4D5B-8EA5-FF54883D561B}"/>
    <cellStyle name="Comma 2 5 6" xfId="4672" xr:uid="{D4FFEC0B-FFFD-4AC0-A64F-D913D921E953}"/>
    <cellStyle name="Comma 2 5 7" xfId="6349" xr:uid="{B26A7C6B-6323-41CB-9E26-D3487ED8C2D9}"/>
    <cellStyle name="Comma 2 6" xfId="3061" xr:uid="{00000000-0005-0000-0000-000040010000}"/>
    <cellStyle name="Comma 2 6 2" xfId="3454" xr:uid="{00000000-0005-0000-0000-000041010000}"/>
    <cellStyle name="Comma 2 6 2 2" xfId="5158" xr:uid="{7747E310-B6A8-44D4-BB59-8B929972D261}"/>
    <cellStyle name="Comma 2 6 2 3" xfId="6835" xr:uid="{E70CE3CA-EAFD-419F-BF39-E2889D8899D0}"/>
    <cellStyle name="Comma 2 6 3" xfId="3849" xr:uid="{00000000-0005-0000-0000-000042010000}"/>
    <cellStyle name="Comma 2 6 3 2" xfId="5547" xr:uid="{23DE33E7-081B-4E68-8EC6-FA386B82AE36}"/>
    <cellStyle name="Comma 2 6 3 3" xfId="7224" xr:uid="{56786594-F6C4-432B-9C2E-1C64338E4DFC}"/>
    <cellStyle name="Comma 2 6 4" xfId="4356" xr:uid="{7800C12A-723C-45E1-ABB5-ABFF071A0B2D}"/>
    <cellStyle name="Comma 2 6 4 2" xfId="6037" xr:uid="{4FC27011-BEE1-4269-AEA8-AE9B717FD010}"/>
    <cellStyle name="Comma 2 6 4 3" xfId="7714" xr:uid="{D45FDD63-EA99-4696-91EC-A67D7460CC11}"/>
    <cellStyle name="Comma 2 6 5" xfId="4770" xr:uid="{BF7C848F-431F-454E-8BC2-117C91505AA5}"/>
    <cellStyle name="Comma 2 6 6" xfId="6447" xr:uid="{E984D72A-3045-4AF3-8AAA-59ACA46317E5}"/>
    <cellStyle name="Comma 2 7" xfId="3259" xr:uid="{00000000-0005-0000-0000-000043010000}"/>
    <cellStyle name="Comma 2 7 2" xfId="4964" xr:uid="{293091D0-059C-4348-83F0-9D8E9D501526}"/>
    <cellStyle name="Comma 2 7 3" xfId="6641" xr:uid="{AF676263-10AF-49AD-9E24-5BF3B6E4ACD6}"/>
    <cellStyle name="Comma 2 8" xfId="3653" xr:uid="{00000000-0005-0000-0000-000044010000}"/>
    <cellStyle name="Comma 2 8 2" xfId="5352" xr:uid="{F32D84C7-8F24-43B7-B879-F4BB5FF924F6}"/>
    <cellStyle name="Comma 2 8 3" xfId="7029" xr:uid="{55226922-FC09-4AC3-9C98-D17D4203B192}"/>
    <cellStyle name="Comma 2 9" xfId="4048" xr:uid="{00000000-0005-0000-0000-000045010000}"/>
    <cellStyle name="Comma 2 9 2" xfId="5742" xr:uid="{DD649285-59F8-4A48-AFDE-DFF07A8FEB31}"/>
    <cellStyle name="Comma 2 9 3" xfId="7419" xr:uid="{652885E4-332B-4346-B4C9-410655C4326F}"/>
    <cellStyle name="Comma 20" xfId="4057" xr:uid="{00000000-0005-0000-0000-000046010000}"/>
    <cellStyle name="Comma 20 2" xfId="5749" xr:uid="{6EC26C50-8488-44D8-A24A-AA7F7F24D268}"/>
    <cellStyle name="Comma 20 3" xfId="7426" xr:uid="{08F73C0B-C2A8-4E22-8E78-EF12F6A75E8F}"/>
    <cellStyle name="Comma 21" xfId="4149" xr:uid="{4FE2A088-A270-449E-A91B-1D159731984D}"/>
    <cellStyle name="Comma 21 2" xfId="5834" xr:uid="{FEFCCAB2-38C8-41CD-9087-5F08DBCC5099}"/>
    <cellStyle name="Comma 21 3" xfId="7511" xr:uid="{BB68C7DF-E147-47DC-80E3-E0443D62C742}"/>
    <cellStyle name="Comma 22" xfId="4198" xr:uid="{454C3F43-07C8-477B-AC9C-E9B70604D70B}"/>
    <cellStyle name="Comma 22 2" xfId="5882" xr:uid="{6775446C-AAB6-4962-BA33-F94C6D487434}"/>
    <cellStyle name="Comma 22 3" xfId="7559" xr:uid="{F0C21170-14D2-444D-BA0F-8289F14B5A34}"/>
    <cellStyle name="Comma 23" xfId="4148" xr:uid="{660B5B9F-C62A-4F4C-B6A5-FA7895578CF9}"/>
    <cellStyle name="Comma 23 2" xfId="5833" xr:uid="{58C46ED1-6425-4232-810F-BD644528799D}"/>
    <cellStyle name="Comma 23 3" xfId="7510" xr:uid="{AA4B649F-932C-4EFC-A2CC-C2E57529B3AC}"/>
    <cellStyle name="Comma 24" xfId="4552" xr:uid="{1994548F-C40F-485F-9DAD-ED41D00C8EFB}"/>
    <cellStyle name="Comma 24 2" xfId="6225" xr:uid="{868E69C1-1066-48CD-B0E4-F92C2F983703}"/>
    <cellStyle name="Comma 24 3" xfId="7902" xr:uid="{1B453010-F0DD-43A1-998E-D10F99AE1049}"/>
    <cellStyle name="Comma 25" xfId="4553" xr:uid="{DC4F775C-469A-4365-B0A9-2E2FD5DDBF20}"/>
    <cellStyle name="Comma 25 2" xfId="6226" xr:uid="{A96BDD6E-45F8-4FB6-BF4B-37A39E9A7337}"/>
    <cellStyle name="Comma 25 3" xfId="7903" xr:uid="{C3C8F692-45CC-43E5-99F7-DE25BB571EBF}"/>
    <cellStyle name="Comma 26" xfId="4197" xr:uid="{2F0F9D50-FB63-41CB-90D9-E3DD42E90D06}"/>
    <cellStyle name="Comma 26 2" xfId="5881" xr:uid="{CA9BD444-6101-4C6E-90EB-6B3B0EAE3EAD}"/>
    <cellStyle name="Comma 26 3" xfId="7558" xr:uid="{591273EE-162C-4D5B-A525-18D4556A3ED6}"/>
    <cellStyle name="Comma 27" xfId="4549" xr:uid="{CCE966B6-B829-4D2B-9B8F-AE036736B8AF}"/>
    <cellStyle name="Comma 27 2" xfId="6224" xr:uid="{BB321218-E45B-4ACE-B4C2-6FB19261177E}"/>
    <cellStyle name="Comma 27 3" xfId="7901" xr:uid="{2CB7C0FF-2169-48F1-92C1-6BAE046B1C6C}"/>
    <cellStyle name="Comma 28" xfId="4565" xr:uid="{169FE6B8-C7D7-41C6-B245-0B73388F5ECF}"/>
    <cellStyle name="Comma 29" xfId="4613" xr:uid="{731342A9-BF6D-41B1-870C-619BB2F756A2}"/>
    <cellStyle name="Comma 3" xfId="80" xr:uid="{00000000-0005-0000-0000-000047010000}"/>
    <cellStyle name="Comma 3 10" xfId="6252" xr:uid="{E4F13E42-A0BA-49F5-B83E-9EF7BA2E03FE}"/>
    <cellStyle name="Comma 3 2" xfId="2882" xr:uid="{00000000-0005-0000-0000-000048010000}"/>
    <cellStyle name="Comma 3 2 2" xfId="3014" xr:uid="{00000000-0005-0000-0000-000049010000}"/>
    <cellStyle name="Comma 3 2 2 2" xfId="3212" xr:uid="{00000000-0005-0000-0000-00004A010000}"/>
    <cellStyle name="Comma 3 2 2 2 2" xfId="3605" xr:uid="{00000000-0005-0000-0000-00004B010000}"/>
    <cellStyle name="Comma 3 2 2 2 2 2" xfId="5309" xr:uid="{95A0E3E6-9DE4-450A-82C4-9C16054D6CDC}"/>
    <cellStyle name="Comma 3 2 2 2 2 3" xfId="6986" xr:uid="{67A0CAD7-A736-4950-BD7E-52D60BB44065}"/>
    <cellStyle name="Comma 3 2 2 2 3" xfId="4000" xr:uid="{00000000-0005-0000-0000-00004C010000}"/>
    <cellStyle name="Comma 3 2 2 2 3 2" xfId="5698" xr:uid="{07175D56-436B-4D36-A80B-4078BA9120F1}"/>
    <cellStyle name="Comma 3 2 2 2 3 3" xfId="7375" xr:uid="{DD3567E7-DA09-4195-B8FC-5C55C723FB32}"/>
    <cellStyle name="Comma 3 2 2 2 4" xfId="4507" xr:uid="{2688AA14-F5E5-4984-B4B5-3EAF9F648173}"/>
    <cellStyle name="Comma 3 2 2 2 4 2" xfId="6188" xr:uid="{D61ADD0D-0C3B-4842-9F5B-D42FD59D36E7}"/>
    <cellStyle name="Comma 3 2 2 2 4 3" xfId="7865" xr:uid="{F8B8EA82-FA8E-4918-8826-5D8D192E41CF}"/>
    <cellStyle name="Comma 3 2 2 2 5" xfId="4921" xr:uid="{046A4233-4C0F-44CE-83C3-6706793BB23C}"/>
    <cellStyle name="Comma 3 2 2 2 6" xfId="6598" xr:uid="{63E13E88-8F90-46E2-BEDB-841E77E324EF}"/>
    <cellStyle name="Comma 3 2 2 3" xfId="3411" xr:uid="{00000000-0005-0000-0000-00004D010000}"/>
    <cellStyle name="Comma 3 2 2 3 2" xfId="5115" xr:uid="{18CA7AB0-6705-4421-BE45-699168E3C910}"/>
    <cellStyle name="Comma 3 2 2 3 3" xfId="6792" xr:uid="{6C8E7858-B93B-472C-998D-60974AD74B98}"/>
    <cellStyle name="Comma 3 2 2 4" xfId="3806" xr:uid="{00000000-0005-0000-0000-00004E010000}"/>
    <cellStyle name="Comma 3 2 2 4 2" xfId="5504" xr:uid="{874412C4-BB86-4F38-B6A1-F8B8113624FD}"/>
    <cellStyle name="Comma 3 2 2 4 3" xfId="7181" xr:uid="{A4B13116-66FC-4D70-86D2-C7048ED9257A}"/>
    <cellStyle name="Comma 3 2 2 5" xfId="4313" xr:uid="{2B4BF78D-1764-499C-954C-4226B1E813F0}"/>
    <cellStyle name="Comma 3 2 2 5 2" xfId="5994" xr:uid="{71922BD1-1DF7-490B-8C95-BF2A8F8A0803}"/>
    <cellStyle name="Comma 3 2 2 5 3" xfId="7671" xr:uid="{315339BB-CA9A-4B19-9F98-BBFFF65E14CB}"/>
    <cellStyle name="Comma 3 2 2 6" xfId="4727" xr:uid="{FC505C2A-4DD1-415D-8EC3-F7FF68A8CB3F}"/>
    <cellStyle name="Comma 3 2 2 7" xfId="6404" xr:uid="{2E7C36AC-9D20-4344-AFD3-B5366F59324F}"/>
    <cellStyle name="Comma 3 2 3" xfId="3114" xr:uid="{00000000-0005-0000-0000-00004F010000}"/>
    <cellStyle name="Comma 3 2 3 2" xfId="3507" xr:uid="{00000000-0005-0000-0000-000050010000}"/>
    <cellStyle name="Comma 3 2 3 2 2" xfId="5211" xr:uid="{A7CB2CD5-CCED-433F-8D26-3F8D36683D5B}"/>
    <cellStyle name="Comma 3 2 3 2 3" xfId="6888" xr:uid="{8B4A7F85-3FD7-4B68-AA9E-D6D9176C02B1}"/>
    <cellStyle name="Comma 3 2 3 3" xfId="3902" xr:uid="{00000000-0005-0000-0000-000051010000}"/>
    <cellStyle name="Comma 3 2 3 3 2" xfId="5600" xr:uid="{51A783C0-8A2C-42A1-926F-562D4A38BAC1}"/>
    <cellStyle name="Comma 3 2 3 3 3" xfId="7277" xr:uid="{F01E98EC-4E36-41EC-8B19-F40F958E56E1}"/>
    <cellStyle name="Comma 3 2 3 4" xfId="4409" xr:uid="{769FA16C-7F26-4C09-BDC3-0669A4CD3EA3}"/>
    <cellStyle name="Comma 3 2 3 4 2" xfId="6090" xr:uid="{FA10DF9F-92F3-4DBE-B987-210BE4C791C3}"/>
    <cellStyle name="Comma 3 2 3 4 3" xfId="7767" xr:uid="{36DCF5BF-0333-4A4E-8098-9A3853660EB5}"/>
    <cellStyle name="Comma 3 2 3 5" xfId="4823" xr:uid="{F5D224C4-D1A4-489F-85CB-330483A1D5C1}"/>
    <cellStyle name="Comma 3 2 3 6" xfId="6500" xr:uid="{88E185AE-3F58-4787-BDCA-08EADA3611E9}"/>
    <cellStyle name="Comma 3 2 4" xfId="3313" xr:uid="{00000000-0005-0000-0000-000052010000}"/>
    <cellStyle name="Comma 3 2 4 2" xfId="5017" xr:uid="{DFBCD100-C19F-44CD-BEF2-77B7081C431D}"/>
    <cellStyle name="Comma 3 2 4 3" xfId="6694" xr:uid="{05518007-9797-4EC9-8E45-9AAB38902BCC}"/>
    <cellStyle name="Comma 3 2 5" xfId="3708" xr:uid="{00000000-0005-0000-0000-000053010000}"/>
    <cellStyle name="Comma 3 2 5 2" xfId="5406" xr:uid="{6CA1ABB3-19E6-482C-8E44-E346DE29B987}"/>
    <cellStyle name="Comma 3 2 5 3" xfId="7083" xr:uid="{CDC2D7A2-3967-4BC7-91AC-A116229F1D21}"/>
    <cellStyle name="Comma 3 2 6" xfId="4106" xr:uid="{00000000-0005-0000-0000-000054010000}"/>
    <cellStyle name="Comma 3 2 6 2" xfId="5798" xr:uid="{4FBC3677-F798-42EC-865A-CC49C4573AEE}"/>
    <cellStyle name="Comma 3 2 6 3" xfId="7475" xr:uid="{CC3F2AE8-DDE0-462B-9920-9D4ACBDC1267}"/>
    <cellStyle name="Comma 3 2 7" xfId="4215" xr:uid="{BDEB85F5-1586-4FD6-8477-9FFB8BE150D4}"/>
    <cellStyle name="Comma 3 2 7 2" xfId="5896" xr:uid="{704EE561-EEDB-4B52-8B72-38519619BC56}"/>
    <cellStyle name="Comma 3 2 7 3" xfId="7573" xr:uid="{86E47F9F-36E9-4A89-91A4-2D5EAE83D306}"/>
    <cellStyle name="Comma 3 2 8" xfId="4629" xr:uid="{1D9E8151-E649-400F-8F65-FF4DC444FA48}"/>
    <cellStyle name="Comma 3 2 9" xfId="6306" xr:uid="{B8BC84EC-7221-4BA0-AF8F-EDCB682EC7B4}"/>
    <cellStyle name="Comma 3 3" xfId="2959" xr:uid="{00000000-0005-0000-0000-000055010000}"/>
    <cellStyle name="Comma 3 3 2" xfId="3161" xr:uid="{00000000-0005-0000-0000-000056010000}"/>
    <cellStyle name="Comma 3 3 2 2" xfId="3554" xr:uid="{00000000-0005-0000-0000-000057010000}"/>
    <cellStyle name="Comma 3 3 2 2 2" xfId="5258" xr:uid="{974EE114-421C-4A7D-8046-68D55C5ABA3B}"/>
    <cellStyle name="Comma 3 3 2 2 3" xfId="6935" xr:uid="{6A273D5D-5836-46B7-89C7-285936063854}"/>
    <cellStyle name="Comma 3 3 2 3" xfId="3949" xr:uid="{00000000-0005-0000-0000-000058010000}"/>
    <cellStyle name="Comma 3 3 2 3 2" xfId="5647" xr:uid="{579A7F2D-59F2-4B6F-A45F-AA7D08E6547D}"/>
    <cellStyle name="Comma 3 3 2 3 3" xfId="7324" xr:uid="{123E09F5-C4EC-452B-BC98-33EB5FF49993}"/>
    <cellStyle name="Comma 3 3 2 4" xfId="4456" xr:uid="{57212795-6E19-4769-9B58-78779DA1B498}"/>
    <cellStyle name="Comma 3 3 2 4 2" xfId="6137" xr:uid="{313B282C-F936-44CA-B51B-432B8B427856}"/>
    <cellStyle name="Comma 3 3 2 4 3" xfId="7814" xr:uid="{3FFFD662-1CC2-41A7-B150-18F4B9FE5D5C}"/>
    <cellStyle name="Comma 3 3 2 5" xfId="4870" xr:uid="{8DD605C0-20F9-46C1-B074-D34C632FD322}"/>
    <cellStyle name="Comma 3 3 2 6" xfId="6547" xr:uid="{51CB87D2-2630-4D64-9E61-8D95BF429420}"/>
    <cellStyle name="Comma 3 3 3" xfId="3360" xr:uid="{00000000-0005-0000-0000-000059010000}"/>
    <cellStyle name="Comma 3 3 3 2" xfId="5064" xr:uid="{333A7376-685F-413A-9AC1-DF417E330940}"/>
    <cellStyle name="Comma 3 3 3 3" xfId="6741" xr:uid="{59A1A1F5-2CD4-4C4A-BCF3-659A8B3D4B00}"/>
    <cellStyle name="Comma 3 3 4" xfId="3755" xr:uid="{00000000-0005-0000-0000-00005A010000}"/>
    <cellStyle name="Comma 3 3 4 2" xfId="5453" xr:uid="{FA37FA39-1338-4C7A-B7C3-9547A0EACDDF}"/>
    <cellStyle name="Comma 3 3 4 3" xfId="7130" xr:uid="{54028CCD-876C-4817-A5F4-3F7DA3FF5261}"/>
    <cellStyle name="Comma 3 3 5" xfId="4262" xr:uid="{19D54CAF-282F-4F46-A8D9-56F07E77E280}"/>
    <cellStyle name="Comma 3 3 5 2" xfId="5943" xr:uid="{1886C430-29D8-4AC8-9759-6FB8E560B21D}"/>
    <cellStyle name="Comma 3 3 5 3" xfId="7620" xr:uid="{A063896D-5C7B-4818-B502-AE781725A1A9}"/>
    <cellStyle name="Comma 3 3 6" xfId="4676" xr:uid="{4C293C3E-046F-4706-9D9C-E18E899C9C6D}"/>
    <cellStyle name="Comma 3 3 7" xfId="6353" xr:uid="{02BA5805-0098-4822-8821-25985FC743AD}"/>
    <cellStyle name="Comma 3 4" xfId="3065" xr:uid="{00000000-0005-0000-0000-00005B010000}"/>
    <cellStyle name="Comma 3 4 2" xfId="3458" xr:uid="{00000000-0005-0000-0000-00005C010000}"/>
    <cellStyle name="Comma 3 4 2 2" xfId="5162" xr:uid="{CA881E29-A859-448F-9EC6-9ACFE80A91E4}"/>
    <cellStyle name="Comma 3 4 2 3" xfId="6839" xr:uid="{471E2A5C-E447-44C3-B7C7-9A3318E9AB44}"/>
    <cellStyle name="Comma 3 4 3" xfId="3853" xr:uid="{00000000-0005-0000-0000-00005D010000}"/>
    <cellStyle name="Comma 3 4 3 2" xfId="5551" xr:uid="{D007B5D0-0F3F-4500-AFDA-F26C3D9E088F}"/>
    <cellStyle name="Comma 3 4 3 3" xfId="7228" xr:uid="{B04978D2-BE16-48C9-8CE4-EE0E0ED3F944}"/>
    <cellStyle name="Comma 3 4 4" xfId="4360" xr:uid="{24994A48-C75D-4B96-9977-502F214D82E9}"/>
    <cellStyle name="Comma 3 4 4 2" xfId="6041" xr:uid="{6D840E57-24BF-40C8-B009-7AD7C4807B03}"/>
    <cellStyle name="Comma 3 4 4 3" xfId="7718" xr:uid="{6CC5F4E8-9589-4D4D-BB1C-D34C1F200698}"/>
    <cellStyle name="Comma 3 4 5" xfId="4774" xr:uid="{BFB04733-0020-42F5-AC08-FCFF72CFAFF7}"/>
    <cellStyle name="Comma 3 4 6" xfId="6451" xr:uid="{67E9DFE7-9E93-4167-BF2A-990455897D16}"/>
    <cellStyle name="Comma 3 5" xfId="3263" xr:uid="{00000000-0005-0000-0000-00005E010000}"/>
    <cellStyle name="Comma 3 5 2" xfId="4968" xr:uid="{9AE2FA3D-EA02-431A-8437-56F8185AB219}"/>
    <cellStyle name="Comma 3 5 3" xfId="6645" xr:uid="{1EE3CCB7-581F-4E67-B4DD-EE6FD8C2B5D4}"/>
    <cellStyle name="Comma 3 6" xfId="3657" xr:uid="{00000000-0005-0000-0000-00005F010000}"/>
    <cellStyle name="Comma 3 6 2" xfId="5356" xr:uid="{D2E7C7A6-FC10-498C-A006-9A4674767B9D}"/>
    <cellStyle name="Comma 3 6 3" xfId="7033" xr:uid="{8CC0D15D-D118-4B19-986C-B1F13B739E62}"/>
    <cellStyle name="Comma 3 7" xfId="4052" xr:uid="{00000000-0005-0000-0000-000060010000}"/>
    <cellStyle name="Comma 3 7 2" xfId="5746" xr:uid="{63258F79-DD71-4FE2-83F2-E6F06F3D83D8}"/>
    <cellStyle name="Comma 3 7 3" xfId="7423" xr:uid="{FD62F4CD-8E96-4017-95D3-7FE3DB38F950}"/>
    <cellStyle name="Comma 3 8" xfId="4160" xr:uid="{0A134957-12BA-4796-A7E5-1C89ABA3F12A}"/>
    <cellStyle name="Comma 3 8 2" xfId="5845" xr:uid="{2B2497AF-A2F2-4879-A73C-35114EF887E8}"/>
    <cellStyle name="Comma 3 8 3" xfId="7522" xr:uid="{FABC445D-429A-41D3-A045-B4D036B77CCB}"/>
    <cellStyle name="Comma 3 9" xfId="4576" xr:uid="{6D33CD51-C9A7-4144-9574-D7910AF61477}"/>
    <cellStyle name="Comma 30" xfId="4579" xr:uid="{9233CF53-6CE6-4E9E-9327-5E3CF66D6140}"/>
    <cellStyle name="Comma 31" xfId="6232" xr:uid="{4ACFBFD0-9F11-457E-88AC-3CE2E9935372}"/>
    <cellStyle name="Comma 32" xfId="6229" xr:uid="{5E5E0847-7320-4986-9D8F-0F8CE6E58D11}"/>
    <cellStyle name="Comma 33" xfId="6230" xr:uid="{F5259463-DFE3-420C-B593-B1304498AE2D}"/>
    <cellStyle name="Comma 34" xfId="6241" xr:uid="{DE1CEAE3-7DCD-443B-B40E-2EFBD5A11B25}"/>
    <cellStyle name="Comma 35" xfId="6290" xr:uid="{C2FAA2A0-B5FF-44B6-8532-CE5F7FAB1999}"/>
    <cellStyle name="Comma 36" xfId="6256" xr:uid="{4F889AF2-B97C-4ACD-94A3-1FA2C0904569}"/>
    <cellStyle name="Comma 37" xfId="7905" xr:uid="{BF21404E-CB61-42E5-B9AF-BBB8FDECF1CA}"/>
    <cellStyle name="Comma 4" xfId="81" xr:uid="{00000000-0005-0000-0000-000061010000}"/>
    <cellStyle name="Comma 4 10" xfId="6253" xr:uid="{96D1390F-372E-4590-9583-328B9B49695C}"/>
    <cellStyle name="Comma 4 2" xfId="2883" xr:uid="{00000000-0005-0000-0000-000062010000}"/>
    <cellStyle name="Comma 4 2 2" xfId="3015" xr:uid="{00000000-0005-0000-0000-000063010000}"/>
    <cellStyle name="Comma 4 2 2 2" xfId="3213" xr:uid="{00000000-0005-0000-0000-000064010000}"/>
    <cellStyle name="Comma 4 2 2 2 2" xfId="3606" xr:uid="{00000000-0005-0000-0000-000065010000}"/>
    <cellStyle name="Comma 4 2 2 2 2 2" xfId="5310" xr:uid="{89A53AB0-2D51-4C70-B356-C888814E0497}"/>
    <cellStyle name="Comma 4 2 2 2 2 3" xfId="6987" xr:uid="{E0A2DC0B-52A7-4BD9-9B8D-8834AD0CFA8B}"/>
    <cellStyle name="Comma 4 2 2 2 3" xfId="4001" xr:uid="{00000000-0005-0000-0000-000066010000}"/>
    <cellStyle name="Comma 4 2 2 2 3 2" xfId="5699" xr:uid="{E94DE226-3837-4E58-B84E-679E81D5F801}"/>
    <cellStyle name="Comma 4 2 2 2 3 3" xfId="7376" xr:uid="{DAF500E9-5B36-419F-8FCD-B34FBF08EF9D}"/>
    <cellStyle name="Comma 4 2 2 2 4" xfId="4508" xr:uid="{E47D4EC2-2E23-48B6-A106-20CFFA638EE2}"/>
    <cellStyle name="Comma 4 2 2 2 4 2" xfId="6189" xr:uid="{C68185D5-5900-4650-99C9-4A179A1FF17C}"/>
    <cellStyle name="Comma 4 2 2 2 4 3" xfId="7866" xr:uid="{E4FEFDA8-210E-4265-942A-B7355910C8CA}"/>
    <cellStyle name="Comma 4 2 2 2 5" xfId="4922" xr:uid="{7444903E-CCEB-4751-AF19-5DF2877C14A9}"/>
    <cellStyle name="Comma 4 2 2 2 6" xfId="6599" xr:uid="{66A9BD64-8FFB-4EE9-B7B4-AE6CDEF069A5}"/>
    <cellStyle name="Comma 4 2 2 3" xfId="3412" xr:uid="{00000000-0005-0000-0000-000067010000}"/>
    <cellStyle name="Comma 4 2 2 3 2" xfId="5116" xr:uid="{8ECC6DD3-D81A-47E9-90EA-3FFB2056608F}"/>
    <cellStyle name="Comma 4 2 2 3 3" xfId="6793" xr:uid="{107B1B28-0065-42CE-BEC1-AC7153148C85}"/>
    <cellStyle name="Comma 4 2 2 4" xfId="3807" xr:uid="{00000000-0005-0000-0000-000068010000}"/>
    <cellStyle name="Comma 4 2 2 4 2" xfId="5505" xr:uid="{3BEAC27B-E849-4365-9855-99E01DD423DD}"/>
    <cellStyle name="Comma 4 2 2 4 3" xfId="7182" xr:uid="{1E63648D-E37B-4274-9D19-0B05F2231430}"/>
    <cellStyle name="Comma 4 2 2 5" xfId="4314" xr:uid="{EA570032-D05E-49A3-B098-18E5AFE4C061}"/>
    <cellStyle name="Comma 4 2 2 5 2" xfId="5995" xr:uid="{821A5BB2-A519-4EE7-82BC-9B5653D7EE1E}"/>
    <cellStyle name="Comma 4 2 2 5 3" xfId="7672" xr:uid="{76BCE763-9EC7-46D6-B874-5D3CA99CED91}"/>
    <cellStyle name="Comma 4 2 2 6" xfId="4728" xr:uid="{57C3BE13-9962-47BF-9FDA-5C61F6BB2855}"/>
    <cellStyle name="Comma 4 2 2 7" xfId="6405" xr:uid="{EF58C0FF-490A-4373-BB13-024FADC47945}"/>
    <cellStyle name="Comma 4 2 3" xfId="3115" xr:uid="{00000000-0005-0000-0000-000069010000}"/>
    <cellStyle name="Comma 4 2 3 2" xfId="3508" xr:uid="{00000000-0005-0000-0000-00006A010000}"/>
    <cellStyle name="Comma 4 2 3 2 2" xfId="5212" xr:uid="{AF3C3D09-A480-40DD-93BF-6D5E1BECD4B6}"/>
    <cellStyle name="Comma 4 2 3 2 3" xfId="6889" xr:uid="{B3D39805-E68D-4BAE-88BD-940707844449}"/>
    <cellStyle name="Comma 4 2 3 3" xfId="3903" xr:uid="{00000000-0005-0000-0000-00006B010000}"/>
    <cellStyle name="Comma 4 2 3 3 2" xfId="5601" xr:uid="{4850C81A-6C47-4B85-9C79-33E4E0F7B481}"/>
    <cellStyle name="Comma 4 2 3 3 3" xfId="7278" xr:uid="{CEAF182E-6612-4E1A-BA77-1413DA964A0C}"/>
    <cellStyle name="Comma 4 2 3 4" xfId="4410" xr:uid="{B643BAA2-D406-4936-B306-BAE1ED3F8401}"/>
    <cellStyle name="Comma 4 2 3 4 2" xfId="6091" xr:uid="{90EA86FD-F0B7-425C-9A7A-EF6D123844DE}"/>
    <cellStyle name="Comma 4 2 3 4 3" xfId="7768" xr:uid="{8B5C07FE-AE3F-4C71-A996-F91F4D8DBDA0}"/>
    <cellStyle name="Comma 4 2 3 5" xfId="4824" xr:uid="{D0594791-8268-476A-BB64-50201DAB4518}"/>
    <cellStyle name="Comma 4 2 3 6" xfId="6501" xr:uid="{1E3CBEA4-48B5-4C96-9E06-3FEC262C3B55}"/>
    <cellStyle name="Comma 4 2 4" xfId="3314" xr:uid="{00000000-0005-0000-0000-00006C010000}"/>
    <cellStyle name="Comma 4 2 4 2" xfId="5018" xr:uid="{93FCC810-E823-4827-ADB5-D9E9A7F003CF}"/>
    <cellStyle name="Comma 4 2 4 3" xfId="6695" xr:uid="{00729504-625C-43AC-9C2B-2BCCE7F569E6}"/>
    <cellStyle name="Comma 4 2 5" xfId="3709" xr:uid="{00000000-0005-0000-0000-00006D010000}"/>
    <cellStyle name="Comma 4 2 5 2" xfId="5407" xr:uid="{CB153A41-919B-4552-BA6B-67519CFBBAED}"/>
    <cellStyle name="Comma 4 2 5 3" xfId="7084" xr:uid="{35112A4F-F090-4ADC-836D-D8CCC4C48890}"/>
    <cellStyle name="Comma 4 2 6" xfId="4107" xr:uid="{00000000-0005-0000-0000-00006E010000}"/>
    <cellStyle name="Comma 4 2 6 2" xfId="5799" xr:uid="{91038F85-6D63-4A17-AADA-61DDDC35BCA1}"/>
    <cellStyle name="Comma 4 2 6 3" xfId="7476" xr:uid="{172A06A4-8C17-48DC-93D7-DD94657374F9}"/>
    <cellStyle name="Comma 4 2 7" xfId="4216" xr:uid="{9E69B7A7-4D32-447D-A64E-07529D8E423E}"/>
    <cellStyle name="Comma 4 2 7 2" xfId="5897" xr:uid="{4135B400-ADEA-4E5C-8170-4032C85EE999}"/>
    <cellStyle name="Comma 4 2 7 3" xfId="7574" xr:uid="{8A08F773-C3A1-4F08-96C9-B574CFB79B69}"/>
    <cellStyle name="Comma 4 2 8" xfId="4630" xr:uid="{5824A32E-34D2-4F65-B9B4-167FBA0635F6}"/>
    <cellStyle name="Comma 4 2 9" xfId="6307" xr:uid="{DEFDF1C5-EDA9-4034-9CE8-E52CDB104907}"/>
    <cellStyle name="Comma 4 3" xfId="2960" xr:uid="{00000000-0005-0000-0000-00006F010000}"/>
    <cellStyle name="Comma 4 3 2" xfId="3162" xr:uid="{00000000-0005-0000-0000-000070010000}"/>
    <cellStyle name="Comma 4 3 2 2" xfId="3555" xr:uid="{00000000-0005-0000-0000-000071010000}"/>
    <cellStyle name="Comma 4 3 2 2 2" xfId="5259" xr:uid="{BBADC95A-C2F8-4D96-BBAC-8B524115876F}"/>
    <cellStyle name="Comma 4 3 2 2 3" xfId="6936" xr:uid="{CF838C73-2A16-477F-B140-EDB1AD5FE725}"/>
    <cellStyle name="Comma 4 3 2 3" xfId="3950" xr:uid="{00000000-0005-0000-0000-000072010000}"/>
    <cellStyle name="Comma 4 3 2 3 2" xfId="5648" xr:uid="{2A07201E-0CC3-4491-8F53-E0D79EAC4395}"/>
    <cellStyle name="Comma 4 3 2 3 3" xfId="7325" xr:uid="{085CC9BC-083C-4F62-9E00-77817AAA1911}"/>
    <cellStyle name="Comma 4 3 2 4" xfId="4457" xr:uid="{E8458E2C-EFF2-4A51-89FF-182F08D07E91}"/>
    <cellStyle name="Comma 4 3 2 4 2" xfId="6138" xr:uid="{499ECBA5-3256-4655-9B88-31EC4E71BF92}"/>
    <cellStyle name="Comma 4 3 2 4 3" xfId="7815" xr:uid="{6A2610F9-E25B-4515-9A92-5C740FAD2868}"/>
    <cellStyle name="Comma 4 3 2 5" xfId="4871" xr:uid="{95BE3787-8286-4F0B-B59D-ADB44C38FDCD}"/>
    <cellStyle name="Comma 4 3 2 6" xfId="6548" xr:uid="{BF437AFF-F32B-4C1D-92FB-84410F132658}"/>
    <cellStyle name="Comma 4 3 3" xfId="3361" xr:uid="{00000000-0005-0000-0000-000073010000}"/>
    <cellStyle name="Comma 4 3 3 2" xfId="5065" xr:uid="{C0FC1103-9915-4D60-91D5-24B5E5CB301E}"/>
    <cellStyle name="Comma 4 3 3 3" xfId="6742" xr:uid="{EB9E0DCE-1F30-4BF9-83F8-096FD4F79397}"/>
    <cellStyle name="Comma 4 3 4" xfId="3756" xr:uid="{00000000-0005-0000-0000-000074010000}"/>
    <cellStyle name="Comma 4 3 4 2" xfId="5454" xr:uid="{399C3CA9-72A0-414C-983B-524BA7F28BCC}"/>
    <cellStyle name="Comma 4 3 4 3" xfId="7131" xr:uid="{B536F920-0AA7-4937-A153-5324001EAA30}"/>
    <cellStyle name="Comma 4 3 5" xfId="4263" xr:uid="{4F37419E-6FF3-493C-9400-2C1328AB19C1}"/>
    <cellStyle name="Comma 4 3 5 2" xfId="5944" xr:uid="{4864E16A-4E66-4F25-9F7B-41140160463C}"/>
    <cellStyle name="Comma 4 3 5 3" xfId="7621" xr:uid="{627886FD-6F60-476A-88C3-9A8518CA2B27}"/>
    <cellStyle name="Comma 4 3 6" xfId="4677" xr:uid="{CD66468B-38A6-4C4D-8145-186CC485A566}"/>
    <cellStyle name="Comma 4 3 7" xfId="6354" xr:uid="{624BC3F7-74C1-4E2B-9405-3DEE8529979E}"/>
    <cellStyle name="Comma 4 4" xfId="3066" xr:uid="{00000000-0005-0000-0000-000075010000}"/>
    <cellStyle name="Comma 4 4 2" xfId="3459" xr:uid="{00000000-0005-0000-0000-000076010000}"/>
    <cellStyle name="Comma 4 4 2 2" xfId="5163" xr:uid="{B7D46CD3-ED38-4E60-8D20-7BF7CC07B550}"/>
    <cellStyle name="Comma 4 4 2 3" xfId="6840" xr:uid="{0151762A-2CDB-4E46-B890-0881DDDA6C88}"/>
    <cellStyle name="Comma 4 4 3" xfId="3854" xr:uid="{00000000-0005-0000-0000-000077010000}"/>
    <cellStyle name="Comma 4 4 3 2" xfId="5552" xr:uid="{F11C5A77-72F2-49B7-9129-82A0861D2E33}"/>
    <cellStyle name="Comma 4 4 3 3" xfId="7229" xr:uid="{F20237F1-C33A-416C-A91F-4C03CD623BC9}"/>
    <cellStyle name="Comma 4 4 4" xfId="4361" xr:uid="{7522C62F-020F-42A8-91DE-9226F2C9292C}"/>
    <cellStyle name="Comma 4 4 4 2" xfId="6042" xr:uid="{3F507129-4C68-4851-90D7-AB8F5B319618}"/>
    <cellStyle name="Comma 4 4 4 3" xfId="7719" xr:uid="{AD2A61AB-F784-4593-AF70-DA5BDA045E34}"/>
    <cellStyle name="Comma 4 4 5" xfId="4775" xr:uid="{76621252-D48D-4581-8441-457F2BEFC808}"/>
    <cellStyle name="Comma 4 4 6" xfId="6452" xr:uid="{BD861FD6-70D0-45FF-B4C4-66AC1671FDA1}"/>
    <cellStyle name="Comma 4 5" xfId="3264" xr:uid="{00000000-0005-0000-0000-000078010000}"/>
    <cellStyle name="Comma 4 5 2" xfId="4969" xr:uid="{3C601C6C-FF6F-4B69-8F35-F47338A3F920}"/>
    <cellStyle name="Comma 4 5 3" xfId="6646" xr:uid="{A6BE86B5-5696-46A2-B028-586EADE66668}"/>
    <cellStyle name="Comma 4 6" xfId="3658" xr:uid="{00000000-0005-0000-0000-000079010000}"/>
    <cellStyle name="Comma 4 6 2" xfId="5357" xr:uid="{8B5BC74B-EBD9-411A-8612-29C0F850D800}"/>
    <cellStyle name="Comma 4 6 3" xfId="7034" xr:uid="{2D71544F-D322-4FEF-8AAD-CFBDC85AA486}"/>
    <cellStyle name="Comma 4 7" xfId="4053" xr:uid="{00000000-0005-0000-0000-00007A010000}"/>
    <cellStyle name="Comma 4 7 2" xfId="5747" xr:uid="{602268F4-41D5-4789-8E4D-01F2AEE83618}"/>
    <cellStyle name="Comma 4 7 3" xfId="7424" xr:uid="{92AE671E-44D4-42A7-AC97-8B499953B5A9}"/>
    <cellStyle name="Comma 4 8" xfId="4161" xr:uid="{D6792267-EF06-4501-95FF-20DBE323EE68}"/>
    <cellStyle name="Comma 4 8 2" xfId="5846" xr:uid="{B789E111-41D1-4642-9790-506B7FE8A99E}"/>
    <cellStyle name="Comma 4 8 3" xfId="7523" xr:uid="{37437524-C0F6-4A9D-AC7B-DC381FCD0045}"/>
    <cellStyle name="Comma 4 9" xfId="4577" xr:uid="{68509198-0C51-4A09-9E4E-C51CFA825332}"/>
    <cellStyle name="Comma 5" xfId="82" xr:uid="{00000000-0005-0000-0000-00007B010000}"/>
    <cellStyle name="Comma 5 10" xfId="6254" xr:uid="{58B67C04-E6B4-4600-BB56-3549CF06B58A}"/>
    <cellStyle name="Comma 5 2" xfId="2884" xr:uid="{00000000-0005-0000-0000-00007C010000}"/>
    <cellStyle name="Comma 5 2 2" xfId="3016" xr:uid="{00000000-0005-0000-0000-00007D010000}"/>
    <cellStyle name="Comma 5 2 2 2" xfId="3214" xr:uid="{00000000-0005-0000-0000-00007E010000}"/>
    <cellStyle name="Comma 5 2 2 2 2" xfId="3607" xr:uid="{00000000-0005-0000-0000-00007F010000}"/>
    <cellStyle name="Comma 5 2 2 2 2 2" xfId="5311" xr:uid="{FD50CADD-5DF5-4CCD-8111-D2FDB929DD80}"/>
    <cellStyle name="Comma 5 2 2 2 2 3" xfId="6988" xr:uid="{6C1D553A-1023-4CA3-A5A4-E7456A8C5322}"/>
    <cellStyle name="Comma 5 2 2 2 3" xfId="4002" xr:uid="{00000000-0005-0000-0000-000080010000}"/>
    <cellStyle name="Comma 5 2 2 2 3 2" xfId="5700" xr:uid="{C4FA2AE4-2950-4FC3-BD4A-2A847DF06C78}"/>
    <cellStyle name="Comma 5 2 2 2 3 3" xfId="7377" xr:uid="{39F9414E-87FD-459C-B814-24BA820BF860}"/>
    <cellStyle name="Comma 5 2 2 2 4" xfId="4509" xr:uid="{A5FA988D-AFE8-4FFB-B4C6-1D9EA47FB1A6}"/>
    <cellStyle name="Comma 5 2 2 2 4 2" xfId="6190" xr:uid="{5FB66CED-5F7E-452E-8A39-49F2AA9AA54E}"/>
    <cellStyle name="Comma 5 2 2 2 4 3" xfId="7867" xr:uid="{F70DCB57-8EAE-4C00-9076-A50F52F70466}"/>
    <cellStyle name="Comma 5 2 2 2 5" xfId="4923" xr:uid="{12F795F1-CEAF-40FC-8C31-6A979DC77297}"/>
    <cellStyle name="Comma 5 2 2 2 6" xfId="6600" xr:uid="{FDD8CC20-8665-436D-B3DA-14398F9C05D5}"/>
    <cellStyle name="Comma 5 2 2 3" xfId="3413" xr:uid="{00000000-0005-0000-0000-000081010000}"/>
    <cellStyle name="Comma 5 2 2 3 2" xfId="5117" xr:uid="{23154BA5-2143-4B7C-8983-823EBDDD83D5}"/>
    <cellStyle name="Comma 5 2 2 3 3" xfId="6794" xr:uid="{2F1E5F57-F94C-4BB9-81F6-6E5F5BEF6805}"/>
    <cellStyle name="Comma 5 2 2 4" xfId="3808" xr:uid="{00000000-0005-0000-0000-000082010000}"/>
    <cellStyle name="Comma 5 2 2 4 2" xfId="5506" xr:uid="{B26B6ED2-8B20-4321-BBD8-760126AA5550}"/>
    <cellStyle name="Comma 5 2 2 4 3" xfId="7183" xr:uid="{9F99B8C7-98E4-48D5-8C19-5F114C8C2455}"/>
    <cellStyle name="Comma 5 2 2 5" xfId="4315" xr:uid="{273229D9-D009-4851-8459-5BCD537384AA}"/>
    <cellStyle name="Comma 5 2 2 5 2" xfId="5996" xr:uid="{87D6C0A3-9E87-4CFB-BB11-D3DC9167CAD0}"/>
    <cellStyle name="Comma 5 2 2 5 3" xfId="7673" xr:uid="{6109458B-64BA-4461-B268-C37969483173}"/>
    <cellStyle name="Comma 5 2 2 6" xfId="4729" xr:uid="{7F2B6CA6-08AA-42CD-B162-6DE756BA2277}"/>
    <cellStyle name="Comma 5 2 2 7" xfId="6406" xr:uid="{D1484767-6637-4B3F-B46F-823AAA931751}"/>
    <cellStyle name="Comma 5 2 3" xfId="3116" xr:uid="{00000000-0005-0000-0000-000083010000}"/>
    <cellStyle name="Comma 5 2 3 2" xfId="3509" xr:uid="{00000000-0005-0000-0000-000084010000}"/>
    <cellStyle name="Comma 5 2 3 2 2" xfId="5213" xr:uid="{BEC9572C-E1F7-4C3F-94D7-04B354BA12AC}"/>
    <cellStyle name="Comma 5 2 3 2 3" xfId="6890" xr:uid="{D5AE384E-773C-4860-8735-FEF57EF9FBE1}"/>
    <cellStyle name="Comma 5 2 3 3" xfId="3904" xr:uid="{00000000-0005-0000-0000-000085010000}"/>
    <cellStyle name="Comma 5 2 3 3 2" xfId="5602" xr:uid="{14526253-6CCD-4C63-B9F1-47569B5F2AE6}"/>
    <cellStyle name="Comma 5 2 3 3 3" xfId="7279" xr:uid="{1A63E7C2-D696-4B2A-9B2B-CE8BA4C4C879}"/>
    <cellStyle name="Comma 5 2 3 4" xfId="4411" xr:uid="{FCD32430-764B-42A0-A255-C27035FB8BFE}"/>
    <cellStyle name="Comma 5 2 3 4 2" xfId="6092" xr:uid="{B97EC597-039E-49A9-829F-0CA4802B8560}"/>
    <cellStyle name="Comma 5 2 3 4 3" xfId="7769" xr:uid="{4EC5AE60-8895-4242-ADE1-E0520482B511}"/>
    <cellStyle name="Comma 5 2 3 5" xfId="4825" xr:uid="{E7489E51-DCE8-4D30-B614-FF664DBAD850}"/>
    <cellStyle name="Comma 5 2 3 6" xfId="6502" xr:uid="{54D59492-A6E4-41F6-91AC-191EA4B1CBE4}"/>
    <cellStyle name="Comma 5 2 4" xfId="3315" xr:uid="{00000000-0005-0000-0000-000086010000}"/>
    <cellStyle name="Comma 5 2 4 2" xfId="5019" xr:uid="{1A781B0C-3D14-4DDB-B2EB-5EBB237EC479}"/>
    <cellStyle name="Comma 5 2 4 3" xfId="6696" xr:uid="{3963323C-A0EB-46A5-B5AB-E38310B8D508}"/>
    <cellStyle name="Comma 5 2 5" xfId="3710" xr:uid="{00000000-0005-0000-0000-000087010000}"/>
    <cellStyle name="Comma 5 2 5 2" xfId="5408" xr:uid="{6A5475A9-BE9D-403D-9544-37CB5476D967}"/>
    <cellStyle name="Comma 5 2 5 3" xfId="7085" xr:uid="{EB0790AB-9019-49CB-8B3B-9DFEE233FE15}"/>
    <cellStyle name="Comma 5 2 6" xfId="4108" xr:uid="{00000000-0005-0000-0000-000088010000}"/>
    <cellStyle name="Comma 5 2 6 2" xfId="5800" xr:uid="{90D2F779-F33E-4407-8DFB-96C9750D4C3D}"/>
    <cellStyle name="Comma 5 2 6 3" xfId="7477" xr:uid="{E7D41653-4557-40B3-B0DC-9626C71BC36C}"/>
    <cellStyle name="Comma 5 2 7" xfId="4217" xr:uid="{FA0E4AD3-CEB3-4059-8D5C-53230C119FA5}"/>
    <cellStyle name="Comma 5 2 7 2" xfId="5898" xr:uid="{24F7017E-86B2-4A03-8162-4CF153FF5676}"/>
    <cellStyle name="Comma 5 2 7 3" xfId="7575" xr:uid="{0A01F83F-F6C6-42CA-9A21-33C6C5BCCC77}"/>
    <cellStyle name="Comma 5 2 8" xfId="4631" xr:uid="{B83BE1CC-5056-4C9D-8861-69FA8DF35890}"/>
    <cellStyle name="Comma 5 2 9" xfId="6308" xr:uid="{CEF716AA-BDF8-4624-8DBD-3CA1C1D8D191}"/>
    <cellStyle name="Comma 5 3" xfId="2961" xr:uid="{00000000-0005-0000-0000-000089010000}"/>
    <cellStyle name="Comma 5 3 2" xfId="3163" xr:uid="{00000000-0005-0000-0000-00008A010000}"/>
    <cellStyle name="Comma 5 3 2 2" xfId="3556" xr:uid="{00000000-0005-0000-0000-00008B010000}"/>
    <cellStyle name="Comma 5 3 2 2 2" xfId="5260" xr:uid="{EF8BCCD8-4CD6-48A7-92CD-D9D82BBE01AD}"/>
    <cellStyle name="Comma 5 3 2 2 3" xfId="6937" xr:uid="{2B9F7745-A97F-4203-979E-11C07FA6E124}"/>
    <cellStyle name="Comma 5 3 2 3" xfId="3951" xr:uid="{00000000-0005-0000-0000-00008C010000}"/>
    <cellStyle name="Comma 5 3 2 3 2" xfId="5649" xr:uid="{3354BD1D-B526-45B3-8418-B043FD6AEA4C}"/>
    <cellStyle name="Comma 5 3 2 3 3" xfId="7326" xr:uid="{DE68061D-DC44-4F16-A369-1833A7068E9F}"/>
    <cellStyle name="Comma 5 3 2 4" xfId="4458" xr:uid="{126D2895-1176-4405-B0BB-0E1E45B4A6A0}"/>
    <cellStyle name="Comma 5 3 2 4 2" xfId="6139" xr:uid="{B746EDBD-6C36-428B-BE83-C3A5E5FABDEF}"/>
    <cellStyle name="Comma 5 3 2 4 3" xfId="7816" xr:uid="{49E8157D-5561-4C80-B4A3-D16F10B6FC20}"/>
    <cellStyle name="Comma 5 3 2 5" xfId="4872" xr:uid="{2F98E855-059F-4B6F-BE73-5019C7FF985D}"/>
    <cellStyle name="Comma 5 3 2 6" xfId="6549" xr:uid="{00365705-B697-4789-B628-ED989AEC49E5}"/>
    <cellStyle name="Comma 5 3 3" xfId="3362" xr:uid="{00000000-0005-0000-0000-00008D010000}"/>
    <cellStyle name="Comma 5 3 3 2" xfId="5066" xr:uid="{E0A35E8E-54CA-490F-A9A0-AE6FE0F01C14}"/>
    <cellStyle name="Comma 5 3 3 3" xfId="6743" xr:uid="{72736B59-E654-4462-8C54-1A94454C0A0E}"/>
    <cellStyle name="Comma 5 3 4" xfId="3757" xr:uid="{00000000-0005-0000-0000-00008E010000}"/>
    <cellStyle name="Comma 5 3 4 2" xfId="5455" xr:uid="{CF36A549-111C-4562-B0F2-5A5A9DECD8EC}"/>
    <cellStyle name="Comma 5 3 4 3" xfId="7132" xr:uid="{C09F9806-8E5F-4967-89D7-E0967D1AEE1F}"/>
    <cellStyle name="Comma 5 3 5" xfId="4264" xr:uid="{F97FAF62-4ADC-430A-B023-EFF16B6603E6}"/>
    <cellStyle name="Comma 5 3 5 2" xfId="5945" xr:uid="{66AC1300-A773-4485-8D51-81834291DF8D}"/>
    <cellStyle name="Comma 5 3 5 3" xfId="7622" xr:uid="{85CF7CB7-F743-4E5E-8DF0-B14A5C940E80}"/>
    <cellStyle name="Comma 5 3 6" xfId="4678" xr:uid="{2B7795FF-90F7-4D82-AFAC-079402E7D1F7}"/>
    <cellStyle name="Comma 5 3 7" xfId="6355" xr:uid="{B7C4AB43-1B90-4DC2-A445-0386D823D021}"/>
    <cellStyle name="Comma 5 4" xfId="3067" xr:uid="{00000000-0005-0000-0000-00008F010000}"/>
    <cellStyle name="Comma 5 4 2" xfId="3460" xr:uid="{00000000-0005-0000-0000-000090010000}"/>
    <cellStyle name="Comma 5 4 2 2" xfId="5164" xr:uid="{7AD8C4C9-1416-41A2-86DA-37B7AF69F78F}"/>
    <cellStyle name="Comma 5 4 2 3" xfId="6841" xr:uid="{939FC4D7-4946-44CB-AE22-E63D21100F91}"/>
    <cellStyle name="Comma 5 4 3" xfId="3855" xr:uid="{00000000-0005-0000-0000-000091010000}"/>
    <cellStyle name="Comma 5 4 3 2" xfId="5553" xr:uid="{0396A8DF-B7C9-419E-AAF9-85BDBC82EFCF}"/>
    <cellStyle name="Comma 5 4 3 3" xfId="7230" xr:uid="{47983873-278C-42F9-86C9-A43C57295690}"/>
    <cellStyle name="Comma 5 4 4" xfId="4362" xr:uid="{5C3BF5D0-5381-46B2-BDB4-DED01A233885}"/>
    <cellStyle name="Comma 5 4 4 2" xfId="6043" xr:uid="{4CD29610-220D-4CBB-A439-8F0EC50915E4}"/>
    <cellStyle name="Comma 5 4 4 3" xfId="7720" xr:uid="{70A154CC-A7C4-43BD-AA26-BEE0FE0128E8}"/>
    <cellStyle name="Comma 5 4 5" xfId="4776" xr:uid="{C2330FC1-4074-4303-BEA3-1621984F6071}"/>
    <cellStyle name="Comma 5 4 6" xfId="6453" xr:uid="{4D708A3C-9BC4-45D5-A07A-637AD1799DCA}"/>
    <cellStyle name="Comma 5 5" xfId="3265" xr:uid="{00000000-0005-0000-0000-000092010000}"/>
    <cellStyle name="Comma 5 5 2" xfId="4970" xr:uid="{E458226C-40C0-43E7-8B85-A46D8C70BEB6}"/>
    <cellStyle name="Comma 5 5 3" xfId="6647" xr:uid="{90BB73EC-50D2-464E-B712-C7C64E16130A}"/>
    <cellStyle name="Comma 5 6" xfId="3659" xr:uid="{00000000-0005-0000-0000-000093010000}"/>
    <cellStyle name="Comma 5 6 2" xfId="5358" xr:uid="{B2C20241-FB64-4AF0-81E0-02D303833EA5}"/>
    <cellStyle name="Comma 5 6 3" xfId="7035" xr:uid="{3FB6FA51-E192-4ADC-9852-9FD1D2777153}"/>
    <cellStyle name="Comma 5 7" xfId="4054" xr:uid="{00000000-0005-0000-0000-000094010000}"/>
    <cellStyle name="Comma 5 7 2" xfId="5748" xr:uid="{649B717D-A453-427A-A979-E009DA563D60}"/>
    <cellStyle name="Comma 5 7 3" xfId="7425" xr:uid="{D90B51DD-490C-4F30-A43A-0C0854B4F852}"/>
    <cellStyle name="Comma 5 8" xfId="4162" xr:uid="{D1B30281-9A42-4620-AE7F-E3996FA97910}"/>
    <cellStyle name="Comma 5 8 2" xfId="5847" xr:uid="{11260EB3-3944-4EC3-A419-64F44E075FE1}"/>
    <cellStyle name="Comma 5 8 3" xfId="7524" xr:uid="{DF30B507-857B-46B8-96E6-DDB96E9961B7}"/>
    <cellStyle name="Comma 5 9" xfId="4578" xr:uid="{7C8AE986-83D8-4E2A-A305-15082EDDC9BF}"/>
    <cellStyle name="Comma 6" xfId="2871" xr:uid="{00000000-0005-0000-0000-000095010000}"/>
    <cellStyle name="Comma 6 2" xfId="3003" xr:uid="{00000000-0005-0000-0000-000096010000}"/>
    <cellStyle name="Comma 6 2 2" xfId="3201" xr:uid="{00000000-0005-0000-0000-000097010000}"/>
    <cellStyle name="Comma 6 2 2 2" xfId="3594" xr:uid="{00000000-0005-0000-0000-000098010000}"/>
    <cellStyle name="Comma 6 2 2 2 2" xfId="5298" xr:uid="{880A08EB-7893-4DEE-A9AE-B9FB3B230873}"/>
    <cellStyle name="Comma 6 2 2 2 3" xfId="6975" xr:uid="{D1D94CFA-06D4-46DA-AB26-918DBDAF157B}"/>
    <cellStyle name="Comma 6 2 2 3" xfId="3989" xr:uid="{00000000-0005-0000-0000-000099010000}"/>
    <cellStyle name="Comma 6 2 2 3 2" xfId="5687" xr:uid="{8762C28B-660D-4A1E-B0AF-3E60A0C3D341}"/>
    <cellStyle name="Comma 6 2 2 3 3" xfId="7364" xr:uid="{EB35A585-BD69-4B16-AA86-6D26891B4E76}"/>
    <cellStyle name="Comma 6 2 2 4" xfId="4496" xr:uid="{F27C6F94-8D20-4DFF-A8DF-63D6DE945FAF}"/>
    <cellStyle name="Comma 6 2 2 4 2" xfId="6177" xr:uid="{59E7EFC2-FE81-4E34-9AEB-72D3B08BF030}"/>
    <cellStyle name="Comma 6 2 2 4 3" xfId="7854" xr:uid="{BAD06829-43F9-4680-A4B8-040DFDA111C1}"/>
    <cellStyle name="Comma 6 2 2 5" xfId="4910" xr:uid="{6CF3E900-A28F-4FFE-A9E4-BE7D55DE22E9}"/>
    <cellStyle name="Comma 6 2 2 6" xfId="6587" xr:uid="{FD397C65-5305-4629-AC18-783224CA4D6E}"/>
    <cellStyle name="Comma 6 2 3" xfId="3400" xr:uid="{00000000-0005-0000-0000-00009A010000}"/>
    <cellStyle name="Comma 6 2 3 2" xfId="5104" xr:uid="{857EB3D9-D9DA-473D-8FD4-0E8756083A57}"/>
    <cellStyle name="Comma 6 2 3 3" xfId="6781" xr:uid="{74C1EE07-9C11-4E8D-BB1E-1E1C8735DA8F}"/>
    <cellStyle name="Comma 6 2 4" xfId="3795" xr:uid="{00000000-0005-0000-0000-00009B010000}"/>
    <cellStyle name="Comma 6 2 4 2" xfId="5493" xr:uid="{799C71C5-1DBD-4DFE-853A-98B68DFED783}"/>
    <cellStyle name="Comma 6 2 4 3" xfId="7170" xr:uid="{874FB332-5BA0-42D2-B1DE-C77AE0E717FA}"/>
    <cellStyle name="Comma 6 2 5" xfId="4302" xr:uid="{8F78F679-A0D8-4BCC-B149-F3C3249C74C9}"/>
    <cellStyle name="Comma 6 2 5 2" xfId="5983" xr:uid="{0ADD643D-5F09-45ED-B267-A78EBAED85D2}"/>
    <cellStyle name="Comma 6 2 5 3" xfId="7660" xr:uid="{AB4B61E2-AFB3-4B32-B7B1-EE2A0D864297}"/>
    <cellStyle name="Comma 6 2 6" xfId="4716" xr:uid="{F716E16F-5731-40B1-9D9F-87214280E7BE}"/>
    <cellStyle name="Comma 6 2 7" xfId="6393" xr:uid="{469E5B42-0B6C-4D5D-A356-710658C57DDA}"/>
    <cellStyle name="Comma 6 3" xfId="3103" xr:uid="{00000000-0005-0000-0000-00009C010000}"/>
    <cellStyle name="Comma 6 3 2" xfId="3496" xr:uid="{00000000-0005-0000-0000-00009D010000}"/>
    <cellStyle name="Comma 6 3 2 2" xfId="5200" xr:uid="{E4F09FF7-B6BE-4039-9C4A-51DF414B1964}"/>
    <cellStyle name="Comma 6 3 2 3" xfId="6877" xr:uid="{85D9BD53-6302-4AB5-A5F4-6E7EF5D8FC5B}"/>
    <cellStyle name="Comma 6 3 3" xfId="3891" xr:uid="{00000000-0005-0000-0000-00009E010000}"/>
    <cellStyle name="Comma 6 3 3 2" xfId="5589" xr:uid="{7529F79C-F327-4CD6-B33F-C8FE6499FB5F}"/>
    <cellStyle name="Comma 6 3 3 3" xfId="7266" xr:uid="{C2A0F84A-546F-42D2-9361-063DD53A86FC}"/>
    <cellStyle name="Comma 6 3 4" xfId="4398" xr:uid="{0CB36C48-B412-43E2-93BC-A649F573F3F7}"/>
    <cellStyle name="Comma 6 3 4 2" xfId="6079" xr:uid="{42BE134E-728B-43A7-BCE9-6494FBEE6A65}"/>
    <cellStyle name="Comma 6 3 4 3" xfId="7756" xr:uid="{12713B0B-49C5-4920-A657-D38446C1A63F}"/>
    <cellStyle name="Comma 6 3 5" xfId="4812" xr:uid="{8991D9B8-E2AE-4F00-902F-8329C08764B2}"/>
    <cellStyle name="Comma 6 3 6" xfId="6489" xr:uid="{5A730132-342B-4CF0-8D63-010A204EC424}"/>
    <cellStyle name="Comma 6 4" xfId="3302" xr:uid="{00000000-0005-0000-0000-00009F010000}"/>
    <cellStyle name="Comma 6 4 2" xfId="5006" xr:uid="{EEE8869F-B3B1-4374-A4BC-BDAFA8AD73F6}"/>
    <cellStyle name="Comma 6 4 3" xfId="6683" xr:uid="{98C62D5D-A9AA-4548-AA44-ECB6F5560938}"/>
    <cellStyle name="Comma 6 5" xfId="3697" xr:uid="{00000000-0005-0000-0000-0000A0010000}"/>
    <cellStyle name="Comma 6 5 2" xfId="5395" xr:uid="{F059F049-48D2-4F43-AC21-569CB1D56123}"/>
    <cellStyle name="Comma 6 5 3" xfId="7072" xr:uid="{4FC043B5-C288-45A6-A82F-907205E37DA6}"/>
    <cellStyle name="Comma 6 6" xfId="4095" xr:uid="{00000000-0005-0000-0000-0000A1010000}"/>
    <cellStyle name="Comma 6 6 2" xfId="5787" xr:uid="{E9E10A67-2EC0-421E-911A-60593FE7D3AC}"/>
    <cellStyle name="Comma 6 6 3" xfId="7464" xr:uid="{1AACA843-4BD7-4831-9610-9D26B9FD0AC5}"/>
    <cellStyle name="Comma 6 7" xfId="4204" xr:uid="{9FE380AE-1DCE-43DB-AE3A-C5FC7DCEEF86}"/>
    <cellStyle name="Comma 6 7 2" xfId="5885" xr:uid="{54431F0A-E683-4960-B1EE-A7DE0F0D8D11}"/>
    <cellStyle name="Comma 6 7 3" xfId="7562" xr:uid="{52C66692-85B8-4202-93D6-BA6BA0BAC740}"/>
    <cellStyle name="Comma 6 8" xfId="4618" xr:uid="{4C4F0B98-D3B4-4DB7-BE1D-4497E225C32E}"/>
    <cellStyle name="Comma 6 9" xfId="6295" xr:uid="{DAA96461-60B1-49DE-A42A-2C8478BCAD47}"/>
    <cellStyle name="Comma 7" xfId="2941" xr:uid="{00000000-0005-0000-0000-0000A2010000}"/>
    <cellStyle name="Comma 7 2" xfId="3047" xr:uid="{00000000-0005-0000-0000-0000A3010000}"/>
    <cellStyle name="Comma 7 2 2" xfId="3245" xr:uid="{00000000-0005-0000-0000-0000A4010000}"/>
    <cellStyle name="Comma 7 2 2 2" xfId="3638" xr:uid="{00000000-0005-0000-0000-0000A5010000}"/>
    <cellStyle name="Comma 7 2 2 2 2" xfId="5342" xr:uid="{30929C8D-F89E-40FD-AD99-A783358A6D1E}"/>
    <cellStyle name="Comma 7 2 2 2 3" xfId="7019" xr:uid="{6ADC531A-C4A7-4A93-80BE-4BDB6460379D}"/>
    <cellStyle name="Comma 7 2 2 3" xfId="4033" xr:uid="{00000000-0005-0000-0000-0000A6010000}"/>
    <cellStyle name="Comma 7 2 2 3 2" xfId="5731" xr:uid="{A5BFA2C9-E251-4B5E-BCAC-1AB7D6D9AC7F}"/>
    <cellStyle name="Comma 7 2 2 3 3" xfId="7408" xr:uid="{C6E90254-6A7C-4543-A62D-8A8D4D9F57CB}"/>
    <cellStyle name="Comma 7 2 2 4" xfId="4540" xr:uid="{DE0018BC-12FD-40CF-AD7E-EA922C0FB6BB}"/>
    <cellStyle name="Comma 7 2 2 4 2" xfId="6221" xr:uid="{E5887666-A886-4DEE-9533-25077E81AD08}"/>
    <cellStyle name="Comma 7 2 2 4 3" xfId="7898" xr:uid="{BACCE087-66FD-4940-BBF8-7262D71329D5}"/>
    <cellStyle name="Comma 7 2 2 5" xfId="4954" xr:uid="{41ECDC8E-8B52-42DB-A777-DC798ECEE841}"/>
    <cellStyle name="Comma 7 2 2 6" xfId="6631" xr:uid="{345CDA7F-6386-4110-BFA3-AB703B84AE75}"/>
    <cellStyle name="Comma 7 2 3" xfId="3444" xr:uid="{00000000-0005-0000-0000-0000A7010000}"/>
    <cellStyle name="Comma 7 2 3 2" xfId="5148" xr:uid="{A562FE76-69BF-43DC-BE65-4CA3AEB0B4AF}"/>
    <cellStyle name="Comma 7 2 3 3" xfId="6825" xr:uid="{C8D8E8F1-E287-4F19-ADF6-73562C402B5A}"/>
    <cellStyle name="Comma 7 2 4" xfId="3839" xr:uid="{00000000-0005-0000-0000-0000A8010000}"/>
    <cellStyle name="Comma 7 2 4 2" xfId="5537" xr:uid="{FC2DC7A4-5E44-499A-89A3-C3FEBFC03A49}"/>
    <cellStyle name="Comma 7 2 4 3" xfId="7214" xr:uid="{9862A5E8-36CC-4548-8774-4847227D38C6}"/>
    <cellStyle name="Comma 7 2 5" xfId="4346" xr:uid="{9D1CA7E3-82B2-4377-9B7D-DC1057982294}"/>
    <cellStyle name="Comma 7 2 5 2" xfId="6027" xr:uid="{5659C2B6-010B-4229-90DF-FCA9594F5477}"/>
    <cellStyle name="Comma 7 2 5 3" xfId="7704" xr:uid="{0DFB4651-BA49-4E8D-849A-83CA50984930}"/>
    <cellStyle name="Comma 7 2 6" xfId="4760" xr:uid="{239FA796-A74C-43DC-A102-CDC28D754995}"/>
    <cellStyle name="Comma 7 2 7" xfId="6437" xr:uid="{CFC51205-FFBE-49AE-BF8D-E0142196A11A}"/>
    <cellStyle name="Comma 7 3" xfId="3147" xr:uid="{00000000-0005-0000-0000-0000A9010000}"/>
    <cellStyle name="Comma 7 3 2" xfId="3540" xr:uid="{00000000-0005-0000-0000-0000AA010000}"/>
    <cellStyle name="Comma 7 3 2 2" xfId="5244" xr:uid="{A14432BA-4C0E-492F-8515-CA2B12476522}"/>
    <cellStyle name="Comma 7 3 2 3" xfId="6921" xr:uid="{F81CF286-F8D5-4A9D-88C1-BB8C04EE58DE}"/>
    <cellStyle name="Comma 7 3 3" xfId="3935" xr:uid="{00000000-0005-0000-0000-0000AB010000}"/>
    <cellStyle name="Comma 7 3 3 2" xfId="5633" xr:uid="{D82A3AE7-2A13-46CB-8625-FB3C35AF652B}"/>
    <cellStyle name="Comma 7 3 3 3" xfId="7310" xr:uid="{95552387-5A57-44EB-BBC3-9B5BC049F708}"/>
    <cellStyle name="Comma 7 3 4" xfId="4442" xr:uid="{8D78BCE6-6538-4587-AE3A-8C804E8B0E40}"/>
    <cellStyle name="Comma 7 3 4 2" xfId="6123" xr:uid="{5DB1BBD2-6B12-4DE9-AC37-5F15C832F247}"/>
    <cellStyle name="Comma 7 3 4 3" xfId="7800" xr:uid="{8D45AEE6-1C77-4CF1-A3F9-BDDB7A7411DA}"/>
    <cellStyle name="Comma 7 3 5" xfId="4856" xr:uid="{4BE71A50-85D3-4E95-AF56-A938EB8C3265}"/>
    <cellStyle name="Comma 7 3 6" xfId="6533" xr:uid="{345A8FFF-BE7B-4A58-B301-A5C88B1A47D5}"/>
    <cellStyle name="Comma 7 4" xfId="3346" xr:uid="{00000000-0005-0000-0000-0000AC010000}"/>
    <cellStyle name="Comma 7 4 2" xfId="5050" xr:uid="{E6AE8034-F9FA-49DD-8FBA-25E02FB540AA}"/>
    <cellStyle name="Comma 7 4 3" xfId="6727" xr:uid="{0A229826-4D86-46AD-9586-72AB8762A518}"/>
    <cellStyle name="Comma 7 5" xfId="3741" xr:uid="{00000000-0005-0000-0000-0000AD010000}"/>
    <cellStyle name="Comma 7 5 2" xfId="5439" xr:uid="{5C658F52-8135-4373-8890-3858048D7907}"/>
    <cellStyle name="Comma 7 5 3" xfId="7116" xr:uid="{CE7368D0-5045-41BA-9250-5E91D72370B4}"/>
    <cellStyle name="Comma 7 6" xfId="4139" xr:uid="{00000000-0005-0000-0000-0000AE010000}"/>
    <cellStyle name="Comma 7 6 2" xfId="5831" xr:uid="{7D974F62-EE79-4ED5-AFFB-ACB624B22895}"/>
    <cellStyle name="Comma 7 6 3" xfId="7508" xr:uid="{81214123-3AD9-42CC-917E-948B43D6EF25}"/>
    <cellStyle name="Comma 7 7" xfId="4248" xr:uid="{B65E33E8-9D31-43B6-BEE6-77C2C9E3C25E}"/>
    <cellStyle name="Comma 7 7 2" xfId="5929" xr:uid="{62E3B13E-C7F7-4132-BF25-DDE91ED7788D}"/>
    <cellStyle name="Comma 7 7 3" xfId="7606" xr:uid="{CFE5F9D1-D7A3-4145-AC5E-79F7AE1FBB22}"/>
    <cellStyle name="Comma 7 8" xfId="4662" xr:uid="{8524938A-BCD7-4856-86D4-9F7115908559}"/>
    <cellStyle name="Comma 7 9" xfId="6339" xr:uid="{BCC73187-3234-4939-818E-C8AA76DF23E0}"/>
    <cellStyle name="Comma 8" xfId="2948" xr:uid="{00000000-0005-0000-0000-0000AF010000}"/>
    <cellStyle name="Comma 8 2" xfId="3150" xr:uid="{00000000-0005-0000-0000-0000B0010000}"/>
    <cellStyle name="Comma 8 2 2" xfId="3543" xr:uid="{00000000-0005-0000-0000-0000B1010000}"/>
    <cellStyle name="Comma 8 2 2 2" xfId="5247" xr:uid="{42FB4FB2-B1D5-47A6-8279-CBD9BC7B27A8}"/>
    <cellStyle name="Comma 8 2 2 3" xfId="6924" xr:uid="{9786C667-7A00-4648-ADA9-0F76C20DA433}"/>
    <cellStyle name="Comma 8 2 3" xfId="3938" xr:uid="{00000000-0005-0000-0000-0000B2010000}"/>
    <cellStyle name="Comma 8 2 3 2" xfId="5636" xr:uid="{C3B14914-6908-4685-8196-5E2BDFF73932}"/>
    <cellStyle name="Comma 8 2 3 3" xfId="7313" xr:uid="{598CDE75-70A0-4019-A576-4F0A9A8AAF0B}"/>
    <cellStyle name="Comma 8 2 4" xfId="4445" xr:uid="{B5DDB5E5-DC63-4266-8FF0-D57FDDB67972}"/>
    <cellStyle name="Comma 8 2 4 2" xfId="6126" xr:uid="{CD4C8815-BE4B-46D8-A862-DD2DA19FEFD1}"/>
    <cellStyle name="Comma 8 2 4 3" xfId="7803" xr:uid="{48BB8D74-0184-4818-979F-A9D2C6239E03}"/>
    <cellStyle name="Comma 8 2 5" xfId="4859" xr:uid="{0379F3EA-515D-4563-8894-2440855C487E}"/>
    <cellStyle name="Comma 8 2 6" xfId="6536" xr:uid="{5827552D-0778-4721-A222-26462CE4A296}"/>
    <cellStyle name="Comma 8 3" xfId="3349" xr:uid="{00000000-0005-0000-0000-0000B3010000}"/>
    <cellStyle name="Comma 8 3 2" xfId="5053" xr:uid="{A9A24E29-7403-4758-A426-CAE9C09AC1F9}"/>
    <cellStyle name="Comma 8 3 3" xfId="6730" xr:uid="{766CA529-ECF0-48BB-B96B-F68D4E385016}"/>
    <cellStyle name="Comma 8 4" xfId="3744" xr:uid="{00000000-0005-0000-0000-0000B4010000}"/>
    <cellStyle name="Comma 8 4 2" xfId="5442" xr:uid="{23ACCAA9-3074-4D4D-9892-3037C696CB16}"/>
    <cellStyle name="Comma 8 4 3" xfId="7119" xr:uid="{C59D2D8E-412C-41A1-AD15-A7F8C6CBBA62}"/>
    <cellStyle name="Comma 8 5" xfId="4251" xr:uid="{DF6C08B6-353F-4DFB-8194-6B9414AAA836}"/>
    <cellStyle name="Comma 8 5 2" xfId="5932" xr:uid="{0CA24999-4D7C-4C35-8340-527504868185}"/>
    <cellStyle name="Comma 8 5 3" xfId="7609" xr:uid="{1B6CDB89-CF5D-40F9-837E-3981368E01C4}"/>
    <cellStyle name="Comma 8 6" xfId="4665" xr:uid="{0FC1B3F4-A1AC-4BA9-9329-91B71E753102}"/>
    <cellStyle name="Comma 8 7" xfId="6342" xr:uid="{68851DC2-AB8D-4181-9832-7A65340BA228}"/>
    <cellStyle name="Comma 9" xfId="2998" xr:uid="{00000000-0005-0000-0000-0000B5010000}"/>
    <cellStyle name="Comma 9 2" xfId="3198" xr:uid="{00000000-0005-0000-0000-0000B6010000}"/>
    <cellStyle name="Comma 9 2 2" xfId="3591" xr:uid="{00000000-0005-0000-0000-0000B7010000}"/>
    <cellStyle name="Comma 9 2 2 2" xfId="5295" xr:uid="{D1011052-072C-448C-8651-3615D59CAE72}"/>
    <cellStyle name="Comma 9 2 2 3" xfId="6972" xr:uid="{EF94D4DB-3DBB-4CC3-B56E-59F4FD3975D3}"/>
    <cellStyle name="Comma 9 2 3" xfId="3986" xr:uid="{00000000-0005-0000-0000-0000B8010000}"/>
    <cellStyle name="Comma 9 2 3 2" xfId="5684" xr:uid="{EA35D959-798D-4A7E-BD4E-D9E9A4FA6091}"/>
    <cellStyle name="Comma 9 2 3 3" xfId="7361" xr:uid="{D74312C5-2C35-49EE-9DEC-1C77BA8D04F3}"/>
    <cellStyle name="Comma 9 2 4" xfId="4493" xr:uid="{A16435B0-5F82-4201-AB37-8C92970DFC56}"/>
    <cellStyle name="Comma 9 2 4 2" xfId="6174" xr:uid="{A982D2C4-B93E-490E-965C-9C846D152FB7}"/>
    <cellStyle name="Comma 9 2 4 3" xfId="7851" xr:uid="{28C3F39D-9050-4149-85C9-DA5CE8DCD3BC}"/>
    <cellStyle name="Comma 9 2 5" xfId="4907" xr:uid="{6E94A720-A23F-4D59-828B-B0BFBB01FEC5}"/>
    <cellStyle name="Comma 9 2 6" xfId="6584" xr:uid="{9F4B8822-FE57-4DFF-8FAE-8DA1DC5599AD}"/>
    <cellStyle name="Comma 9 3" xfId="3397" xr:uid="{00000000-0005-0000-0000-0000B9010000}"/>
    <cellStyle name="Comma 9 3 2" xfId="5101" xr:uid="{2A126E28-0286-4439-97B3-3995B9B7941D}"/>
    <cellStyle name="Comma 9 3 3" xfId="6778" xr:uid="{82593537-C6E4-4A86-8C57-50B56E165B39}"/>
    <cellStyle name="Comma 9 4" xfId="3792" xr:uid="{00000000-0005-0000-0000-0000BA010000}"/>
    <cellStyle name="Comma 9 4 2" xfId="5490" xr:uid="{71956016-75D9-4482-BFB1-82D440574363}"/>
    <cellStyle name="Comma 9 4 3" xfId="7167" xr:uid="{DA008B12-A64C-469A-BB53-B97D24CB3403}"/>
    <cellStyle name="Comma 9 5" xfId="4299" xr:uid="{967D5395-314B-4C69-9112-83587606513C}"/>
    <cellStyle name="Comma 9 5 2" xfId="5980" xr:uid="{9699811A-8326-4D0A-9194-12374034A179}"/>
    <cellStyle name="Comma 9 5 3" xfId="7657" xr:uid="{91AA53D4-EFC9-4E52-8D16-A1BB858219F1}"/>
    <cellStyle name="Comma 9 6" xfId="4713" xr:uid="{A12888E1-FE48-4975-BE2F-4C850756ED07}"/>
    <cellStyle name="Comma 9 7" xfId="6390" xr:uid="{5FDE1674-DC8F-42A3-8601-F1AE59F8D109}"/>
    <cellStyle name="Currency" xfId="83" xr:uid="{00000000-0005-0000-0000-0000BB010000}"/>
    <cellStyle name="Currency [0]" xfId="84" xr:uid="{00000000-0005-0000-0000-0000BC010000}"/>
    <cellStyle name="Currency [0] 2" xfId="85" xr:uid="{00000000-0005-0000-0000-0000BD010000}"/>
    <cellStyle name="Currency [0] 2 2" xfId="86" xr:uid="{00000000-0005-0000-0000-0000BE010000}"/>
    <cellStyle name="Currency [0] 2 2 2" xfId="87" xr:uid="{00000000-0005-0000-0000-0000BF010000}"/>
    <cellStyle name="Currency [0] 2 2 2 2" xfId="88" xr:uid="{00000000-0005-0000-0000-0000C0010000}"/>
    <cellStyle name="Currency [0] 2 2 3" xfId="89" xr:uid="{00000000-0005-0000-0000-0000C1010000}"/>
    <cellStyle name="Currency [0] 2 2 3 2" xfId="90" xr:uid="{00000000-0005-0000-0000-0000C2010000}"/>
    <cellStyle name="Currency [0] 2 2 4" xfId="91" xr:uid="{00000000-0005-0000-0000-0000C3010000}"/>
    <cellStyle name="Currency [0] 2 2 4 2" xfId="92" xr:uid="{00000000-0005-0000-0000-0000C4010000}"/>
    <cellStyle name="Currency [0] 2 2 5" xfId="93" xr:uid="{00000000-0005-0000-0000-0000C5010000}"/>
    <cellStyle name="Currency [0] 2 3" xfId="94" xr:uid="{00000000-0005-0000-0000-0000C6010000}"/>
    <cellStyle name="Currency [0] 2 3 2" xfId="95" xr:uid="{00000000-0005-0000-0000-0000C7010000}"/>
    <cellStyle name="Currency [0] 2 4" xfId="96" xr:uid="{00000000-0005-0000-0000-0000C8010000}"/>
    <cellStyle name="Currency [0] 2 4 2" xfId="97" xr:uid="{00000000-0005-0000-0000-0000C9010000}"/>
    <cellStyle name="Currency [0] 2 5" xfId="98" xr:uid="{00000000-0005-0000-0000-0000CA010000}"/>
    <cellStyle name="Currency [0] 2 5 2" xfId="99" xr:uid="{00000000-0005-0000-0000-0000CB010000}"/>
    <cellStyle name="Currency [0] 2 6" xfId="100" xr:uid="{00000000-0005-0000-0000-0000CC010000}"/>
    <cellStyle name="Currency [0] 3" xfId="101" xr:uid="{00000000-0005-0000-0000-0000CD010000}"/>
    <cellStyle name="Currency [0] 3 2" xfId="102" xr:uid="{00000000-0005-0000-0000-0000CE010000}"/>
    <cellStyle name="Currency [0] 3 2 2" xfId="103" xr:uid="{00000000-0005-0000-0000-0000CF010000}"/>
    <cellStyle name="Currency [0] 3 3" xfId="104" xr:uid="{00000000-0005-0000-0000-0000D0010000}"/>
    <cellStyle name="Currency [0] 3 3 2" xfId="105" xr:uid="{00000000-0005-0000-0000-0000D1010000}"/>
    <cellStyle name="Currency [0] 3 4" xfId="106" xr:uid="{00000000-0005-0000-0000-0000D2010000}"/>
    <cellStyle name="Currency [0] 3 4 2" xfId="107" xr:uid="{00000000-0005-0000-0000-0000D3010000}"/>
    <cellStyle name="Currency [0] 3 5" xfId="108" xr:uid="{00000000-0005-0000-0000-0000D4010000}"/>
    <cellStyle name="Currency [0] 4" xfId="109" xr:uid="{00000000-0005-0000-0000-0000D5010000}"/>
    <cellStyle name="Currency [0] 4 2" xfId="110" xr:uid="{00000000-0005-0000-0000-0000D6010000}"/>
    <cellStyle name="Currency [0] 5" xfId="111" xr:uid="{00000000-0005-0000-0000-0000D7010000}"/>
    <cellStyle name="Currency [0] 5 2" xfId="112" xr:uid="{00000000-0005-0000-0000-0000D8010000}"/>
    <cellStyle name="Currency [0] 6" xfId="113" xr:uid="{00000000-0005-0000-0000-0000D9010000}"/>
    <cellStyle name="Currency [0] 6 2" xfId="114" xr:uid="{00000000-0005-0000-0000-0000DA010000}"/>
    <cellStyle name="Currency [0] 7" xfId="115" xr:uid="{00000000-0005-0000-0000-0000DB010000}"/>
    <cellStyle name="Currency 10" xfId="116" xr:uid="{00000000-0005-0000-0000-0000DC010000}"/>
    <cellStyle name="Currency 10 2" xfId="117" xr:uid="{00000000-0005-0000-0000-0000DD010000}"/>
    <cellStyle name="Currency 11" xfId="118" xr:uid="{00000000-0005-0000-0000-0000DE010000}"/>
    <cellStyle name="Currency 11 2" xfId="119" xr:uid="{00000000-0005-0000-0000-0000DF010000}"/>
    <cellStyle name="Currency 12" xfId="120" xr:uid="{00000000-0005-0000-0000-0000E0010000}"/>
    <cellStyle name="Currency 12 2" xfId="121" xr:uid="{00000000-0005-0000-0000-0000E1010000}"/>
    <cellStyle name="Currency 13" xfId="122" xr:uid="{00000000-0005-0000-0000-0000E2010000}"/>
    <cellStyle name="Currency 13 2" xfId="123" xr:uid="{00000000-0005-0000-0000-0000E3010000}"/>
    <cellStyle name="Currency 14" xfId="124" xr:uid="{00000000-0005-0000-0000-0000E4010000}"/>
    <cellStyle name="Currency 15" xfId="125" xr:uid="{00000000-0005-0000-0000-0000E5010000}"/>
    <cellStyle name="Currency 2" xfId="126" xr:uid="{00000000-0005-0000-0000-0000E6010000}"/>
    <cellStyle name="Currency 2 2" xfId="127" xr:uid="{00000000-0005-0000-0000-0000E7010000}"/>
    <cellStyle name="Currency 2 2 2" xfId="128" xr:uid="{00000000-0005-0000-0000-0000E8010000}"/>
    <cellStyle name="Currency 2 2 2 2" xfId="129" xr:uid="{00000000-0005-0000-0000-0000E9010000}"/>
    <cellStyle name="Currency 2 2 3" xfId="130" xr:uid="{00000000-0005-0000-0000-0000EA010000}"/>
    <cellStyle name="Currency 2 2 3 2" xfId="131" xr:uid="{00000000-0005-0000-0000-0000EB010000}"/>
    <cellStyle name="Currency 2 2 4" xfId="132" xr:uid="{00000000-0005-0000-0000-0000EC010000}"/>
    <cellStyle name="Currency 2 2 4 2" xfId="133" xr:uid="{00000000-0005-0000-0000-0000ED010000}"/>
    <cellStyle name="Currency 2 2 5" xfId="134" xr:uid="{00000000-0005-0000-0000-0000EE010000}"/>
    <cellStyle name="Currency 2 3" xfId="135" xr:uid="{00000000-0005-0000-0000-0000EF010000}"/>
    <cellStyle name="Currency 2 3 2" xfId="136" xr:uid="{00000000-0005-0000-0000-0000F0010000}"/>
    <cellStyle name="Currency 2 4" xfId="137" xr:uid="{00000000-0005-0000-0000-0000F1010000}"/>
    <cellStyle name="Currency 2 4 2" xfId="138" xr:uid="{00000000-0005-0000-0000-0000F2010000}"/>
    <cellStyle name="Currency 2 5" xfId="139" xr:uid="{00000000-0005-0000-0000-0000F3010000}"/>
    <cellStyle name="Currency 2 5 2" xfId="140" xr:uid="{00000000-0005-0000-0000-0000F4010000}"/>
    <cellStyle name="Currency 2 6" xfId="141" xr:uid="{00000000-0005-0000-0000-0000F5010000}"/>
    <cellStyle name="Currency 3" xfId="142" xr:uid="{00000000-0005-0000-0000-0000F6010000}"/>
    <cellStyle name="Currency 3 2" xfId="143" xr:uid="{00000000-0005-0000-0000-0000F7010000}"/>
    <cellStyle name="Currency 3 2 2" xfId="144" xr:uid="{00000000-0005-0000-0000-0000F8010000}"/>
    <cellStyle name="Currency 3 3" xfId="145" xr:uid="{00000000-0005-0000-0000-0000F9010000}"/>
    <cellStyle name="Currency 3 3 2" xfId="146" xr:uid="{00000000-0005-0000-0000-0000FA010000}"/>
    <cellStyle name="Currency 3 4" xfId="147" xr:uid="{00000000-0005-0000-0000-0000FB010000}"/>
    <cellStyle name="Currency 3 4 2" xfId="148" xr:uid="{00000000-0005-0000-0000-0000FC010000}"/>
    <cellStyle name="Currency 3 5" xfId="149" xr:uid="{00000000-0005-0000-0000-0000FD010000}"/>
    <cellStyle name="Currency 4" xfId="150" xr:uid="{00000000-0005-0000-0000-0000FE010000}"/>
    <cellStyle name="Currency 4 2" xfId="151" xr:uid="{00000000-0005-0000-0000-0000FF010000}"/>
    <cellStyle name="Currency 4 2 2" xfId="152" xr:uid="{00000000-0005-0000-0000-000000020000}"/>
    <cellStyle name="Currency 4 3" xfId="153" xr:uid="{00000000-0005-0000-0000-000001020000}"/>
    <cellStyle name="Currency 4 3 2" xfId="154" xr:uid="{00000000-0005-0000-0000-000002020000}"/>
    <cellStyle name="Currency 4 4" xfId="155" xr:uid="{00000000-0005-0000-0000-000003020000}"/>
    <cellStyle name="Currency 4 4 2" xfId="156" xr:uid="{00000000-0005-0000-0000-000004020000}"/>
    <cellStyle name="Currency 4 5" xfId="157" xr:uid="{00000000-0005-0000-0000-000005020000}"/>
    <cellStyle name="Currency 5" xfId="158" xr:uid="{00000000-0005-0000-0000-000006020000}"/>
    <cellStyle name="Currency 5 2" xfId="159" xr:uid="{00000000-0005-0000-0000-000007020000}"/>
    <cellStyle name="Currency 5 2 2" xfId="160" xr:uid="{00000000-0005-0000-0000-000008020000}"/>
    <cellStyle name="Currency 5 3" xfId="161" xr:uid="{00000000-0005-0000-0000-000009020000}"/>
    <cellStyle name="Currency 5 3 2" xfId="162" xr:uid="{00000000-0005-0000-0000-00000A020000}"/>
    <cellStyle name="Currency 5 4" xfId="163" xr:uid="{00000000-0005-0000-0000-00000B020000}"/>
    <cellStyle name="Currency 5 4 2" xfId="164" xr:uid="{00000000-0005-0000-0000-00000C020000}"/>
    <cellStyle name="Currency 5 5" xfId="165" xr:uid="{00000000-0005-0000-0000-00000D020000}"/>
    <cellStyle name="Currency 6" xfId="166" xr:uid="{00000000-0005-0000-0000-00000E020000}"/>
    <cellStyle name="Currency 6 2" xfId="167" xr:uid="{00000000-0005-0000-0000-00000F020000}"/>
    <cellStyle name="Currency 7" xfId="168" xr:uid="{00000000-0005-0000-0000-000010020000}"/>
    <cellStyle name="Currency 7 2" xfId="169" xr:uid="{00000000-0005-0000-0000-000011020000}"/>
    <cellStyle name="Currency 8" xfId="170" xr:uid="{00000000-0005-0000-0000-000012020000}"/>
    <cellStyle name="Currency 8 2" xfId="171" xr:uid="{00000000-0005-0000-0000-000013020000}"/>
    <cellStyle name="Currency 9" xfId="172" xr:uid="{00000000-0005-0000-0000-000014020000}"/>
    <cellStyle name="Currency 9 2" xfId="173" xr:uid="{00000000-0005-0000-0000-000015020000}"/>
    <cellStyle name="DateStyle" xfId="174" xr:uid="{00000000-0005-0000-0000-000016020000}"/>
    <cellStyle name="DateTimeStyle" xfId="175" xr:uid="{00000000-0005-0000-0000-000017020000}"/>
    <cellStyle name="Decimal" xfId="176" xr:uid="{00000000-0005-0000-0000-000018020000}"/>
    <cellStyle name="DecimalWithBorder" xfId="177" xr:uid="{00000000-0005-0000-0000-000019020000}"/>
    <cellStyle name="DecimalWithBorder 2" xfId="178" xr:uid="{00000000-0005-0000-0000-00001A020000}"/>
    <cellStyle name="DecimalWithBorder 2 2" xfId="179" xr:uid="{00000000-0005-0000-0000-00001B020000}"/>
    <cellStyle name="DecimalWithBorder 2 3" xfId="180" xr:uid="{00000000-0005-0000-0000-00001C020000}"/>
    <cellStyle name="DecimalWithBorder 2 4" xfId="181" xr:uid="{00000000-0005-0000-0000-00001D020000}"/>
    <cellStyle name="DecimalWithBorder 3" xfId="182" xr:uid="{00000000-0005-0000-0000-00001E020000}"/>
    <cellStyle name="DecimalWithBorder 4" xfId="183" xr:uid="{00000000-0005-0000-0000-00001F020000}"/>
    <cellStyle name="DecimalWithBorder 5" xfId="184" xr:uid="{00000000-0005-0000-0000-000020020000}"/>
    <cellStyle name="Énfasis1 2" xfId="185" xr:uid="{00000000-0005-0000-0000-000021020000}"/>
    <cellStyle name="Énfasis1 2 2" xfId="186" xr:uid="{00000000-0005-0000-0000-000022020000}"/>
    <cellStyle name="EuroCurrency" xfId="187" xr:uid="{00000000-0005-0000-0000-000023020000}"/>
    <cellStyle name="EuroCurrencyWithBorder" xfId="188" xr:uid="{00000000-0005-0000-0000-000024020000}"/>
    <cellStyle name="EuroCurrencyWithBorder 2" xfId="189" xr:uid="{00000000-0005-0000-0000-000025020000}"/>
    <cellStyle name="EuroCurrencyWithBorder 2 2" xfId="190" xr:uid="{00000000-0005-0000-0000-000026020000}"/>
    <cellStyle name="EuroCurrencyWithBorder 2 3" xfId="191" xr:uid="{00000000-0005-0000-0000-000027020000}"/>
    <cellStyle name="EuroCurrencyWithBorder 2 4" xfId="192" xr:uid="{00000000-0005-0000-0000-000028020000}"/>
    <cellStyle name="EuroCurrencyWithBorder 3" xfId="193" xr:uid="{00000000-0005-0000-0000-000029020000}"/>
    <cellStyle name="EuroCurrencyWithBorder 4" xfId="194" xr:uid="{00000000-0005-0000-0000-00002A020000}"/>
    <cellStyle name="EuroCurrencyWithBorder 5" xfId="195" xr:uid="{00000000-0005-0000-0000-00002B020000}"/>
    <cellStyle name="HeaderStyle" xfId="196" xr:uid="{00000000-0005-0000-0000-00002C020000}"/>
    <cellStyle name="HeaderSubTop" xfId="197" xr:uid="{00000000-0005-0000-0000-00002D020000}"/>
    <cellStyle name="HeaderSubTopNoBold" xfId="198" xr:uid="{00000000-0005-0000-0000-00002E020000}"/>
    <cellStyle name="HeaderTopBuyer" xfId="199" xr:uid="{00000000-0005-0000-0000-00002F020000}"/>
    <cellStyle name="HeaderTopStyle" xfId="200" xr:uid="{00000000-0005-0000-0000-000030020000}"/>
    <cellStyle name="HeaderTopStyleAlignRight" xfId="201" xr:uid="{00000000-0005-0000-0000-000031020000}"/>
    <cellStyle name="Hipervínculo" xfId="3248" builtinId="8"/>
    <cellStyle name="Hipervínculo visitado" xfId="3249" builtinId="9" hidden="1"/>
    <cellStyle name="Hipervínculo visitado" xfId="3641" builtinId="9" hidden="1"/>
    <cellStyle name="Hipervínculo visitado" xfId="3642" builtinId="9" hidden="1"/>
    <cellStyle name="MainTitle" xfId="202" xr:uid="{00000000-0005-0000-0000-000036020000}"/>
    <cellStyle name="MainTitle 2" xfId="203" xr:uid="{00000000-0005-0000-0000-000037020000}"/>
    <cellStyle name="MainTitle 2 2" xfId="204" xr:uid="{00000000-0005-0000-0000-000038020000}"/>
    <cellStyle name="MainTitle 2 3" xfId="205" xr:uid="{00000000-0005-0000-0000-000039020000}"/>
    <cellStyle name="MainTitle 2 4" xfId="206" xr:uid="{00000000-0005-0000-0000-00003A020000}"/>
    <cellStyle name="MainTitle 3" xfId="207" xr:uid="{00000000-0005-0000-0000-00003B020000}"/>
    <cellStyle name="MainTitle 4" xfId="208" xr:uid="{00000000-0005-0000-0000-00003C020000}"/>
    <cellStyle name="MainTitle 5" xfId="209" xr:uid="{00000000-0005-0000-0000-00003D020000}"/>
    <cellStyle name="Millares" xfId="3" builtinId="3"/>
    <cellStyle name="Millares [0]" xfId="2865" builtinId="6"/>
    <cellStyle name="Millares [0] 10" xfId="6293" xr:uid="{5354F577-B0C0-4E03-BA1B-FEA099850E5B}"/>
    <cellStyle name="Millares [0] 2" xfId="2944" xr:uid="{00000000-0005-0000-0000-000040020000}"/>
    <cellStyle name="Millares [0] 2 10" xfId="6340" xr:uid="{42A65E44-B11A-4293-90F3-5CA1E6B90F4B}"/>
    <cellStyle name="Millares [0] 2 2" xfId="3048" xr:uid="{00000000-0005-0000-0000-000041020000}"/>
    <cellStyle name="Millares [0] 2 2 2" xfId="3246" xr:uid="{00000000-0005-0000-0000-000042020000}"/>
    <cellStyle name="Millares [0] 2 2 2 2" xfId="3639" xr:uid="{00000000-0005-0000-0000-000043020000}"/>
    <cellStyle name="Millares [0] 2 2 2 2 2" xfId="5343" xr:uid="{77230E1D-A1EF-476A-AA4B-724A0B0CF361}"/>
    <cellStyle name="Millares [0] 2 2 2 2 3" xfId="7020" xr:uid="{3A37F072-1D16-44F8-BBBD-9312C1F7509C}"/>
    <cellStyle name="Millares [0] 2 2 2 3" xfId="4034" xr:uid="{00000000-0005-0000-0000-000044020000}"/>
    <cellStyle name="Millares [0] 2 2 2 3 2" xfId="5732" xr:uid="{AE6B1CBC-3959-4720-BF01-54D5A0F2E2B2}"/>
    <cellStyle name="Millares [0] 2 2 2 3 3" xfId="7409" xr:uid="{6E7EA377-3F8D-45D4-8302-1A19E11914CD}"/>
    <cellStyle name="Millares [0] 2 2 2 4" xfId="4541" xr:uid="{D79D1EDF-7FEC-4DB0-96DC-1A8164C22C24}"/>
    <cellStyle name="Millares [0] 2 2 2 4 2" xfId="6222" xr:uid="{E5DC8D42-DBB1-486F-BD6E-1CBE705EDDB6}"/>
    <cellStyle name="Millares [0] 2 2 2 4 3" xfId="7899" xr:uid="{8FBFF579-6731-4C2C-ACB6-A3E4048C7DC6}"/>
    <cellStyle name="Millares [0] 2 2 2 5" xfId="4955" xr:uid="{8E4CD9E1-FD7D-4974-8B34-EE91CBB72AFF}"/>
    <cellStyle name="Millares [0] 2 2 2 6" xfId="6632" xr:uid="{18085202-12FE-4C75-83FF-5122355F2A34}"/>
    <cellStyle name="Millares [0] 2 2 3" xfId="3445" xr:uid="{00000000-0005-0000-0000-000045020000}"/>
    <cellStyle name="Millares [0] 2 2 3 2" xfId="5149" xr:uid="{7485BB90-CCF0-4CE8-AB7D-80557DDCA535}"/>
    <cellStyle name="Millares [0] 2 2 3 3" xfId="6826" xr:uid="{CFB69B07-A3F4-4AB9-98F4-CE5AE832287B}"/>
    <cellStyle name="Millares [0] 2 2 4" xfId="3840" xr:uid="{00000000-0005-0000-0000-000046020000}"/>
    <cellStyle name="Millares [0] 2 2 4 2" xfId="5538" xr:uid="{00155696-F844-4469-8E9B-42D3E986411A}"/>
    <cellStyle name="Millares [0] 2 2 4 3" xfId="7215" xr:uid="{24B550DD-9FAC-4D1D-B090-74CC326213B6}"/>
    <cellStyle name="Millares [0] 2 2 5" xfId="4347" xr:uid="{8AF4E6E0-E569-4102-B8A3-3E239F11A1E7}"/>
    <cellStyle name="Millares [0] 2 2 5 2" xfId="6028" xr:uid="{DE74A223-C00B-4E86-96B3-0AF5EFE1595D}"/>
    <cellStyle name="Millares [0] 2 2 5 3" xfId="7705" xr:uid="{5F77B641-D9AE-491F-876C-E24C930A617D}"/>
    <cellStyle name="Millares [0] 2 2 6" xfId="4761" xr:uid="{0563D6BB-CEFF-4ABE-8D18-6104D6C24827}"/>
    <cellStyle name="Millares [0] 2 2 7" xfId="6438" xr:uid="{BD2EF539-55F4-4C00-A9FD-AA746E72499C}"/>
    <cellStyle name="Millares [0] 2 3" xfId="3051" xr:uid="{00000000-0005-0000-0000-000047020000}"/>
    <cellStyle name="Millares [0] 2 3 2" xfId="3247" xr:uid="{00000000-0005-0000-0000-000048020000}"/>
    <cellStyle name="Millares [0] 2 3 2 2" xfId="3640" xr:uid="{00000000-0005-0000-0000-000049020000}"/>
    <cellStyle name="Millares [0] 2 3 2 2 2" xfId="5344" xr:uid="{AEE42096-C71F-454F-91AD-C4BB832C9DC0}"/>
    <cellStyle name="Millares [0] 2 3 2 2 3" xfId="7021" xr:uid="{68FABCFB-D9BE-47D3-97B1-0EB8A2428D23}"/>
    <cellStyle name="Millares [0] 2 3 2 3" xfId="4035" xr:uid="{00000000-0005-0000-0000-00004A020000}"/>
    <cellStyle name="Millares [0] 2 3 2 3 2" xfId="5733" xr:uid="{C8F30B83-CDBF-4939-B874-7C51A2F196CF}"/>
    <cellStyle name="Millares [0] 2 3 2 3 3" xfId="7410" xr:uid="{963D4F4F-A39B-4E66-92F6-717B0BB7C054}"/>
    <cellStyle name="Millares [0] 2 3 2 4" xfId="4542" xr:uid="{DCAA148E-2FC6-487F-B297-2080CADB9015}"/>
    <cellStyle name="Millares [0] 2 3 2 4 2" xfId="6223" xr:uid="{CD77544A-20B4-4644-B4ED-5CF5062883BF}"/>
    <cellStyle name="Millares [0] 2 3 2 4 3" xfId="7900" xr:uid="{9F937252-D6B8-4D85-BC13-7DFB08BAE419}"/>
    <cellStyle name="Millares [0] 2 3 2 5" xfId="4956" xr:uid="{B80BEFB6-3D93-49DB-BEDA-52B24D91B8CE}"/>
    <cellStyle name="Millares [0] 2 3 2 6" xfId="6633" xr:uid="{508D2C37-3A50-4A6C-BEB8-5B71066DE8B1}"/>
    <cellStyle name="Millares [0] 2 3 3" xfId="3446" xr:uid="{00000000-0005-0000-0000-00004B020000}"/>
    <cellStyle name="Millares [0] 2 3 3 2" xfId="5150" xr:uid="{F4A168AF-7C82-45BF-AB68-B1B775D85E96}"/>
    <cellStyle name="Millares [0] 2 3 3 3" xfId="6827" xr:uid="{4293EAB7-4803-4743-AEE1-337723E16FC1}"/>
    <cellStyle name="Millares [0] 2 3 4" xfId="3841" xr:uid="{00000000-0005-0000-0000-00004C020000}"/>
    <cellStyle name="Millares [0] 2 3 4 2" xfId="5539" xr:uid="{A960F8AE-601A-488A-8CDF-377882DDE39D}"/>
    <cellStyle name="Millares [0] 2 3 4 3" xfId="7216" xr:uid="{0DF819BC-66C7-4E7E-89E8-30AB04EAB806}"/>
    <cellStyle name="Millares [0] 2 3 5" xfId="4348" xr:uid="{83912F78-AB07-412F-A5E5-A393CB66B92D}"/>
    <cellStyle name="Millares [0] 2 3 5 2" xfId="6029" xr:uid="{44A8402B-C833-4C5E-9EE7-7C897DD700E2}"/>
    <cellStyle name="Millares [0] 2 3 5 3" xfId="7706" xr:uid="{B236B6B7-B315-48F6-AE89-AF803E2AE598}"/>
    <cellStyle name="Millares [0] 2 3 6" xfId="4762" xr:uid="{0E80856C-9E90-4AAF-9107-FE996F98A7DF}"/>
    <cellStyle name="Millares [0] 2 3 7" xfId="6439" xr:uid="{17162D58-0B6B-4DAC-B996-7E44EF15F0E4}"/>
    <cellStyle name="Millares [0] 2 4" xfId="3148" xr:uid="{00000000-0005-0000-0000-00004D020000}"/>
    <cellStyle name="Millares [0] 2 4 2" xfId="3541" xr:uid="{00000000-0005-0000-0000-00004E020000}"/>
    <cellStyle name="Millares [0] 2 4 2 2" xfId="5245" xr:uid="{C1F573C7-4FA9-44C0-B83D-33590F64A7BA}"/>
    <cellStyle name="Millares [0] 2 4 2 3" xfId="6922" xr:uid="{5E107055-092B-48F5-B0EB-397A90155618}"/>
    <cellStyle name="Millares [0] 2 4 3" xfId="3936" xr:uid="{00000000-0005-0000-0000-00004F020000}"/>
    <cellStyle name="Millares [0] 2 4 3 2" xfId="5634" xr:uid="{B479A106-2397-4DFC-9AA1-016BA215D490}"/>
    <cellStyle name="Millares [0] 2 4 3 3" xfId="7311" xr:uid="{5A0C8182-8C48-436F-A10A-C74C08569335}"/>
    <cellStyle name="Millares [0] 2 4 4" xfId="4443" xr:uid="{5BD020D2-2AC5-4121-8C00-B422DA493438}"/>
    <cellStyle name="Millares [0] 2 4 4 2" xfId="6124" xr:uid="{F610B168-0985-4B88-845A-B9D0542E4212}"/>
    <cellStyle name="Millares [0] 2 4 4 3" xfId="7801" xr:uid="{B0169994-244E-4CE5-8130-A1EFB281020C}"/>
    <cellStyle name="Millares [0] 2 4 5" xfId="4857" xr:uid="{A0756417-C59E-443A-AA2E-71FDA404D6B4}"/>
    <cellStyle name="Millares [0] 2 4 6" xfId="6534" xr:uid="{D95E7DE7-E6B5-4AA0-A2F6-CDD5EE9DC8A6}"/>
    <cellStyle name="Millares [0] 2 5" xfId="3347" xr:uid="{00000000-0005-0000-0000-000050020000}"/>
    <cellStyle name="Millares [0] 2 5 2" xfId="5051" xr:uid="{FB514DA9-DA17-4CF6-90C4-DEBFCE37097E}"/>
    <cellStyle name="Millares [0] 2 5 3" xfId="6728" xr:uid="{02897B59-AA05-4A4F-A1C8-A4547C56703A}"/>
    <cellStyle name="Millares [0] 2 6" xfId="3742" xr:uid="{00000000-0005-0000-0000-000051020000}"/>
    <cellStyle name="Millares [0] 2 6 2" xfId="5440" xr:uid="{A341EA5E-0152-4F97-B01F-0CD1A7E3D39C}"/>
    <cellStyle name="Millares [0] 2 6 3" xfId="7117" xr:uid="{D9EB38CB-F86D-41FA-BC4C-EED240516A01}"/>
    <cellStyle name="Millares [0] 2 7" xfId="4140" xr:uid="{00000000-0005-0000-0000-000052020000}"/>
    <cellStyle name="Millares [0] 2 7 2" xfId="5832" xr:uid="{A84E9DC4-E16E-425D-A57A-1C2235B812EE}"/>
    <cellStyle name="Millares [0] 2 7 3" xfId="7509" xr:uid="{254B3003-7292-4E4C-B50A-76EF86E74089}"/>
    <cellStyle name="Millares [0] 2 8" xfId="4249" xr:uid="{788AF4A7-2015-41DD-BE75-5DFA3A062A5B}"/>
    <cellStyle name="Millares [0] 2 8 2" xfId="5930" xr:uid="{AA40181C-0878-46C2-8406-6ABC81D5BBF5}"/>
    <cellStyle name="Millares [0] 2 8 3" xfId="7607" xr:uid="{16CC1B79-7B79-49BF-A0C8-145A0B1B8B29}"/>
    <cellStyle name="Millares [0] 2 9" xfId="4663" xr:uid="{DCE5AB10-8EF5-45E2-BE5F-17657E0425AC}"/>
    <cellStyle name="Millares [0] 3" xfId="3001" xr:uid="{00000000-0005-0000-0000-000053020000}"/>
    <cellStyle name="Millares [0] 3 2" xfId="3199" xr:uid="{00000000-0005-0000-0000-000054020000}"/>
    <cellStyle name="Millares [0] 3 2 2" xfId="3592" xr:uid="{00000000-0005-0000-0000-000055020000}"/>
    <cellStyle name="Millares [0] 3 2 2 2" xfId="5296" xr:uid="{4C18660B-EB8F-47E9-94DA-CC7BB9367021}"/>
    <cellStyle name="Millares [0] 3 2 2 3" xfId="6973" xr:uid="{4AE7215C-4CFB-4EFF-A285-9B839BF9A919}"/>
    <cellStyle name="Millares [0] 3 2 3" xfId="3987" xr:uid="{00000000-0005-0000-0000-000056020000}"/>
    <cellStyle name="Millares [0] 3 2 3 2" xfId="5685" xr:uid="{8841B4B1-0997-436B-AFCE-6B13572B9806}"/>
    <cellStyle name="Millares [0] 3 2 3 3" xfId="7362" xr:uid="{933F9D7C-03CF-421F-85F2-B88FF4749189}"/>
    <cellStyle name="Millares [0] 3 2 4" xfId="4494" xr:uid="{10AB3BBC-85DC-488E-89D2-7A1D03FA6B40}"/>
    <cellStyle name="Millares [0] 3 2 4 2" xfId="6175" xr:uid="{09F5C6A0-1EF5-44C4-9076-AD1B5DA5AAB1}"/>
    <cellStyle name="Millares [0] 3 2 4 3" xfId="7852" xr:uid="{3E0A9D40-788E-4263-9AF6-1DB6F79D40E8}"/>
    <cellStyle name="Millares [0] 3 2 5" xfId="4908" xr:uid="{338C9E11-3B8C-4CFB-B7B7-C636F2FCBF0F}"/>
    <cellStyle name="Millares [0] 3 2 6" xfId="6585" xr:uid="{D961D8EF-F2D2-4872-B322-AF6BF6F9E004}"/>
    <cellStyle name="Millares [0] 3 3" xfId="3398" xr:uid="{00000000-0005-0000-0000-000057020000}"/>
    <cellStyle name="Millares [0] 3 3 2" xfId="5102" xr:uid="{23939354-ACEA-4848-8DFF-8F142E8348AC}"/>
    <cellStyle name="Millares [0] 3 3 3" xfId="6779" xr:uid="{1641899B-8546-404F-B36F-056EC373B99F}"/>
    <cellStyle name="Millares [0] 3 4" xfId="3793" xr:uid="{00000000-0005-0000-0000-000058020000}"/>
    <cellStyle name="Millares [0] 3 4 2" xfId="5491" xr:uid="{BE99B6B3-A281-4A1E-94C4-9C68450DD722}"/>
    <cellStyle name="Millares [0] 3 4 3" xfId="7168" xr:uid="{D39D2C87-2BE3-486E-86A0-74664208472B}"/>
    <cellStyle name="Millares [0] 3 5" xfId="4300" xr:uid="{4C2585E8-60F9-4854-B2B1-2958FD2C8B12}"/>
    <cellStyle name="Millares [0] 3 5 2" xfId="5981" xr:uid="{E2D798E0-1FCA-420C-ADB5-8DFA6DFC4238}"/>
    <cellStyle name="Millares [0] 3 5 3" xfId="7658" xr:uid="{62F9A390-448F-4A17-9D87-5FCBDCE6D19A}"/>
    <cellStyle name="Millares [0] 3 6" xfId="4714" xr:uid="{92956E1A-63B8-4101-9456-2D5D8CA19B4D}"/>
    <cellStyle name="Millares [0] 3 7" xfId="6391" xr:uid="{99E230EF-2120-4986-8B36-8CD71B11BA02}"/>
    <cellStyle name="Millares [0] 4" xfId="3101" xr:uid="{00000000-0005-0000-0000-000059020000}"/>
    <cellStyle name="Millares [0] 4 2" xfId="3494" xr:uid="{00000000-0005-0000-0000-00005A020000}"/>
    <cellStyle name="Millares [0] 4 2 2" xfId="5198" xr:uid="{E9211E51-4AF2-4A60-9E2A-2F5251B30934}"/>
    <cellStyle name="Millares [0] 4 2 3" xfId="6875" xr:uid="{9BF653D5-F5E8-4676-A200-9DBA883A1BBB}"/>
    <cellStyle name="Millares [0] 4 3" xfId="3889" xr:uid="{00000000-0005-0000-0000-00005B020000}"/>
    <cellStyle name="Millares [0] 4 3 2" xfId="5587" xr:uid="{E89968E5-F8BE-4691-ABEE-981893C3BDF5}"/>
    <cellStyle name="Millares [0] 4 3 3" xfId="7264" xr:uid="{2D2A8F7D-1984-406A-A10E-F667031523F0}"/>
    <cellStyle name="Millares [0] 4 4" xfId="4396" xr:uid="{60BF426C-0A90-425A-8236-0D86B3AD2BF7}"/>
    <cellStyle name="Millares [0] 4 4 2" xfId="6077" xr:uid="{D12439FF-195B-457A-A4CE-2B68D80D7F13}"/>
    <cellStyle name="Millares [0] 4 4 3" xfId="7754" xr:uid="{70855620-CDC7-42BA-B6B3-9BE541AF1650}"/>
    <cellStyle name="Millares [0] 4 5" xfId="4810" xr:uid="{F85843AD-12A2-48F2-8C3F-897C1F9A7141}"/>
    <cellStyle name="Millares [0] 4 6" xfId="6487" xr:uid="{DA64AF84-598B-4FC5-8278-28D29BF68AB0}"/>
    <cellStyle name="Millares [0] 5" xfId="3300" xr:uid="{00000000-0005-0000-0000-00005C020000}"/>
    <cellStyle name="Millares [0] 5 2" xfId="5004" xr:uid="{8E1F96A9-CB6D-4065-A0DA-AE28BC6A58A0}"/>
    <cellStyle name="Millares [0] 5 3" xfId="6681" xr:uid="{78BB91A9-A2CB-49BB-81D6-DA2E4D4352D7}"/>
    <cellStyle name="Millares [0] 6" xfId="3695" xr:uid="{00000000-0005-0000-0000-00005D020000}"/>
    <cellStyle name="Millares [0] 6 2" xfId="5393" xr:uid="{94500F2C-C27F-4A71-A2B7-F0B11E9C7319}"/>
    <cellStyle name="Millares [0] 6 3" xfId="7070" xr:uid="{1C096876-3EA2-4D90-B033-FEB3ACB8C269}"/>
    <cellStyle name="Millares [0] 7" xfId="4093" xr:uid="{00000000-0005-0000-0000-00005E020000}"/>
    <cellStyle name="Millares [0] 7 2" xfId="5785" xr:uid="{E84D7586-C233-42ED-8FFD-E1D6868AAC2B}"/>
    <cellStyle name="Millares [0] 7 3" xfId="7462" xr:uid="{5F6A5DE3-9F83-4202-9DD4-FD9909761F38}"/>
    <cellStyle name="Millares [0] 8" xfId="4202" xr:uid="{6DD615F3-405F-4A80-8C43-FA7DB0A11338}"/>
    <cellStyle name="Millares [0] 8 2" xfId="5883" xr:uid="{5A6DF71C-FA89-4F48-B1E1-B605E0101AC5}"/>
    <cellStyle name="Millares [0] 8 3" xfId="7560" xr:uid="{D1C261B0-9567-4202-A7BC-E3E59E256115}"/>
    <cellStyle name="Millares [0] 9" xfId="4616" xr:uid="{C58BEFEA-B41D-4C38-A204-039B7873B06D}"/>
    <cellStyle name="Millares 10" xfId="210" xr:uid="{00000000-0005-0000-0000-00005F020000}"/>
    <cellStyle name="Millares 10 10" xfId="4580" xr:uid="{F52E20A1-7B23-43A5-99BC-65CBC6E5F92F}"/>
    <cellStyle name="Millares 10 11" xfId="6257" xr:uid="{4CE82C0C-E459-47C2-BF3E-B89E17299323}"/>
    <cellStyle name="Millares 10 2" xfId="211" xr:uid="{00000000-0005-0000-0000-000060020000}"/>
    <cellStyle name="Millares 10 2 10" xfId="6258" xr:uid="{995F6000-775C-418E-9341-AFD3A955DA9F}"/>
    <cellStyle name="Millares 10 2 2" xfId="2886" xr:uid="{00000000-0005-0000-0000-000061020000}"/>
    <cellStyle name="Millares 10 2 2 2" xfId="3018" xr:uid="{00000000-0005-0000-0000-000062020000}"/>
    <cellStyle name="Millares 10 2 2 2 2" xfId="3216" xr:uid="{00000000-0005-0000-0000-000063020000}"/>
    <cellStyle name="Millares 10 2 2 2 2 2" xfId="3609" xr:uid="{00000000-0005-0000-0000-000064020000}"/>
    <cellStyle name="Millares 10 2 2 2 2 2 2" xfId="5313" xr:uid="{70150456-F880-4CD5-9734-A4C297183752}"/>
    <cellStyle name="Millares 10 2 2 2 2 2 3" xfId="6990" xr:uid="{87DE4A9D-C454-4560-8AE9-0FFA7D1CF615}"/>
    <cellStyle name="Millares 10 2 2 2 2 3" xfId="4004" xr:uid="{00000000-0005-0000-0000-000065020000}"/>
    <cellStyle name="Millares 10 2 2 2 2 3 2" xfId="5702" xr:uid="{087C9DAA-8172-4900-A51A-8E11D85F776A}"/>
    <cellStyle name="Millares 10 2 2 2 2 3 3" xfId="7379" xr:uid="{614F2E5D-D292-47F3-8809-8F591DC52C6C}"/>
    <cellStyle name="Millares 10 2 2 2 2 4" xfId="4511" xr:uid="{0ECBF862-10F3-485A-A8C0-BDE9BD22EF6E}"/>
    <cellStyle name="Millares 10 2 2 2 2 4 2" xfId="6192" xr:uid="{1E939C92-9FFB-4623-AF7F-BDBECF4E85E6}"/>
    <cellStyle name="Millares 10 2 2 2 2 4 3" xfId="7869" xr:uid="{B7EEE5D6-977F-46D0-B121-0CFA4C2E4B5A}"/>
    <cellStyle name="Millares 10 2 2 2 2 5" xfId="4925" xr:uid="{152E4BE9-CA29-4004-82B6-034CB4187B7C}"/>
    <cellStyle name="Millares 10 2 2 2 2 6" xfId="6602" xr:uid="{FE80B4BE-078B-4F76-817D-0F6C6D5E0A3A}"/>
    <cellStyle name="Millares 10 2 2 2 3" xfId="3415" xr:uid="{00000000-0005-0000-0000-000066020000}"/>
    <cellStyle name="Millares 10 2 2 2 3 2" xfId="5119" xr:uid="{C8B520FF-2EC5-475E-9DF4-351561B65B87}"/>
    <cellStyle name="Millares 10 2 2 2 3 3" xfId="6796" xr:uid="{0B33F93A-DF6E-49CC-8476-FDDEBEA9433B}"/>
    <cellStyle name="Millares 10 2 2 2 4" xfId="3810" xr:uid="{00000000-0005-0000-0000-000067020000}"/>
    <cellStyle name="Millares 10 2 2 2 4 2" xfId="5508" xr:uid="{510FDE49-54FE-44F9-AB04-862ADC535EEE}"/>
    <cellStyle name="Millares 10 2 2 2 4 3" xfId="7185" xr:uid="{ED5BDC7E-66D6-4500-87F9-A600C866F985}"/>
    <cellStyle name="Millares 10 2 2 2 5" xfId="4317" xr:uid="{CF06F2C9-D1F1-4624-B9A8-FEA5A6032B18}"/>
    <cellStyle name="Millares 10 2 2 2 5 2" xfId="5998" xr:uid="{623D89CE-6CEF-475F-94A7-32DF90E40338}"/>
    <cellStyle name="Millares 10 2 2 2 5 3" xfId="7675" xr:uid="{D1975F65-401C-4052-BE87-AC9E4D1D8F6B}"/>
    <cellStyle name="Millares 10 2 2 2 6" xfId="4731" xr:uid="{2D38DFAE-405D-471B-9007-C9B30305533E}"/>
    <cellStyle name="Millares 10 2 2 2 7" xfId="6408" xr:uid="{07155E1E-F268-4374-91E6-97E17B1FE711}"/>
    <cellStyle name="Millares 10 2 2 3" xfId="3118" xr:uid="{00000000-0005-0000-0000-000068020000}"/>
    <cellStyle name="Millares 10 2 2 3 2" xfId="3511" xr:uid="{00000000-0005-0000-0000-000069020000}"/>
    <cellStyle name="Millares 10 2 2 3 2 2" xfId="5215" xr:uid="{BB6710D4-3C05-4EA7-9F40-4FAD9ED3FC12}"/>
    <cellStyle name="Millares 10 2 2 3 2 3" xfId="6892" xr:uid="{FE3037B5-F93D-4F6A-BFD3-9A2304300534}"/>
    <cellStyle name="Millares 10 2 2 3 3" xfId="3906" xr:uid="{00000000-0005-0000-0000-00006A020000}"/>
    <cellStyle name="Millares 10 2 2 3 3 2" xfId="5604" xr:uid="{6A0155B7-0902-4151-99BA-6198C558F11B}"/>
    <cellStyle name="Millares 10 2 2 3 3 3" xfId="7281" xr:uid="{73E17878-7330-40D1-9218-76B655440014}"/>
    <cellStyle name="Millares 10 2 2 3 4" xfId="4413" xr:uid="{F655BD65-33DB-4B25-AC2A-ACB0A9E590E8}"/>
    <cellStyle name="Millares 10 2 2 3 4 2" xfId="6094" xr:uid="{F1151F21-DB92-41FE-B626-55D4584C42AA}"/>
    <cellStyle name="Millares 10 2 2 3 4 3" xfId="7771" xr:uid="{8EEA24C7-68D3-4973-8CA4-BBC11C16BCE9}"/>
    <cellStyle name="Millares 10 2 2 3 5" xfId="4827" xr:uid="{5B384F00-436D-4188-93C8-2641476F807B}"/>
    <cellStyle name="Millares 10 2 2 3 6" xfId="6504" xr:uid="{2DF6807E-5B2A-4B8C-89A5-B6915ED6587C}"/>
    <cellStyle name="Millares 10 2 2 4" xfId="3317" xr:uid="{00000000-0005-0000-0000-00006B020000}"/>
    <cellStyle name="Millares 10 2 2 4 2" xfId="5021" xr:uid="{488098E9-0160-4DF1-902B-D649C2640324}"/>
    <cellStyle name="Millares 10 2 2 4 3" xfId="6698" xr:uid="{C6CB97E0-84BD-439B-B31D-B045A75F9239}"/>
    <cellStyle name="Millares 10 2 2 5" xfId="3712" xr:uid="{00000000-0005-0000-0000-00006C020000}"/>
    <cellStyle name="Millares 10 2 2 5 2" xfId="5410" xr:uid="{0593E0D7-D76B-4F8E-A9E1-3296565D3A61}"/>
    <cellStyle name="Millares 10 2 2 5 3" xfId="7087" xr:uid="{71E39854-21C5-4A24-AE8E-7EA07354E4B2}"/>
    <cellStyle name="Millares 10 2 2 6" xfId="4110" xr:uid="{00000000-0005-0000-0000-00006D020000}"/>
    <cellStyle name="Millares 10 2 2 6 2" xfId="5802" xr:uid="{45C3BED3-4360-4CF8-B5F0-A3DB7775D46A}"/>
    <cellStyle name="Millares 10 2 2 6 3" xfId="7479" xr:uid="{3249A75D-F92C-4182-829C-6D0E852B06AF}"/>
    <cellStyle name="Millares 10 2 2 7" xfId="4219" xr:uid="{73059A52-7EDB-450B-A32B-03F5AC4BCC66}"/>
    <cellStyle name="Millares 10 2 2 7 2" xfId="5900" xr:uid="{F19D26ED-FF06-4B34-AF9E-E4BB5E5D1956}"/>
    <cellStyle name="Millares 10 2 2 7 3" xfId="7577" xr:uid="{370079AB-F974-4543-BBBF-DBBCB0A609F2}"/>
    <cellStyle name="Millares 10 2 2 8" xfId="4633" xr:uid="{7F352B2F-70ED-407E-ACDB-FEE5372F61C7}"/>
    <cellStyle name="Millares 10 2 2 9" xfId="6310" xr:uid="{EC0874ED-5BEF-46E9-819C-6A1B8B10CB04}"/>
    <cellStyle name="Millares 10 2 3" xfId="2963" xr:uid="{00000000-0005-0000-0000-00006E020000}"/>
    <cellStyle name="Millares 10 2 3 2" xfId="3165" xr:uid="{00000000-0005-0000-0000-00006F020000}"/>
    <cellStyle name="Millares 10 2 3 2 2" xfId="3558" xr:uid="{00000000-0005-0000-0000-000070020000}"/>
    <cellStyle name="Millares 10 2 3 2 2 2" xfId="5262" xr:uid="{1EE3439E-A653-4209-AD48-BD1DA80E9E36}"/>
    <cellStyle name="Millares 10 2 3 2 2 3" xfId="6939" xr:uid="{B9D51FF1-CEBF-4FD9-B2FE-A600B4BA02B7}"/>
    <cellStyle name="Millares 10 2 3 2 3" xfId="3953" xr:uid="{00000000-0005-0000-0000-000071020000}"/>
    <cellStyle name="Millares 10 2 3 2 3 2" xfId="5651" xr:uid="{E0321BC6-9C09-4A2E-8C49-2A3CEF8B38CF}"/>
    <cellStyle name="Millares 10 2 3 2 3 3" xfId="7328" xr:uid="{F403513E-37B9-453E-9FB7-7E5F5FB1640D}"/>
    <cellStyle name="Millares 10 2 3 2 4" xfId="4460" xr:uid="{0A30D86A-FA9A-4A40-8AD0-B196E9363884}"/>
    <cellStyle name="Millares 10 2 3 2 4 2" xfId="6141" xr:uid="{5F80F15A-91AA-4B0F-AFCD-7A0401E09B24}"/>
    <cellStyle name="Millares 10 2 3 2 4 3" xfId="7818" xr:uid="{5114B1D4-C875-42AD-95C0-7DA78A174355}"/>
    <cellStyle name="Millares 10 2 3 2 5" xfId="4874" xr:uid="{A472CEF5-C06B-4AC7-8F52-D7F9E4E3D7D2}"/>
    <cellStyle name="Millares 10 2 3 2 6" xfId="6551" xr:uid="{6769A7C9-904D-44B7-880F-363B22D90C93}"/>
    <cellStyle name="Millares 10 2 3 3" xfId="3364" xr:uid="{00000000-0005-0000-0000-000072020000}"/>
    <cellStyle name="Millares 10 2 3 3 2" xfId="5068" xr:uid="{B33A58D1-9E6B-447B-9684-F12636B7E398}"/>
    <cellStyle name="Millares 10 2 3 3 3" xfId="6745" xr:uid="{62139FF7-E2AF-4078-8625-C056B2135274}"/>
    <cellStyle name="Millares 10 2 3 4" xfId="3759" xr:uid="{00000000-0005-0000-0000-000073020000}"/>
    <cellStyle name="Millares 10 2 3 4 2" xfId="5457" xr:uid="{07D51B3A-4C3B-43DD-AB44-44EED61991A9}"/>
    <cellStyle name="Millares 10 2 3 4 3" xfId="7134" xr:uid="{A2089476-5FEB-4BD4-99CB-2FC0187ABD40}"/>
    <cellStyle name="Millares 10 2 3 5" xfId="4266" xr:uid="{5B53ECBD-9392-486B-BF24-7BCB88A330CC}"/>
    <cellStyle name="Millares 10 2 3 5 2" xfId="5947" xr:uid="{78C278D3-9F47-4C2E-8237-2F9EB552170E}"/>
    <cellStyle name="Millares 10 2 3 5 3" xfId="7624" xr:uid="{61D92E1D-72A0-4CBB-AA81-EA2CF418E6E9}"/>
    <cellStyle name="Millares 10 2 3 6" xfId="4680" xr:uid="{952B3C59-B875-4946-98EB-D580FAD3C004}"/>
    <cellStyle name="Millares 10 2 3 7" xfId="6357" xr:uid="{EA191ECD-93EF-4579-8D33-62D5DB7AE933}"/>
    <cellStyle name="Millares 10 2 4" xfId="3069" xr:uid="{00000000-0005-0000-0000-000074020000}"/>
    <cellStyle name="Millares 10 2 4 2" xfId="3462" xr:uid="{00000000-0005-0000-0000-000075020000}"/>
    <cellStyle name="Millares 10 2 4 2 2" xfId="5166" xr:uid="{4008A0D9-9790-4EEF-832B-7C46ED62E08A}"/>
    <cellStyle name="Millares 10 2 4 2 3" xfId="6843" xr:uid="{B904EB82-F13E-45F7-A2C1-E0696BFD29DC}"/>
    <cellStyle name="Millares 10 2 4 3" xfId="3857" xr:uid="{00000000-0005-0000-0000-000076020000}"/>
    <cellStyle name="Millares 10 2 4 3 2" xfId="5555" xr:uid="{0F7D8D68-BBCE-45CD-ADB9-56C7B9607D8D}"/>
    <cellStyle name="Millares 10 2 4 3 3" xfId="7232" xr:uid="{79E970E4-098E-4F00-9D99-AFABB1DEDD8D}"/>
    <cellStyle name="Millares 10 2 4 4" xfId="4364" xr:uid="{DC7545EF-64C2-4BAC-9E01-5DDB554FC80B}"/>
    <cellStyle name="Millares 10 2 4 4 2" xfId="6045" xr:uid="{81155866-3BE3-4A67-A24F-5642E43F08A5}"/>
    <cellStyle name="Millares 10 2 4 4 3" xfId="7722" xr:uid="{BD036537-4272-44FA-A5EA-39024DE1BFEA}"/>
    <cellStyle name="Millares 10 2 4 5" xfId="4778" xr:uid="{15A2361D-AE7C-4B10-A342-BE4D277D49B3}"/>
    <cellStyle name="Millares 10 2 4 6" xfId="6455" xr:uid="{F325DF56-EB02-4BCD-9723-F7008FDD1E89}"/>
    <cellStyle name="Millares 10 2 5" xfId="3267" xr:uid="{00000000-0005-0000-0000-000077020000}"/>
    <cellStyle name="Millares 10 2 5 2" xfId="4972" xr:uid="{94A3F453-4556-4FD3-8557-126887DA71E4}"/>
    <cellStyle name="Millares 10 2 5 3" xfId="6649" xr:uid="{6D460247-ED15-4924-9F2C-71688EA7A5A1}"/>
    <cellStyle name="Millares 10 2 6" xfId="3661" xr:uid="{00000000-0005-0000-0000-000078020000}"/>
    <cellStyle name="Millares 10 2 6 2" xfId="5360" xr:uid="{C006C4EE-F3C5-459D-9A9A-59896D12C475}"/>
    <cellStyle name="Millares 10 2 6 3" xfId="7037" xr:uid="{E6E3FC2A-F97D-43DA-9E95-290BABFD76F6}"/>
    <cellStyle name="Millares 10 2 7" xfId="4059" xr:uid="{00000000-0005-0000-0000-000079020000}"/>
    <cellStyle name="Millares 10 2 7 2" xfId="5751" xr:uid="{8B6D66A1-AF0C-4956-B883-860CC1FCA8C3}"/>
    <cellStyle name="Millares 10 2 7 3" xfId="7428" xr:uid="{7605D562-81AE-4ED3-A798-B63B489BF2BA}"/>
    <cellStyle name="Millares 10 2 8" xfId="4164" xr:uid="{DF93405C-1CF9-4CB6-8700-03E202E71D73}"/>
    <cellStyle name="Millares 10 2 8 2" xfId="5849" xr:uid="{86E1F37F-9308-471B-B048-4D311432A4C2}"/>
    <cellStyle name="Millares 10 2 8 3" xfId="7526" xr:uid="{E08A4438-D1F6-4971-BC38-56C88D168170}"/>
    <cellStyle name="Millares 10 2 9" xfId="4581" xr:uid="{2D7EB02D-A59A-409C-B738-5D1572D0D201}"/>
    <cellStyle name="Millares 10 3" xfId="2885" xr:uid="{00000000-0005-0000-0000-00007A020000}"/>
    <cellStyle name="Millares 10 3 2" xfId="3017" xr:uid="{00000000-0005-0000-0000-00007B020000}"/>
    <cellStyle name="Millares 10 3 2 2" xfId="3215" xr:uid="{00000000-0005-0000-0000-00007C020000}"/>
    <cellStyle name="Millares 10 3 2 2 2" xfId="3608" xr:uid="{00000000-0005-0000-0000-00007D020000}"/>
    <cellStyle name="Millares 10 3 2 2 2 2" xfId="5312" xr:uid="{0D6198AB-CE71-4201-9C77-586F21DB8D2E}"/>
    <cellStyle name="Millares 10 3 2 2 2 3" xfId="6989" xr:uid="{4877E128-150A-4FF6-A16F-B4830CFA44CA}"/>
    <cellStyle name="Millares 10 3 2 2 3" xfId="4003" xr:uid="{00000000-0005-0000-0000-00007E020000}"/>
    <cellStyle name="Millares 10 3 2 2 3 2" xfId="5701" xr:uid="{6D6EC340-C3DF-4AE2-96CB-2E596E24F619}"/>
    <cellStyle name="Millares 10 3 2 2 3 3" xfId="7378" xr:uid="{D5E9F744-EB85-49FB-8257-1DE6FEA70D43}"/>
    <cellStyle name="Millares 10 3 2 2 4" xfId="4510" xr:uid="{B5039FEA-3CE6-4DBB-8FB9-047067BA9866}"/>
    <cellStyle name="Millares 10 3 2 2 4 2" xfId="6191" xr:uid="{0B43CAD3-FBC3-4C35-8B96-09D86B2F90B1}"/>
    <cellStyle name="Millares 10 3 2 2 4 3" xfId="7868" xr:uid="{B5F10836-5E6C-4CEC-AE7B-5F7C513BFF6B}"/>
    <cellStyle name="Millares 10 3 2 2 5" xfId="4924" xr:uid="{06C679B3-4A57-4871-B7FF-446108389B24}"/>
    <cellStyle name="Millares 10 3 2 2 6" xfId="6601" xr:uid="{FA081105-7D4A-4F4F-A252-79398850546B}"/>
    <cellStyle name="Millares 10 3 2 3" xfId="3414" xr:uid="{00000000-0005-0000-0000-00007F020000}"/>
    <cellStyle name="Millares 10 3 2 3 2" xfId="5118" xr:uid="{04AA0E5B-F731-4948-967A-B14386BB15E7}"/>
    <cellStyle name="Millares 10 3 2 3 3" xfId="6795" xr:uid="{4B81D9F8-6C07-467A-948E-AF60934EC7B4}"/>
    <cellStyle name="Millares 10 3 2 4" xfId="3809" xr:uid="{00000000-0005-0000-0000-000080020000}"/>
    <cellStyle name="Millares 10 3 2 4 2" xfId="5507" xr:uid="{A98EC463-0A8C-4B59-A201-9560EFAB2A7B}"/>
    <cellStyle name="Millares 10 3 2 4 3" xfId="7184" xr:uid="{D346487D-2446-4FA7-AD52-21ABA03FDF7E}"/>
    <cellStyle name="Millares 10 3 2 5" xfId="4316" xr:uid="{B67F4FB8-AF30-42BC-8985-812F35D2C052}"/>
    <cellStyle name="Millares 10 3 2 5 2" xfId="5997" xr:uid="{DFC902E9-4715-4792-BCA0-03F4F43A746F}"/>
    <cellStyle name="Millares 10 3 2 5 3" xfId="7674" xr:uid="{E4F259A9-37C2-4515-97D7-F30866896B20}"/>
    <cellStyle name="Millares 10 3 2 6" xfId="4730" xr:uid="{8CFD2AED-3209-4054-8227-E6CBF09FA670}"/>
    <cellStyle name="Millares 10 3 2 7" xfId="6407" xr:uid="{03A39B27-7805-469F-B8AE-C737CF74E1BE}"/>
    <cellStyle name="Millares 10 3 3" xfId="3117" xr:uid="{00000000-0005-0000-0000-000081020000}"/>
    <cellStyle name="Millares 10 3 3 2" xfId="3510" xr:uid="{00000000-0005-0000-0000-000082020000}"/>
    <cellStyle name="Millares 10 3 3 2 2" xfId="5214" xr:uid="{F4CE3836-CD19-4E2E-984B-C78EAEC8C278}"/>
    <cellStyle name="Millares 10 3 3 2 3" xfId="6891" xr:uid="{3E245AE3-D823-4AFA-A0E6-C012840B340A}"/>
    <cellStyle name="Millares 10 3 3 3" xfId="3905" xr:uid="{00000000-0005-0000-0000-000083020000}"/>
    <cellStyle name="Millares 10 3 3 3 2" xfId="5603" xr:uid="{A79414D7-C3F3-4050-9239-5322C8AAB0B9}"/>
    <cellStyle name="Millares 10 3 3 3 3" xfId="7280" xr:uid="{E3AB36CC-B8F1-46EB-A9CA-0111CC6DEF6C}"/>
    <cellStyle name="Millares 10 3 3 4" xfId="4412" xr:uid="{F56D7DC5-CB6D-47F7-9155-6BC2DAC49035}"/>
    <cellStyle name="Millares 10 3 3 4 2" xfId="6093" xr:uid="{AD3D2DC9-E929-415C-ACDB-686C28A38C12}"/>
    <cellStyle name="Millares 10 3 3 4 3" xfId="7770" xr:uid="{412C9599-C69C-4EF1-AD94-E007885D076F}"/>
    <cellStyle name="Millares 10 3 3 5" xfId="4826" xr:uid="{92112637-A9D5-4EF0-BCDE-C01074D2E019}"/>
    <cellStyle name="Millares 10 3 3 6" xfId="6503" xr:uid="{7F9A10FA-B91C-41A2-B227-47068D939AD8}"/>
    <cellStyle name="Millares 10 3 4" xfId="3316" xr:uid="{00000000-0005-0000-0000-000084020000}"/>
    <cellStyle name="Millares 10 3 4 2" xfId="5020" xr:uid="{483AC12C-6D0B-4201-BB20-A7F667057055}"/>
    <cellStyle name="Millares 10 3 4 3" xfId="6697" xr:uid="{A5CA7A2C-8F60-4A81-A41E-9C7656D975D7}"/>
    <cellStyle name="Millares 10 3 5" xfId="3711" xr:uid="{00000000-0005-0000-0000-000085020000}"/>
    <cellStyle name="Millares 10 3 5 2" xfId="5409" xr:uid="{68DDA8B0-71A1-4016-B674-D0DCFE83C670}"/>
    <cellStyle name="Millares 10 3 5 3" xfId="7086" xr:uid="{DDCD72EE-8010-4AEE-A5B7-796144279DB0}"/>
    <cellStyle name="Millares 10 3 6" xfId="4109" xr:uid="{00000000-0005-0000-0000-000086020000}"/>
    <cellStyle name="Millares 10 3 6 2" xfId="5801" xr:uid="{D44A1320-033B-481F-B574-EEEC79DE7317}"/>
    <cellStyle name="Millares 10 3 6 3" xfId="7478" xr:uid="{E2F426AE-95F8-487E-ACAC-2DA76DD24BA7}"/>
    <cellStyle name="Millares 10 3 7" xfId="4218" xr:uid="{27F78F3B-C79A-4E02-83C8-6B566BB423B2}"/>
    <cellStyle name="Millares 10 3 7 2" xfId="5899" xr:uid="{545976F2-5878-4A85-8DE3-1B0BF5C3DAD3}"/>
    <cellStyle name="Millares 10 3 7 3" xfId="7576" xr:uid="{51AC7520-EE5F-415B-9B5D-41127B662021}"/>
    <cellStyle name="Millares 10 3 8" xfId="4632" xr:uid="{FCAD8293-7124-4880-804A-BB44CF610A80}"/>
    <cellStyle name="Millares 10 3 9" xfId="6309" xr:uid="{9BD9CC70-BC7F-451A-82D3-4E4AE0DC8819}"/>
    <cellStyle name="Millares 10 4" xfId="2962" xr:uid="{00000000-0005-0000-0000-000087020000}"/>
    <cellStyle name="Millares 10 4 2" xfId="3164" xr:uid="{00000000-0005-0000-0000-000088020000}"/>
    <cellStyle name="Millares 10 4 2 2" xfId="3557" xr:uid="{00000000-0005-0000-0000-000089020000}"/>
    <cellStyle name="Millares 10 4 2 2 2" xfId="5261" xr:uid="{BA19AD8E-328D-4C08-BA9F-AD5C78832CA8}"/>
    <cellStyle name="Millares 10 4 2 2 3" xfId="6938" xr:uid="{15DABA3A-74C0-489D-9F20-FE516B870865}"/>
    <cellStyle name="Millares 10 4 2 3" xfId="3952" xr:uid="{00000000-0005-0000-0000-00008A020000}"/>
    <cellStyle name="Millares 10 4 2 3 2" xfId="5650" xr:uid="{B2A38ACB-03FC-40B1-9853-BEE4ABA49BBC}"/>
    <cellStyle name="Millares 10 4 2 3 3" xfId="7327" xr:uid="{02BF16C9-6E4B-4093-AC94-7FC33EEB04A2}"/>
    <cellStyle name="Millares 10 4 2 4" xfId="4459" xr:uid="{D88CE7CD-2F39-4D78-B053-6FF6933C9848}"/>
    <cellStyle name="Millares 10 4 2 4 2" xfId="6140" xr:uid="{D6ED4832-5620-4FDD-8315-C3F749B88693}"/>
    <cellStyle name="Millares 10 4 2 4 3" xfId="7817" xr:uid="{93988CDC-3FFC-4BC1-8C67-9BB1C79CDDBC}"/>
    <cellStyle name="Millares 10 4 2 5" xfId="4873" xr:uid="{E6895950-C901-408A-A27F-4C2F735669D4}"/>
    <cellStyle name="Millares 10 4 2 6" xfId="6550" xr:uid="{3E8A9FC5-7B42-462D-B283-A133DE2A0EAA}"/>
    <cellStyle name="Millares 10 4 3" xfId="3363" xr:uid="{00000000-0005-0000-0000-00008B020000}"/>
    <cellStyle name="Millares 10 4 3 2" xfId="5067" xr:uid="{F2919CF3-725E-40F1-8985-DD4F06ED8F5C}"/>
    <cellStyle name="Millares 10 4 3 3" xfId="6744" xr:uid="{A6E12344-5248-43AF-B82A-B5DDB59527C2}"/>
    <cellStyle name="Millares 10 4 4" xfId="3758" xr:uid="{00000000-0005-0000-0000-00008C020000}"/>
    <cellStyle name="Millares 10 4 4 2" xfId="5456" xr:uid="{D7AA4856-CF78-4184-972F-106433C633C5}"/>
    <cellStyle name="Millares 10 4 4 3" xfId="7133" xr:uid="{70CAACA0-9B32-4592-8C90-AB5A46ED8849}"/>
    <cellStyle name="Millares 10 4 5" xfId="4265" xr:uid="{20C2F7E9-FBAD-4489-96DC-EBA40A577B4D}"/>
    <cellStyle name="Millares 10 4 5 2" xfId="5946" xr:uid="{9441BFFF-102C-4B12-B8EF-A6CE9880EA71}"/>
    <cellStyle name="Millares 10 4 5 3" xfId="7623" xr:uid="{3F4A986A-7DEA-4D36-957D-A42420C43862}"/>
    <cellStyle name="Millares 10 4 6" xfId="4679" xr:uid="{EA054DE7-1162-49C5-8F92-3F47C9DBDBC1}"/>
    <cellStyle name="Millares 10 4 7" xfId="6356" xr:uid="{6032397B-A0F9-409E-897A-050F7FB24F7F}"/>
    <cellStyle name="Millares 10 5" xfId="3068" xr:uid="{00000000-0005-0000-0000-00008D020000}"/>
    <cellStyle name="Millares 10 5 2" xfId="3461" xr:uid="{00000000-0005-0000-0000-00008E020000}"/>
    <cellStyle name="Millares 10 5 2 2" xfId="5165" xr:uid="{6395F375-85CA-46A8-A12D-4524E3C1810F}"/>
    <cellStyle name="Millares 10 5 2 3" xfId="6842" xr:uid="{DE214F94-4332-4B44-88EE-0E260C47B2C6}"/>
    <cellStyle name="Millares 10 5 3" xfId="3856" xr:uid="{00000000-0005-0000-0000-00008F020000}"/>
    <cellStyle name="Millares 10 5 3 2" xfId="5554" xr:uid="{2BF78F48-F8F4-45A7-8DAD-80CAB03AC185}"/>
    <cellStyle name="Millares 10 5 3 3" xfId="7231" xr:uid="{5DD858F0-BE19-4E5B-AA1F-69176636A99F}"/>
    <cellStyle name="Millares 10 5 4" xfId="4363" xr:uid="{45EE2108-E6FE-456A-BF9A-ADDEF41F8432}"/>
    <cellStyle name="Millares 10 5 4 2" xfId="6044" xr:uid="{B2B236A6-5889-4AB1-B91D-F84FC8042408}"/>
    <cellStyle name="Millares 10 5 4 3" xfId="7721" xr:uid="{7513ED77-1252-4E3C-894E-A9C46430E350}"/>
    <cellStyle name="Millares 10 5 5" xfId="4777" xr:uid="{830F7F6C-49D8-44CF-B718-2AE0010AAA62}"/>
    <cellStyle name="Millares 10 5 6" xfId="6454" xr:uid="{3B9D952D-EC93-4035-B818-7D256C913FC3}"/>
    <cellStyle name="Millares 10 6" xfId="3266" xr:uid="{00000000-0005-0000-0000-000090020000}"/>
    <cellStyle name="Millares 10 6 2" xfId="4971" xr:uid="{37FBFD60-ACC8-4D23-A377-F402813F8108}"/>
    <cellStyle name="Millares 10 6 3" xfId="6648" xr:uid="{28D4B5A3-50F8-448A-B04D-5756187B754E}"/>
    <cellStyle name="Millares 10 7" xfId="3660" xr:uid="{00000000-0005-0000-0000-000091020000}"/>
    <cellStyle name="Millares 10 7 2" xfId="5359" xr:uid="{080AD426-FC71-49F1-9674-417036A3A2B2}"/>
    <cellStyle name="Millares 10 7 3" xfId="7036" xr:uid="{68354AEB-8B6E-49AE-A181-6D4C652FB7D5}"/>
    <cellStyle name="Millares 10 8" xfId="4058" xr:uid="{00000000-0005-0000-0000-000092020000}"/>
    <cellStyle name="Millares 10 8 2" xfId="5750" xr:uid="{7780BD3C-2BE3-42E8-8BAB-54601F69A82D}"/>
    <cellStyle name="Millares 10 8 3" xfId="7427" xr:uid="{B1CE1A10-0CB3-4B6B-B217-33B21E5ED4B6}"/>
    <cellStyle name="Millares 10 9" xfId="4163" xr:uid="{15717FA4-0F62-4446-8002-5C162986FAAB}"/>
    <cellStyle name="Millares 10 9 2" xfId="5848" xr:uid="{697FB33D-98AA-4908-A3A1-76EFCE62BF18}"/>
    <cellStyle name="Millares 10 9 3" xfId="7525" xr:uid="{35C39C3D-8CB4-45F0-90A4-1D13705695BF}"/>
    <cellStyle name="Millares 11" xfId="2868" xr:uid="{00000000-0005-0000-0000-000093020000}"/>
    <cellStyle name="Millares 12" xfId="2943" xr:uid="{00000000-0005-0000-0000-000094020000}"/>
    <cellStyle name="Millares 13" xfId="2945" xr:uid="{00000000-0005-0000-0000-000095020000}"/>
    <cellStyle name="Millares 14" xfId="3000" xr:uid="{00000000-0005-0000-0000-000096020000}"/>
    <cellStyle name="Millares 15" xfId="3050" xr:uid="{00000000-0005-0000-0000-000097020000}"/>
    <cellStyle name="Millares 16" xfId="2997" xr:uid="{00000000-0005-0000-0000-000098020000}"/>
    <cellStyle name="Millares 17" xfId="3052" xr:uid="{00000000-0005-0000-0000-000099020000}"/>
    <cellStyle name="Millares 18" xfId="3250" xr:uid="{00000000-0005-0000-0000-00009A020000}"/>
    <cellStyle name="Millares 19" xfId="3643" xr:uid="{00000000-0005-0000-0000-00009B020000}"/>
    <cellStyle name="Millares 2" xfId="4" xr:uid="{00000000-0005-0000-0000-00009C020000}"/>
    <cellStyle name="Millares 2 2" xfId="5" xr:uid="{00000000-0005-0000-0000-00009D020000}"/>
    <cellStyle name="Millares 2 2 2" xfId="212" xr:uid="{00000000-0005-0000-0000-00009E020000}"/>
    <cellStyle name="Millares 2 3" xfId="213" xr:uid="{00000000-0005-0000-0000-00009F020000}"/>
    <cellStyle name="Millares 2 3 10" xfId="4060" xr:uid="{00000000-0005-0000-0000-0000A0020000}"/>
    <cellStyle name="Millares 2 3 10 2" xfId="5752" xr:uid="{5B39A485-D81B-47D0-BA90-DAFAE3855996}"/>
    <cellStyle name="Millares 2 3 10 3" xfId="7429" xr:uid="{C64F7904-4DFF-453B-A1BF-E1562B005B75}"/>
    <cellStyle name="Millares 2 3 11" xfId="4165" xr:uid="{03AFC026-24F5-441E-A917-71734430ADEC}"/>
    <cellStyle name="Millares 2 3 11 2" xfId="5850" xr:uid="{A2E2BD82-9A37-40EC-A23F-6A46C9B1A5E4}"/>
    <cellStyle name="Millares 2 3 11 3" xfId="7527" xr:uid="{0944F0FB-1823-4BBA-8951-917EEB082FAB}"/>
    <cellStyle name="Millares 2 3 12" xfId="4582" xr:uid="{415BB7E1-DB0A-4803-B34E-C163CF025457}"/>
    <cellStyle name="Millares 2 3 13" xfId="6259" xr:uid="{2D1787C9-5B49-45B5-B201-C05C79BC0EF1}"/>
    <cellStyle name="Millares 2 3 2" xfId="214" xr:uid="{00000000-0005-0000-0000-0000A1020000}"/>
    <cellStyle name="Millares 2 3 2 10" xfId="4583" xr:uid="{E826BC4E-6B1A-436D-8AE9-234D7DA2041B}"/>
    <cellStyle name="Millares 2 3 2 11" xfId="6260" xr:uid="{97E4AFDF-9532-424B-86BF-C386D1595B4E}"/>
    <cellStyle name="Millares 2 3 2 2" xfId="215" xr:uid="{00000000-0005-0000-0000-0000A2020000}"/>
    <cellStyle name="Millares 2 3 2 2 10" xfId="6261" xr:uid="{998E61F7-CEBF-4491-ACF4-A9AFC715B24F}"/>
    <cellStyle name="Millares 2 3 2 2 2" xfId="2889" xr:uid="{00000000-0005-0000-0000-0000A3020000}"/>
    <cellStyle name="Millares 2 3 2 2 2 2" xfId="3021" xr:uid="{00000000-0005-0000-0000-0000A4020000}"/>
    <cellStyle name="Millares 2 3 2 2 2 2 2" xfId="3219" xr:uid="{00000000-0005-0000-0000-0000A5020000}"/>
    <cellStyle name="Millares 2 3 2 2 2 2 2 2" xfId="3612" xr:uid="{00000000-0005-0000-0000-0000A6020000}"/>
    <cellStyle name="Millares 2 3 2 2 2 2 2 2 2" xfId="5316" xr:uid="{AC06B00E-1D7B-4ECB-94E0-988D4F368E18}"/>
    <cellStyle name="Millares 2 3 2 2 2 2 2 2 3" xfId="6993" xr:uid="{BD81DFB6-B3B2-466C-9A59-B7D4A77E4003}"/>
    <cellStyle name="Millares 2 3 2 2 2 2 2 3" xfId="4007" xr:uid="{00000000-0005-0000-0000-0000A7020000}"/>
    <cellStyle name="Millares 2 3 2 2 2 2 2 3 2" xfId="5705" xr:uid="{E17266DA-D990-4E02-9C6D-FE6DE050C8E4}"/>
    <cellStyle name="Millares 2 3 2 2 2 2 2 3 3" xfId="7382" xr:uid="{F8D4D33F-9C95-4612-BDA3-CA66D1C75A3B}"/>
    <cellStyle name="Millares 2 3 2 2 2 2 2 4" xfId="4514" xr:uid="{968D7A05-8D69-467C-A0D3-A585E00ACD1A}"/>
    <cellStyle name="Millares 2 3 2 2 2 2 2 4 2" xfId="6195" xr:uid="{645F3279-4844-40B3-ACB5-44ACA5F3DDE5}"/>
    <cellStyle name="Millares 2 3 2 2 2 2 2 4 3" xfId="7872" xr:uid="{69D75D7B-C68C-4672-AEF8-CF90BC20D6EC}"/>
    <cellStyle name="Millares 2 3 2 2 2 2 2 5" xfId="4928" xr:uid="{DC54CB78-2235-4A5F-A7B3-5D0B13634F31}"/>
    <cellStyle name="Millares 2 3 2 2 2 2 2 6" xfId="6605" xr:uid="{6220CA78-50DC-4C71-AB40-26230737E50A}"/>
    <cellStyle name="Millares 2 3 2 2 2 2 3" xfId="3418" xr:uid="{00000000-0005-0000-0000-0000A8020000}"/>
    <cellStyle name="Millares 2 3 2 2 2 2 3 2" xfId="5122" xr:uid="{095C3202-1DFA-483C-A07A-C5D3AC4BAC5C}"/>
    <cellStyle name="Millares 2 3 2 2 2 2 3 3" xfId="6799" xr:uid="{888456AE-CE1D-4BC6-9E9A-5F7D7E5E187A}"/>
    <cellStyle name="Millares 2 3 2 2 2 2 4" xfId="3813" xr:uid="{00000000-0005-0000-0000-0000A9020000}"/>
    <cellStyle name="Millares 2 3 2 2 2 2 4 2" xfId="5511" xr:uid="{330312BF-2540-44CC-B8B7-6EDCBD907F2C}"/>
    <cellStyle name="Millares 2 3 2 2 2 2 4 3" xfId="7188" xr:uid="{CED5065F-BFF7-40DA-AC25-3A132CF3F920}"/>
    <cellStyle name="Millares 2 3 2 2 2 2 5" xfId="4320" xr:uid="{2E5E0AD6-021B-4D47-8D18-CF3BE77F986D}"/>
    <cellStyle name="Millares 2 3 2 2 2 2 5 2" xfId="6001" xr:uid="{95F68D18-2540-4805-A3F3-FB6A4FB926A9}"/>
    <cellStyle name="Millares 2 3 2 2 2 2 5 3" xfId="7678" xr:uid="{1BC3FA4C-9996-4A40-97E6-EF88F551288D}"/>
    <cellStyle name="Millares 2 3 2 2 2 2 6" xfId="4734" xr:uid="{8EF80C3F-8154-4943-9292-A19509B46212}"/>
    <cellStyle name="Millares 2 3 2 2 2 2 7" xfId="6411" xr:uid="{D183A642-CC4A-4C1B-B8A7-B2B9C1F34F87}"/>
    <cellStyle name="Millares 2 3 2 2 2 3" xfId="3121" xr:uid="{00000000-0005-0000-0000-0000AA020000}"/>
    <cellStyle name="Millares 2 3 2 2 2 3 2" xfId="3514" xr:uid="{00000000-0005-0000-0000-0000AB020000}"/>
    <cellStyle name="Millares 2 3 2 2 2 3 2 2" xfId="5218" xr:uid="{67318FA0-9CB1-4620-AE03-1F24A127DF99}"/>
    <cellStyle name="Millares 2 3 2 2 2 3 2 3" xfId="6895" xr:uid="{B52308E8-E614-4A39-BD04-8B9A1609CCB1}"/>
    <cellStyle name="Millares 2 3 2 2 2 3 3" xfId="3909" xr:uid="{00000000-0005-0000-0000-0000AC020000}"/>
    <cellStyle name="Millares 2 3 2 2 2 3 3 2" xfId="5607" xr:uid="{9E2D0A4F-A505-488B-8E2E-3F28DA92041F}"/>
    <cellStyle name="Millares 2 3 2 2 2 3 3 3" xfId="7284" xr:uid="{2BAEC917-C5EB-4170-A855-034D6AFED652}"/>
    <cellStyle name="Millares 2 3 2 2 2 3 4" xfId="4416" xr:uid="{D734BC84-B22E-4281-B300-480F8A4B47B5}"/>
    <cellStyle name="Millares 2 3 2 2 2 3 4 2" xfId="6097" xr:uid="{68C8B79C-7D80-4842-BFFC-E96977B2953A}"/>
    <cellStyle name="Millares 2 3 2 2 2 3 4 3" xfId="7774" xr:uid="{AF2E3CF2-A8B7-4686-A2F1-7F2B79E303AE}"/>
    <cellStyle name="Millares 2 3 2 2 2 3 5" xfId="4830" xr:uid="{C39388ED-5B8B-4E11-A9AC-3CC5D069833A}"/>
    <cellStyle name="Millares 2 3 2 2 2 3 6" xfId="6507" xr:uid="{25C89565-698A-4FB5-A02B-10885218F9CF}"/>
    <cellStyle name="Millares 2 3 2 2 2 4" xfId="3320" xr:uid="{00000000-0005-0000-0000-0000AD020000}"/>
    <cellStyle name="Millares 2 3 2 2 2 4 2" xfId="5024" xr:uid="{D88CB907-8F6D-4CCD-9B26-05C27FEC41F8}"/>
    <cellStyle name="Millares 2 3 2 2 2 4 3" xfId="6701" xr:uid="{22F9FC9B-F009-4948-86DC-713BB12A0325}"/>
    <cellStyle name="Millares 2 3 2 2 2 5" xfId="3715" xr:uid="{00000000-0005-0000-0000-0000AE020000}"/>
    <cellStyle name="Millares 2 3 2 2 2 5 2" xfId="5413" xr:uid="{D0D8262B-0132-45F9-BC5B-AB56640C89FE}"/>
    <cellStyle name="Millares 2 3 2 2 2 5 3" xfId="7090" xr:uid="{4940CDB1-A2BB-49AF-8C77-CEB8B5B0F311}"/>
    <cellStyle name="Millares 2 3 2 2 2 6" xfId="4113" xr:uid="{00000000-0005-0000-0000-0000AF020000}"/>
    <cellStyle name="Millares 2 3 2 2 2 6 2" xfId="5805" xr:uid="{0A58D318-BDCF-4A34-811F-C98212CB7AC2}"/>
    <cellStyle name="Millares 2 3 2 2 2 6 3" xfId="7482" xr:uid="{2670D03B-97B8-453E-8F42-6121236D582F}"/>
    <cellStyle name="Millares 2 3 2 2 2 7" xfId="4222" xr:uid="{8644EA2B-9322-4FC5-90BB-A932E893A845}"/>
    <cellStyle name="Millares 2 3 2 2 2 7 2" xfId="5903" xr:uid="{9FED203A-99DE-4D5C-A681-679F9B57E123}"/>
    <cellStyle name="Millares 2 3 2 2 2 7 3" xfId="7580" xr:uid="{5CFDCCCC-E030-4E3F-9E74-09E69AB9F4BE}"/>
    <cellStyle name="Millares 2 3 2 2 2 8" xfId="4636" xr:uid="{F0A909A7-A28C-419F-8748-32A380DF9F85}"/>
    <cellStyle name="Millares 2 3 2 2 2 9" xfId="6313" xr:uid="{186FEC1A-5C5D-4466-BE07-AC456A275F87}"/>
    <cellStyle name="Millares 2 3 2 2 3" xfId="2966" xr:uid="{00000000-0005-0000-0000-0000B0020000}"/>
    <cellStyle name="Millares 2 3 2 2 3 2" xfId="3168" xr:uid="{00000000-0005-0000-0000-0000B1020000}"/>
    <cellStyle name="Millares 2 3 2 2 3 2 2" xfId="3561" xr:uid="{00000000-0005-0000-0000-0000B2020000}"/>
    <cellStyle name="Millares 2 3 2 2 3 2 2 2" xfId="5265" xr:uid="{F5F754B0-BC85-4BAF-8A7A-139D2C271DB3}"/>
    <cellStyle name="Millares 2 3 2 2 3 2 2 3" xfId="6942" xr:uid="{5251D7C8-463A-4AAC-B78A-5E12B3351D8E}"/>
    <cellStyle name="Millares 2 3 2 2 3 2 3" xfId="3956" xr:uid="{00000000-0005-0000-0000-0000B3020000}"/>
    <cellStyle name="Millares 2 3 2 2 3 2 3 2" xfId="5654" xr:uid="{4CDF5BE2-C148-45B4-BE90-C17C4D50FC3B}"/>
    <cellStyle name="Millares 2 3 2 2 3 2 3 3" xfId="7331" xr:uid="{6DC8480C-DFB3-402E-A9BC-F164829FC044}"/>
    <cellStyle name="Millares 2 3 2 2 3 2 4" xfId="4463" xr:uid="{57957F0C-8006-40B4-ABFC-D728558ED588}"/>
    <cellStyle name="Millares 2 3 2 2 3 2 4 2" xfId="6144" xr:uid="{D2F715A2-5BD1-44D7-9C3A-9F15F26098FA}"/>
    <cellStyle name="Millares 2 3 2 2 3 2 4 3" xfId="7821" xr:uid="{9A98E063-69D9-4A27-8B5B-BF8131C23860}"/>
    <cellStyle name="Millares 2 3 2 2 3 2 5" xfId="4877" xr:uid="{410F4087-DF6B-48AC-9908-B02B19346C75}"/>
    <cellStyle name="Millares 2 3 2 2 3 2 6" xfId="6554" xr:uid="{4EC7AA3D-AFDC-4AF8-9685-822634F82524}"/>
    <cellStyle name="Millares 2 3 2 2 3 3" xfId="3367" xr:uid="{00000000-0005-0000-0000-0000B4020000}"/>
    <cellStyle name="Millares 2 3 2 2 3 3 2" xfId="5071" xr:uid="{A3A443EF-3965-463F-936F-A78113D13F2B}"/>
    <cellStyle name="Millares 2 3 2 2 3 3 3" xfId="6748" xr:uid="{C4EE47C4-209D-42BA-97F0-FCE4E02E961E}"/>
    <cellStyle name="Millares 2 3 2 2 3 4" xfId="3762" xr:uid="{00000000-0005-0000-0000-0000B5020000}"/>
    <cellStyle name="Millares 2 3 2 2 3 4 2" xfId="5460" xr:uid="{E51EB1D1-9791-4E06-83D9-F200FD9E2B6D}"/>
    <cellStyle name="Millares 2 3 2 2 3 4 3" xfId="7137" xr:uid="{6125EC11-3124-48C0-A9BB-0AD5BEA4A56A}"/>
    <cellStyle name="Millares 2 3 2 2 3 5" xfId="4269" xr:uid="{0419B81E-4A75-435B-A9B3-7A8071197A74}"/>
    <cellStyle name="Millares 2 3 2 2 3 5 2" xfId="5950" xr:uid="{618BA2CC-57B0-4A05-8B55-646C952B8788}"/>
    <cellStyle name="Millares 2 3 2 2 3 5 3" xfId="7627" xr:uid="{69F8ECA1-D094-4517-9955-02DDBF0D60D2}"/>
    <cellStyle name="Millares 2 3 2 2 3 6" xfId="4683" xr:uid="{CCDA1F47-D474-41E0-BE1C-024332392CC5}"/>
    <cellStyle name="Millares 2 3 2 2 3 7" xfId="6360" xr:uid="{1CD36516-1870-4301-A7A2-42A13932FA20}"/>
    <cellStyle name="Millares 2 3 2 2 4" xfId="3072" xr:uid="{00000000-0005-0000-0000-0000B6020000}"/>
    <cellStyle name="Millares 2 3 2 2 4 2" xfId="3465" xr:uid="{00000000-0005-0000-0000-0000B7020000}"/>
    <cellStyle name="Millares 2 3 2 2 4 2 2" xfId="5169" xr:uid="{D5728DE2-074C-4851-9302-47A670E920A9}"/>
    <cellStyle name="Millares 2 3 2 2 4 2 3" xfId="6846" xr:uid="{20A19AC9-508B-4E5C-B290-E8BBE105FC10}"/>
    <cellStyle name="Millares 2 3 2 2 4 3" xfId="3860" xr:uid="{00000000-0005-0000-0000-0000B8020000}"/>
    <cellStyle name="Millares 2 3 2 2 4 3 2" xfId="5558" xr:uid="{7757FEF9-FA1D-4C69-B8FB-3F12E87FB879}"/>
    <cellStyle name="Millares 2 3 2 2 4 3 3" xfId="7235" xr:uid="{527707DB-A61C-4262-9B79-1EFAE232A95A}"/>
    <cellStyle name="Millares 2 3 2 2 4 4" xfId="4367" xr:uid="{3A50DDB5-C057-4B98-A188-88E1507063D5}"/>
    <cellStyle name="Millares 2 3 2 2 4 4 2" xfId="6048" xr:uid="{C8C5D9CD-ACEB-4C05-BBCF-6D2E363824B5}"/>
    <cellStyle name="Millares 2 3 2 2 4 4 3" xfId="7725" xr:uid="{F122DD86-68D6-4781-8E76-928717A480EE}"/>
    <cellStyle name="Millares 2 3 2 2 4 5" xfId="4781" xr:uid="{0CDCF963-EDE2-4B00-BAB1-8D33F55D9C7D}"/>
    <cellStyle name="Millares 2 3 2 2 4 6" xfId="6458" xr:uid="{AA1EFDAA-B35B-4518-97AE-958DACD3B2C4}"/>
    <cellStyle name="Millares 2 3 2 2 5" xfId="3270" xr:uid="{00000000-0005-0000-0000-0000B9020000}"/>
    <cellStyle name="Millares 2 3 2 2 5 2" xfId="4975" xr:uid="{71E27EFF-2FCB-4DAA-B793-FF42E8A75BF4}"/>
    <cellStyle name="Millares 2 3 2 2 5 3" xfId="6652" xr:uid="{737E3273-8F87-4933-B5D2-4BDBA48013FF}"/>
    <cellStyle name="Millares 2 3 2 2 6" xfId="3664" xr:uid="{00000000-0005-0000-0000-0000BA020000}"/>
    <cellStyle name="Millares 2 3 2 2 6 2" xfId="5363" xr:uid="{27D8347C-059A-4DE9-8E92-4F429B4415B6}"/>
    <cellStyle name="Millares 2 3 2 2 6 3" xfId="7040" xr:uid="{6CF77639-03CA-4D01-8FF4-3E162E71656B}"/>
    <cellStyle name="Millares 2 3 2 2 7" xfId="4062" xr:uid="{00000000-0005-0000-0000-0000BB020000}"/>
    <cellStyle name="Millares 2 3 2 2 7 2" xfId="5754" xr:uid="{51E8B564-3700-4826-B9B9-9EC90C7555F7}"/>
    <cellStyle name="Millares 2 3 2 2 7 3" xfId="7431" xr:uid="{5658EDF8-5E53-44ED-9FFE-A8DDDBF25934}"/>
    <cellStyle name="Millares 2 3 2 2 8" xfId="4167" xr:uid="{E077A8AA-27AB-44A1-BE99-45E2F1E16C09}"/>
    <cellStyle name="Millares 2 3 2 2 8 2" xfId="5852" xr:uid="{8E716335-8B59-4462-90FA-70C7FF8E3CC9}"/>
    <cellStyle name="Millares 2 3 2 2 8 3" xfId="7529" xr:uid="{189F7304-9ECE-4189-8B08-29DF69547F62}"/>
    <cellStyle name="Millares 2 3 2 2 9" xfId="4584" xr:uid="{0ECD26BA-6924-4C25-A82C-5F16362FA07C}"/>
    <cellStyle name="Millares 2 3 2 3" xfId="2888" xr:uid="{00000000-0005-0000-0000-0000BC020000}"/>
    <cellStyle name="Millares 2 3 2 3 2" xfId="3020" xr:uid="{00000000-0005-0000-0000-0000BD020000}"/>
    <cellStyle name="Millares 2 3 2 3 2 2" xfId="3218" xr:uid="{00000000-0005-0000-0000-0000BE020000}"/>
    <cellStyle name="Millares 2 3 2 3 2 2 2" xfId="3611" xr:uid="{00000000-0005-0000-0000-0000BF020000}"/>
    <cellStyle name="Millares 2 3 2 3 2 2 2 2" xfId="5315" xr:uid="{C03545F1-7EE2-4932-8920-2114A5B13B36}"/>
    <cellStyle name="Millares 2 3 2 3 2 2 2 3" xfId="6992" xr:uid="{235F32EB-2FFF-48CC-9C1D-02939EFB6512}"/>
    <cellStyle name="Millares 2 3 2 3 2 2 3" xfId="4006" xr:uid="{00000000-0005-0000-0000-0000C0020000}"/>
    <cellStyle name="Millares 2 3 2 3 2 2 3 2" xfId="5704" xr:uid="{95432EFE-A8DB-42E8-9D65-7A858AFDCDA0}"/>
    <cellStyle name="Millares 2 3 2 3 2 2 3 3" xfId="7381" xr:uid="{776A6DF0-183B-4DA7-B134-A154157E083C}"/>
    <cellStyle name="Millares 2 3 2 3 2 2 4" xfId="4513" xr:uid="{BCF607EC-6C7C-4B32-AAB7-04E53CB74492}"/>
    <cellStyle name="Millares 2 3 2 3 2 2 4 2" xfId="6194" xr:uid="{68DD6FA8-AACF-47AC-A394-05299877366F}"/>
    <cellStyle name="Millares 2 3 2 3 2 2 4 3" xfId="7871" xr:uid="{2429F401-C9A8-47B2-A3D2-727E21B686D6}"/>
    <cellStyle name="Millares 2 3 2 3 2 2 5" xfId="4927" xr:uid="{5B312878-0A7F-44E3-913C-0AB61A372BAA}"/>
    <cellStyle name="Millares 2 3 2 3 2 2 6" xfId="6604" xr:uid="{B27E671A-ECCE-42FB-92C7-646BF3415081}"/>
    <cellStyle name="Millares 2 3 2 3 2 3" xfId="3417" xr:uid="{00000000-0005-0000-0000-0000C1020000}"/>
    <cellStyle name="Millares 2 3 2 3 2 3 2" xfId="5121" xr:uid="{D6C2B9A1-8823-44E9-A400-1B9EDE8459BA}"/>
    <cellStyle name="Millares 2 3 2 3 2 3 3" xfId="6798" xr:uid="{DA19AB19-E135-42A5-B2D0-8718D0D1EFB6}"/>
    <cellStyle name="Millares 2 3 2 3 2 4" xfId="3812" xr:uid="{00000000-0005-0000-0000-0000C2020000}"/>
    <cellStyle name="Millares 2 3 2 3 2 4 2" xfId="5510" xr:uid="{A93B7757-D952-41A9-842D-0651B3A0CC2C}"/>
    <cellStyle name="Millares 2 3 2 3 2 4 3" xfId="7187" xr:uid="{4D57A2C0-1C68-4B96-8DE7-9E646807B479}"/>
    <cellStyle name="Millares 2 3 2 3 2 5" xfId="4319" xr:uid="{D11146F8-DDD1-4C1B-B7BE-252E8C20282A}"/>
    <cellStyle name="Millares 2 3 2 3 2 5 2" xfId="6000" xr:uid="{46170481-A09F-49C0-A265-0C3A4BBB46E9}"/>
    <cellStyle name="Millares 2 3 2 3 2 5 3" xfId="7677" xr:uid="{E2FD8AE0-2968-4E1F-BDE4-4EC15109F543}"/>
    <cellStyle name="Millares 2 3 2 3 2 6" xfId="4733" xr:uid="{6013860D-A9E8-4CF0-8C56-728B152DF551}"/>
    <cellStyle name="Millares 2 3 2 3 2 7" xfId="6410" xr:uid="{C3BF0B27-8BAB-404E-9B50-3DCC83F792F8}"/>
    <cellStyle name="Millares 2 3 2 3 3" xfId="3120" xr:uid="{00000000-0005-0000-0000-0000C3020000}"/>
    <cellStyle name="Millares 2 3 2 3 3 2" xfId="3513" xr:uid="{00000000-0005-0000-0000-0000C4020000}"/>
    <cellStyle name="Millares 2 3 2 3 3 2 2" xfId="5217" xr:uid="{C8FD8E48-CBFE-4E9E-B8B9-C573012F8411}"/>
    <cellStyle name="Millares 2 3 2 3 3 2 3" xfId="6894" xr:uid="{C37F0000-96AC-418A-92C0-6CAD6F3ECF62}"/>
    <cellStyle name="Millares 2 3 2 3 3 3" xfId="3908" xr:uid="{00000000-0005-0000-0000-0000C5020000}"/>
    <cellStyle name="Millares 2 3 2 3 3 3 2" xfId="5606" xr:uid="{7103A6B6-C30B-4ECC-A75E-E1C1708360D4}"/>
    <cellStyle name="Millares 2 3 2 3 3 3 3" xfId="7283" xr:uid="{7E1E2A84-11DA-4DDD-9509-0FC4DFFBAF4C}"/>
    <cellStyle name="Millares 2 3 2 3 3 4" xfId="4415" xr:uid="{953231D5-7277-4803-BABD-1A0FEF704BA9}"/>
    <cellStyle name="Millares 2 3 2 3 3 4 2" xfId="6096" xr:uid="{764F6B30-B05D-46B8-BF23-481F026CFC9F}"/>
    <cellStyle name="Millares 2 3 2 3 3 4 3" xfId="7773" xr:uid="{6CC18B60-4BA4-449E-9F33-5DAF48F858FF}"/>
    <cellStyle name="Millares 2 3 2 3 3 5" xfId="4829" xr:uid="{1392D1DE-588D-417B-B7B0-C490D388E202}"/>
    <cellStyle name="Millares 2 3 2 3 3 6" xfId="6506" xr:uid="{4F7C0243-C935-4133-AF51-C5523C07121C}"/>
    <cellStyle name="Millares 2 3 2 3 4" xfId="3319" xr:uid="{00000000-0005-0000-0000-0000C6020000}"/>
    <cellStyle name="Millares 2 3 2 3 4 2" xfId="5023" xr:uid="{5C5061E5-13E4-41F9-875A-B38A87050BA5}"/>
    <cellStyle name="Millares 2 3 2 3 4 3" xfId="6700" xr:uid="{85AA47F0-4FAA-40B5-836D-EF9E15AF925E}"/>
    <cellStyle name="Millares 2 3 2 3 5" xfId="3714" xr:uid="{00000000-0005-0000-0000-0000C7020000}"/>
    <cellStyle name="Millares 2 3 2 3 5 2" xfId="5412" xr:uid="{957F6DCC-DDB6-481F-80C2-A2504348AE55}"/>
    <cellStyle name="Millares 2 3 2 3 5 3" xfId="7089" xr:uid="{1E84715A-AA16-4620-8833-0F8D1DAFABE5}"/>
    <cellStyle name="Millares 2 3 2 3 6" xfId="4112" xr:uid="{00000000-0005-0000-0000-0000C8020000}"/>
    <cellStyle name="Millares 2 3 2 3 6 2" xfId="5804" xr:uid="{CD98916E-F6E4-4BF2-9D2F-A1F677BD83C3}"/>
    <cellStyle name="Millares 2 3 2 3 6 3" xfId="7481" xr:uid="{5EAC9452-F45B-4C64-AA58-F73FC50010D4}"/>
    <cellStyle name="Millares 2 3 2 3 7" xfId="4221" xr:uid="{2B4F5572-7130-4188-8A36-E1DAC5D4214A}"/>
    <cellStyle name="Millares 2 3 2 3 7 2" xfId="5902" xr:uid="{F2ECAC96-B7A1-4CE0-966D-71E881A620D0}"/>
    <cellStyle name="Millares 2 3 2 3 7 3" xfId="7579" xr:uid="{B2F5EF34-F984-436A-AB1D-DA8FD0918AC7}"/>
    <cellStyle name="Millares 2 3 2 3 8" xfId="4635" xr:uid="{2E567028-06BC-4A93-A9C3-785C6543A5C0}"/>
    <cellStyle name="Millares 2 3 2 3 9" xfId="6312" xr:uid="{4DA085FB-AADC-43A2-B500-12EEAE2660D6}"/>
    <cellStyle name="Millares 2 3 2 4" xfId="2965" xr:uid="{00000000-0005-0000-0000-0000C9020000}"/>
    <cellStyle name="Millares 2 3 2 4 2" xfId="3167" xr:uid="{00000000-0005-0000-0000-0000CA020000}"/>
    <cellStyle name="Millares 2 3 2 4 2 2" xfId="3560" xr:uid="{00000000-0005-0000-0000-0000CB020000}"/>
    <cellStyle name="Millares 2 3 2 4 2 2 2" xfId="5264" xr:uid="{9A311D39-DE8C-48C3-8DB7-A9F8350AC724}"/>
    <cellStyle name="Millares 2 3 2 4 2 2 3" xfId="6941" xr:uid="{90AA65E3-67F7-4123-ADB0-A43AC94C574F}"/>
    <cellStyle name="Millares 2 3 2 4 2 3" xfId="3955" xr:uid="{00000000-0005-0000-0000-0000CC020000}"/>
    <cellStyle name="Millares 2 3 2 4 2 3 2" xfId="5653" xr:uid="{F129C047-F3FC-4DD5-B5B6-354FAA6897BE}"/>
    <cellStyle name="Millares 2 3 2 4 2 3 3" xfId="7330" xr:uid="{0F103548-3F44-4A8E-8CDC-9D6EFA8470C6}"/>
    <cellStyle name="Millares 2 3 2 4 2 4" xfId="4462" xr:uid="{D8774651-70F9-48EA-9838-1E0A4C130B1A}"/>
    <cellStyle name="Millares 2 3 2 4 2 4 2" xfId="6143" xr:uid="{56852902-6CC9-469C-8660-5917FC7CF3E4}"/>
    <cellStyle name="Millares 2 3 2 4 2 4 3" xfId="7820" xr:uid="{A1222C6F-1FC9-4222-9A9E-7DC0858F4443}"/>
    <cellStyle name="Millares 2 3 2 4 2 5" xfId="4876" xr:uid="{9641DE9E-CBCF-4A6E-9327-CFC0717F4AF3}"/>
    <cellStyle name="Millares 2 3 2 4 2 6" xfId="6553" xr:uid="{1E591BF7-EC9D-4171-8DC8-CCDED7380318}"/>
    <cellStyle name="Millares 2 3 2 4 3" xfId="3366" xr:uid="{00000000-0005-0000-0000-0000CD020000}"/>
    <cellStyle name="Millares 2 3 2 4 3 2" xfId="5070" xr:uid="{E18A354B-83E2-4BAB-AAAE-491CA5A43830}"/>
    <cellStyle name="Millares 2 3 2 4 3 3" xfId="6747" xr:uid="{56646916-A300-48A4-A880-C0EE19D16023}"/>
    <cellStyle name="Millares 2 3 2 4 4" xfId="3761" xr:uid="{00000000-0005-0000-0000-0000CE020000}"/>
    <cellStyle name="Millares 2 3 2 4 4 2" xfId="5459" xr:uid="{675F4F39-8184-4D99-BF95-C29A0A46D7E4}"/>
    <cellStyle name="Millares 2 3 2 4 4 3" xfId="7136" xr:uid="{198BAED5-CB7E-4D04-816B-C47AA5656F4A}"/>
    <cellStyle name="Millares 2 3 2 4 5" xfId="4268" xr:uid="{4C6D194F-D889-49A5-8549-9C9BC3993B78}"/>
    <cellStyle name="Millares 2 3 2 4 5 2" xfId="5949" xr:uid="{20560D33-A863-4232-8A19-B3E3925DAA46}"/>
    <cellStyle name="Millares 2 3 2 4 5 3" xfId="7626" xr:uid="{C9919412-5C56-43AA-8285-AB2ED15A0B6F}"/>
    <cellStyle name="Millares 2 3 2 4 6" xfId="4682" xr:uid="{782C3475-1F65-4E5D-A5AE-E5A59E039461}"/>
    <cellStyle name="Millares 2 3 2 4 7" xfId="6359" xr:uid="{23D1B071-A002-4E6B-A49F-E558C40EB2E3}"/>
    <cellStyle name="Millares 2 3 2 5" xfId="3071" xr:uid="{00000000-0005-0000-0000-0000CF020000}"/>
    <cellStyle name="Millares 2 3 2 5 2" xfId="3464" xr:uid="{00000000-0005-0000-0000-0000D0020000}"/>
    <cellStyle name="Millares 2 3 2 5 2 2" xfId="5168" xr:uid="{C9EC383C-49F2-42EE-8E91-16DAD96EF357}"/>
    <cellStyle name="Millares 2 3 2 5 2 3" xfId="6845" xr:uid="{30B947B7-F0F9-4D6E-8790-E5A1A55ACE4E}"/>
    <cellStyle name="Millares 2 3 2 5 3" xfId="3859" xr:uid="{00000000-0005-0000-0000-0000D1020000}"/>
    <cellStyle name="Millares 2 3 2 5 3 2" xfId="5557" xr:uid="{8F6DA786-26B0-4738-B4D3-979AE1ECEDE1}"/>
    <cellStyle name="Millares 2 3 2 5 3 3" xfId="7234" xr:uid="{7AD74292-08EF-41A3-ADED-17E60F2ECB16}"/>
    <cellStyle name="Millares 2 3 2 5 4" xfId="4366" xr:uid="{7ABEB7FE-92F6-40BE-BB52-EFF54FC43E44}"/>
    <cellStyle name="Millares 2 3 2 5 4 2" xfId="6047" xr:uid="{4F5D4E9C-58A9-4CD3-AF13-4F9B11DF1D3D}"/>
    <cellStyle name="Millares 2 3 2 5 4 3" xfId="7724" xr:uid="{86EF159F-5357-4220-8D46-46A602FB8008}"/>
    <cellStyle name="Millares 2 3 2 5 5" xfId="4780" xr:uid="{29B585AB-5E8A-41C0-A572-03038B844C87}"/>
    <cellStyle name="Millares 2 3 2 5 6" xfId="6457" xr:uid="{92589D2D-7080-47CB-A998-F575C19554B3}"/>
    <cellStyle name="Millares 2 3 2 6" xfId="3269" xr:uid="{00000000-0005-0000-0000-0000D2020000}"/>
    <cellStyle name="Millares 2 3 2 6 2" xfId="4974" xr:uid="{F5E31B13-FCD5-4F23-9F96-DE085CC58C7F}"/>
    <cellStyle name="Millares 2 3 2 6 3" xfId="6651" xr:uid="{B4D4660E-0616-4B27-94C8-47E1CE1E536A}"/>
    <cellStyle name="Millares 2 3 2 7" xfId="3663" xr:uid="{00000000-0005-0000-0000-0000D3020000}"/>
    <cellStyle name="Millares 2 3 2 7 2" xfId="5362" xr:uid="{337173AC-6DCD-4BBE-ABCC-1BAABA72B7D9}"/>
    <cellStyle name="Millares 2 3 2 7 3" xfId="7039" xr:uid="{5DA0F89B-4E61-46E7-912A-FBDB35DAA0D4}"/>
    <cellStyle name="Millares 2 3 2 8" xfId="4061" xr:uid="{00000000-0005-0000-0000-0000D4020000}"/>
    <cellStyle name="Millares 2 3 2 8 2" xfId="5753" xr:uid="{5BC7B938-0E57-4856-A112-93D9F9CD4642}"/>
    <cellStyle name="Millares 2 3 2 8 3" xfId="7430" xr:uid="{1FE4E53B-87D6-46EE-AD92-18FE4153F61A}"/>
    <cellStyle name="Millares 2 3 2 9" xfId="4166" xr:uid="{8CF325FD-590A-4274-A7B3-D6A24DEABE43}"/>
    <cellStyle name="Millares 2 3 2 9 2" xfId="5851" xr:uid="{150AA8D5-C05F-4A39-8CFF-143CE51D5847}"/>
    <cellStyle name="Millares 2 3 2 9 3" xfId="7528" xr:uid="{3832EFDC-74A0-4739-A6C3-2FC613756372}"/>
    <cellStyle name="Millares 2 3 3" xfId="216" xr:uid="{00000000-0005-0000-0000-0000D5020000}"/>
    <cellStyle name="Millares 2 3 3 10" xfId="6262" xr:uid="{05C359F5-AB1A-442E-9409-D7340368B0EE}"/>
    <cellStyle name="Millares 2 3 3 2" xfId="2890" xr:uid="{00000000-0005-0000-0000-0000D6020000}"/>
    <cellStyle name="Millares 2 3 3 2 2" xfId="3022" xr:uid="{00000000-0005-0000-0000-0000D7020000}"/>
    <cellStyle name="Millares 2 3 3 2 2 2" xfId="3220" xr:uid="{00000000-0005-0000-0000-0000D8020000}"/>
    <cellStyle name="Millares 2 3 3 2 2 2 2" xfId="3613" xr:uid="{00000000-0005-0000-0000-0000D9020000}"/>
    <cellStyle name="Millares 2 3 3 2 2 2 2 2" xfId="5317" xr:uid="{BD9B7B8F-549D-4BD1-802B-92D5402B54F5}"/>
    <cellStyle name="Millares 2 3 3 2 2 2 2 3" xfId="6994" xr:uid="{C4DEC627-2671-46F4-8E78-0AE2449594D6}"/>
    <cellStyle name="Millares 2 3 3 2 2 2 3" xfId="4008" xr:uid="{00000000-0005-0000-0000-0000DA020000}"/>
    <cellStyle name="Millares 2 3 3 2 2 2 3 2" xfId="5706" xr:uid="{5A1F9099-0554-441B-967D-C196A78CB6E5}"/>
    <cellStyle name="Millares 2 3 3 2 2 2 3 3" xfId="7383" xr:uid="{F2984C47-EDB2-46B2-AB6F-D511C4F64D7C}"/>
    <cellStyle name="Millares 2 3 3 2 2 2 4" xfId="4515" xr:uid="{5F222B93-F0A0-4637-ABC3-B9001B9187D7}"/>
    <cellStyle name="Millares 2 3 3 2 2 2 4 2" xfId="6196" xr:uid="{14FA1B15-3A21-44B1-A921-419BD185676F}"/>
    <cellStyle name="Millares 2 3 3 2 2 2 4 3" xfId="7873" xr:uid="{B0A970DF-DC43-4256-B9EB-44C51C25E41E}"/>
    <cellStyle name="Millares 2 3 3 2 2 2 5" xfId="4929" xr:uid="{E010455F-229F-4E70-B7A7-924FDC6520DE}"/>
    <cellStyle name="Millares 2 3 3 2 2 2 6" xfId="6606" xr:uid="{D4C5F92F-24E9-4757-88EF-6B6CF7817BA7}"/>
    <cellStyle name="Millares 2 3 3 2 2 3" xfId="3419" xr:uid="{00000000-0005-0000-0000-0000DB020000}"/>
    <cellStyle name="Millares 2 3 3 2 2 3 2" xfId="5123" xr:uid="{83828BCA-3F9D-4E72-8663-584EF0C577E8}"/>
    <cellStyle name="Millares 2 3 3 2 2 3 3" xfId="6800" xr:uid="{F4F61C22-BA11-4D77-816B-F6EC005BE764}"/>
    <cellStyle name="Millares 2 3 3 2 2 4" xfId="3814" xr:uid="{00000000-0005-0000-0000-0000DC020000}"/>
    <cellStyle name="Millares 2 3 3 2 2 4 2" xfId="5512" xr:uid="{3C008F62-66CA-47D5-8F2A-0F0AD4B74697}"/>
    <cellStyle name="Millares 2 3 3 2 2 4 3" xfId="7189" xr:uid="{003D0988-78B6-4C66-879E-B7D5CCDF516A}"/>
    <cellStyle name="Millares 2 3 3 2 2 5" xfId="4321" xr:uid="{50F8447E-6DA8-44B0-976E-9EEA1BB66D2B}"/>
    <cellStyle name="Millares 2 3 3 2 2 5 2" xfId="6002" xr:uid="{124CFFD6-CBA6-4859-B7BD-17CDE3ED3523}"/>
    <cellStyle name="Millares 2 3 3 2 2 5 3" xfId="7679" xr:uid="{4673BDD2-DF03-4C05-B69D-4A18CEBE0949}"/>
    <cellStyle name="Millares 2 3 3 2 2 6" xfId="4735" xr:uid="{3C4B35E9-815D-416B-8F6F-77F970F6E92D}"/>
    <cellStyle name="Millares 2 3 3 2 2 7" xfId="6412" xr:uid="{6D83C496-B820-442A-A677-153E85825B03}"/>
    <cellStyle name="Millares 2 3 3 2 3" xfId="3122" xr:uid="{00000000-0005-0000-0000-0000DD020000}"/>
    <cellStyle name="Millares 2 3 3 2 3 2" xfId="3515" xr:uid="{00000000-0005-0000-0000-0000DE020000}"/>
    <cellStyle name="Millares 2 3 3 2 3 2 2" xfId="5219" xr:uid="{8BB755E9-EE8B-4702-A845-E107D19B7B60}"/>
    <cellStyle name="Millares 2 3 3 2 3 2 3" xfId="6896" xr:uid="{0238687F-189C-412A-A1D4-BFF4C1680092}"/>
    <cellStyle name="Millares 2 3 3 2 3 3" xfId="3910" xr:uid="{00000000-0005-0000-0000-0000DF020000}"/>
    <cellStyle name="Millares 2 3 3 2 3 3 2" xfId="5608" xr:uid="{279DECFB-A8AB-400A-BC29-423FF9FF8509}"/>
    <cellStyle name="Millares 2 3 3 2 3 3 3" xfId="7285" xr:uid="{7FF9E173-8168-4156-A3DE-F3429A98F1E9}"/>
    <cellStyle name="Millares 2 3 3 2 3 4" xfId="4417" xr:uid="{89B5660E-6F9B-422B-8E2F-A96C75D451FE}"/>
    <cellStyle name="Millares 2 3 3 2 3 4 2" xfId="6098" xr:uid="{0CB3F302-7743-4EC4-868B-66E026618340}"/>
    <cellStyle name="Millares 2 3 3 2 3 4 3" xfId="7775" xr:uid="{73100C20-28D9-42A5-A8D8-9178023AD5D7}"/>
    <cellStyle name="Millares 2 3 3 2 3 5" xfId="4831" xr:uid="{112287E5-63AA-4A6E-BC3A-21D0D75B1060}"/>
    <cellStyle name="Millares 2 3 3 2 3 6" xfId="6508" xr:uid="{7ED42DA2-77D9-4D15-9CBB-F6D13C017920}"/>
    <cellStyle name="Millares 2 3 3 2 4" xfId="3321" xr:uid="{00000000-0005-0000-0000-0000E0020000}"/>
    <cellStyle name="Millares 2 3 3 2 4 2" xfId="5025" xr:uid="{AE33C475-70F9-48DE-8AE5-1B4C9D4C4B91}"/>
    <cellStyle name="Millares 2 3 3 2 4 3" xfId="6702" xr:uid="{801AA1ED-7F9D-4984-BC7B-9C91C6B022B1}"/>
    <cellStyle name="Millares 2 3 3 2 5" xfId="3716" xr:uid="{00000000-0005-0000-0000-0000E1020000}"/>
    <cellStyle name="Millares 2 3 3 2 5 2" xfId="5414" xr:uid="{E057E581-6FE7-405C-A584-12AB5B9FFAB2}"/>
    <cellStyle name="Millares 2 3 3 2 5 3" xfId="7091" xr:uid="{99444148-D15C-4152-973B-51598ECEFA6F}"/>
    <cellStyle name="Millares 2 3 3 2 6" xfId="4114" xr:uid="{00000000-0005-0000-0000-0000E2020000}"/>
    <cellStyle name="Millares 2 3 3 2 6 2" xfId="5806" xr:uid="{8AD52FE3-12B3-4A92-ABAA-5F743516CCD7}"/>
    <cellStyle name="Millares 2 3 3 2 6 3" xfId="7483" xr:uid="{A16AD2B9-11C8-4242-B407-19CD5C4AAB17}"/>
    <cellStyle name="Millares 2 3 3 2 7" xfId="4223" xr:uid="{EA6CAE02-5A79-4B3B-BAF7-247178F56D58}"/>
    <cellStyle name="Millares 2 3 3 2 7 2" xfId="5904" xr:uid="{E128234B-2471-4A4B-9639-3CD2A0ACAF50}"/>
    <cellStyle name="Millares 2 3 3 2 7 3" xfId="7581" xr:uid="{F035551D-9AF4-4723-85C2-81EF031BABAD}"/>
    <cellStyle name="Millares 2 3 3 2 8" xfId="4637" xr:uid="{13AEE2B8-03CF-4E28-8A2D-C08388F415F7}"/>
    <cellStyle name="Millares 2 3 3 2 9" xfId="6314" xr:uid="{CE2C67C1-4DDB-4A33-B335-F02178D000D5}"/>
    <cellStyle name="Millares 2 3 3 3" xfId="2967" xr:uid="{00000000-0005-0000-0000-0000E3020000}"/>
    <cellStyle name="Millares 2 3 3 3 2" xfId="3169" xr:uid="{00000000-0005-0000-0000-0000E4020000}"/>
    <cellStyle name="Millares 2 3 3 3 2 2" xfId="3562" xr:uid="{00000000-0005-0000-0000-0000E5020000}"/>
    <cellStyle name="Millares 2 3 3 3 2 2 2" xfId="5266" xr:uid="{B3812D39-574B-4C17-A1E0-60FA1B2482DC}"/>
    <cellStyle name="Millares 2 3 3 3 2 2 3" xfId="6943" xr:uid="{704F018C-5FEE-4A41-B4B8-47D90A1CEF8C}"/>
    <cellStyle name="Millares 2 3 3 3 2 3" xfId="3957" xr:uid="{00000000-0005-0000-0000-0000E6020000}"/>
    <cellStyle name="Millares 2 3 3 3 2 3 2" xfId="5655" xr:uid="{0C6442FB-AA2E-478D-9F5C-7B01961C55F6}"/>
    <cellStyle name="Millares 2 3 3 3 2 3 3" xfId="7332" xr:uid="{2AA350DF-5E57-4958-9011-B5467742E2AE}"/>
    <cellStyle name="Millares 2 3 3 3 2 4" xfId="4464" xr:uid="{FC896205-FCA3-4AD2-A0F5-DC7F15408BD3}"/>
    <cellStyle name="Millares 2 3 3 3 2 4 2" xfId="6145" xr:uid="{D4FB9F53-ED7C-4EB0-B7F2-4E264E80C3AD}"/>
    <cellStyle name="Millares 2 3 3 3 2 4 3" xfId="7822" xr:uid="{62937ECE-51C4-4A4C-89C2-17EFC057A0D5}"/>
    <cellStyle name="Millares 2 3 3 3 2 5" xfId="4878" xr:uid="{86A38E4E-B824-4B26-AAD5-7BC6AB070799}"/>
    <cellStyle name="Millares 2 3 3 3 2 6" xfId="6555" xr:uid="{04CE5C85-E412-4F9F-B187-1230CCA47BEF}"/>
    <cellStyle name="Millares 2 3 3 3 3" xfId="3368" xr:uid="{00000000-0005-0000-0000-0000E7020000}"/>
    <cellStyle name="Millares 2 3 3 3 3 2" xfId="5072" xr:uid="{C902BDB5-7955-489A-96FB-4AEAC40CD379}"/>
    <cellStyle name="Millares 2 3 3 3 3 3" xfId="6749" xr:uid="{3A6B9AE3-C945-4D5C-AB4F-70473AC0C1D3}"/>
    <cellStyle name="Millares 2 3 3 3 4" xfId="3763" xr:uid="{00000000-0005-0000-0000-0000E8020000}"/>
    <cellStyle name="Millares 2 3 3 3 4 2" xfId="5461" xr:uid="{287425F3-2726-4556-B509-98786AAF1576}"/>
    <cellStyle name="Millares 2 3 3 3 4 3" xfId="7138" xr:uid="{D1CED3A6-5A00-4E4B-ACD5-E7E6C3CE4AB1}"/>
    <cellStyle name="Millares 2 3 3 3 5" xfId="4270" xr:uid="{76289823-4C5B-41E1-9E26-6DC0DE9A8FB2}"/>
    <cellStyle name="Millares 2 3 3 3 5 2" xfId="5951" xr:uid="{003BEBF9-236A-400A-B945-B8BFA587DE06}"/>
    <cellStyle name="Millares 2 3 3 3 5 3" xfId="7628" xr:uid="{8D1DFC08-7BE0-465A-BB5F-520C0F7CACC9}"/>
    <cellStyle name="Millares 2 3 3 3 6" xfId="4684" xr:uid="{936BDDB5-BC1B-4718-AAD4-8AD6CA01A947}"/>
    <cellStyle name="Millares 2 3 3 3 7" xfId="6361" xr:uid="{AB661AAD-F95F-4413-994D-19B9180DBC0D}"/>
    <cellStyle name="Millares 2 3 3 4" xfId="3073" xr:uid="{00000000-0005-0000-0000-0000E9020000}"/>
    <cellStyle name="Millares 2 3 3 4 2" xfId="3466" xr:uid="{00000000-0005-0000-0000-0000EA020000}"/>
    <cellStyle name="Millares 2 3 3 4 2 2" xfId="5170" xr:uid="{12B10092-9A0A-4EBA-89A5-90DDD4E9BC5F}"/>
    <cellStyle name="Millares 2 3 3 4 2 3" xfId="6847" xr:uid="{33DC746B-3BAB-4A81-BD7F-DDB11BC898F8}"/>
    <cellStyle name="Millares 2 3 3 4 3" xfId="3861" xr:uid="{00000000-0005-0000-0000-0000EB020000}"/>
    <cellStyle name="Millares 2 3 3 4 3 2" xfId="5559" xr:uid="{094022DC-35E0-4C15-807C-8ECF0A140E94}"/>
    <cellStyle name="Millares 2 3 3 4 3 3" xfId="7236" xr:uid="{745687C8-4022-4D63-9A65-4400E617EE6A}"/>
    <cellStyle name="Millares 2 3 3 4 4" xfId="4368" xr:uid="{EFAA49A3-754A-4F1E-B3FA-35430944C6E4}"/>
    <cellStyle name="Millares 2 3 3 4 4 2" xfId="6049" xr:uid="{6B76FEA0-18DE-4ECB-832B-214C96B81FE3}"/>
    <cellStyle name="Millares 2 3 3 4 4 3" xfId="7726" xr:uid="{07B6403B-67EE-45A7-BF5F-649D0E1DB8D8}"/>
    <cellStyle name="Millares 2 3 3 4 5" xfId="4782" xr:uid="{553F4E4C-E992-46D2-8E77-CEE51C2EE9F5}"/>
    <cellStyle name="Millares 2 3 3 4 6" xfId="6459" xr:uid="{CF714E46-58B9-4F42-B03A-27BA53D3562E}"/>
    <cellStyle name="Millares 2 3 3 5" xfId="3271" xr:uid="{00000000-0005-0000-0000-0000EC020000}"/>
    <cellStyle name="Millares 2 3 3 5 2" xfId="4976" xr:uid="{98A8C821-CD53-4676-BBF9-E7CB7491D791}"/>
    <cellStyle name="Millares 2 3 3 5 3" xfId="6653" xr:uid="{3E25274D-04FC-45CE-883A-DACF37157E0B}"/>
    <cellStyle name="Millares 2 3 3 6" xfId="3665" xr:uid="{00000000-0005-0000-0000-0000ED020000}"/>
    <cellStyle name="Millares 2 3 3 6 2" xfId="5364" xr:uid="{749E2DB7-498D-42D5-BDEE-BE378024F05D}"/>
    <cellStyle name="Millares 2 3 3 6 3" xfId="7041" xr:uid="{46BE08FE-C132-4BA7-8361-CA3772F2C7C9}"/>
    <cellStyle name="Millares 2 3 3 7" xfId="4063" xr:uid="{00000000-0005-0000-0000-0000EE020000}"/>
    <cellStyle name="Millares 2 3 3 7 2" xfId="5755" xr:uid="{C61B2FAD-F495-4B86-BE71-3F279F6701EB}"/>
    <cellStyle name="Millares 2 3 3 7 3" xfId="7432" xr:uid="{34A9813C-4DD6-4967-B984-157D798A3A32}"/>
    <cellStyle name="Millares 2 3 3 8" xfId="4168" xr:uid="{4D39B6EE-2D50-4A1F-969C-088D4271FB4C}"/>
    <cellStyle name="Millares 2 3 3 8 2" xfId="5853" xr:uid="{1F394EB8-2D37-4C4D-A646-AAFC67070FBD}"/>
    <cellStyle name="Millares 2 3 3 8 3" xfId="7530" xr:uid="{6722A0CF-DE92-4838-A1A8-A9C46D0D0164}"/>
    <cellStyle name="Millares 2 3 3 9" xfId="4585" xr:uid="{8893FF87-C66F-471C-9096-2D29CCCB9702}"/>
    <cellStyle name="Millares 2 3 4" xfId="217" xr:uid="{00000000-0005-0000-0000-0000EF020000}"/>
    <cellStyle name="Millares 2 3 4 10" xfId="6263" xr:uid="{7AC2D6D6-C765-449D-9063-6B9C28A2B501}"/>
    <cellStyle name="Millares 2 3 4 2" xfId="2891" xr:uid="{00000000-0005-0000-0000-0000F0020000}"/>
    <cellStyle name="Millares 2 3 4 2 2" xfId="3023" xr:uid="{00000000-0005-0000-0000-0000F1020000}"/>
    <cellStyle name="Millares 2 3 4 2 2 2" xfId="3221" xr:uid="{00000000-0005-0000-0000-0000F2020000}"/>
    <cellStyle name="Millares 2 3 4 2 2 2 2" xfId="3614" xr:uid="{00000000-0005-0000-0000-0000F3020000}"/>
    <cellStyle name="Millares 2 3 4 2 2 2 2 2" xfId="5318" xr:uid="{51C5D8D5-1A6F-4065-91C7-E4ECCEDA0EE9}"/>
    <cellStyle name="Millares 2 3 4 2 2 2 2 3" xfId="6995" xr:uid="{F30373D5-12B1-4BA8-9317-53F8613EB486}"/>
    <cellStyle name="Millares 2 3 4 2 2 2 3" xfId="4009" xr:uid="{00000000-0005-0000-0000-0000F4020000}"/>
    <cellStyle name="Millares 2 3 4 2 2 2 3 2" xfId="5707" xr:uid="{A53BD52E-A92C-4C0F-9CB2-9D5011405DDC}"/>
    <cellStyle name="Millares 2 3 4 2 2 2 3 3" xfId="7384" xr:uid="{4D773EB8-AFE6-4A2E-BF23-0A6712D658B9}"/>
    <cellStyle name="Millares 2 3 4 2 2 2 4" xfId="4516" xr:uid="{541E1294-AAC5-4D3B-AE6D-7CC9D4D75F79}"/>
    <cellStyle name="Millares 2 3 4 2 2 2 4 2" xfId="6197" xr:uid="{CFAA2CCE-3180-405E-95AA-0DFCDB3341A3}"/>
    <cellStyle name="Millares 2 3 4 2 2 2 4 3" xfId="7874" xr:uid="{B16F6B80-F33A-4F23-8AA3-3170855B63CB}"/>
    <cellStyle name="Millares 2 3 4 2 2 2 5" xfId="4930" xr:uid="{B86529A4-1A04-4604-86D7-AF8D7D8453C9}"/>
    <cellStyle name="Millares 2 3 4 2 2 2 6" xfId="6607" xr:uid="{74E4387B-472F-4DF9-9097-4082FDFE953A}"/>
    <cellStyle name="Millares 2 3 4 2 2 3" xfId="3420" xr:uid="{00000000-0005-0000-0000-0000F5020000}"/>
    <cellStyle name="Millares 2 3 4 2 2 3 2" xfId="5124" xr:uid="{FB13947A-6504-4A1C-AD64-0DE55BD50937}"/>
    <cellStyle name="Millares 2 3 4 2 2 3 3" xfId="6801" xr:uid="{6BA9FCC1-0DC2-47D2-922F-0DCB7D0977DE}"/>
    <cellStyle name="Millares 2 3 4 2 2 4" xfId="3815" xr:uid="{00000000-0005-0000-0000-0000F6020000}"/>
    <cellStyle name="Millares 2 3 4 2 2 4 2" xfId="5513" xr:uid="{2892802A-2B3E-425A-BDCB-E776E36CA829}"/>
    <cellStyle name="Millares 2 3 4 2 2 4 3" xfId="7190" xr:uid="{F1500803-3CC7-493F-9585-47D9B8EE02DC}"/>
    <cellStyle name="Millares 2 3 4 2 2 5" xfId="4322" xr:uid="{5E08BCAD-03E1-4B65-9526-04B173092F61}"/>
    <cellStyle name="Millares 2 3 4 2 2 5 2" xfId="6003" xr:uid="{A252165E-C89F-4B90-B2C9-BFDBCBBC897E}"/>
    <cellStyle name="Millares 2 3 4 2 2 5 3" xfId="7680" xr:uid="{2562BD1D-DC94-4D69-B0B9-BE45CB01F3C1}"/>
    <cellStyle name="Millares 2 3 4 2 2 6" xfId="4736" xr:uid="{FA742898-C924-463B-B84A-F220A56D752D}"/>
    <cellStyle name="Millares 2 3 4 2 2 7" xfId="6413" xr:uid="{E2370CF1-54A8-4A2F-803E-D75739DD4916}"/>
    <cellStyle name="Millares 2 3 4 2 3" xfId="3123" xr:uid="{00000000-0005-0000-0000-0000F7020000}"/>
    <cellStyle name="Millares 2 3 4 2 3 2" xfId="3516" xr:uid="{00000000-0005-0000-0000-0000F8020000}"/>
    <cellStyle name="Millares 2 3 4 2 3 2 2" xfId="5220" xr:uid="{98A11223-D032-417A-AF83-E89ED23912E9}"/>
    <cellStyle name="Millares 2 3 4 2 3 2 3" xfId="6897" xr:uid="{A02B3ABE-1371-406B-ADF5-3802BF047578}"/>
    <cellStyle name="Millares 2 3 4 2 3 3" xfId="3911" xr:uid="{00000000-0005-0000-0000-0000F9020000}"/>
    <cellStyle name="Millares 2 3 4 2 3 3 2" xfId="5609" xr:uid="{2EEB8CF5-20F5-49A7-97B6-167ED6084C75}"/>
    <cellStyle name="Millares 2 3 4 2 3 3 3" xfId="7286" xr:uid="{32EF3F96-7931-4418-B318-E6803751DDDA}"/>
    <cellStyle name="Millares 2 3 4 2 3 4" xfId="4418" xr:uid="{83E8111E-7A0D-4D4B-8227-504BD30665BE}"/>
    <cellStyle name="Millares 2 3 4 2 3 4 2" xfId="6099" xr:uid="{787AABC3-B72B-46B0-A72F-9F94E1765467}"/>
    <cellStyle name="Millares 2 3 4 2 3 4 3" xfId="7776" xr:uid="{C2DA5A3C-2154-47CD-93B4-D41BFB175D20}"/>
    <cellStyle name="Millares 2 3 4 2 3 5" xfId="4832" xr:uid="{3EC13F52-471D-4883-84E9-3E5A35FEB29A}"/>
    <cellStyle name="Millares 2 3 4 2 3 6" xfId="6509" xr:uid="{3C669CD5-046B-4D70-A259-65C810E93EEF}"/>
    <cellStyle name="Millares 2 3 4 2 4" xfId="3322" xr:uid="{00000000-0005-0000-0000-0000FA020000}"/>
    <cellStyle name="Millares 2 3 4 2 4 2" xfId="5026" xr:uid="{538C2E9F-2628-4B69-B409-BBA8E3E560B5}"/>
    <cellStyle name="Millares 2 3 4 2 4 3" xfId="6703" xr:uid="{C5DF6101-8A86-4A45-8B5F-317B7539EDB6}"/>
    <cellStyle name="Millares 2 3 4 2 5" xfId="3717" xr:uid="{00000000-0005-0000-0000-0000FB020000}"/>
    <cellStyle name="Millares 2 3 4 2 5 2" xfId="5415" xr:uid="{4A9FED22-3626-4AD6-A509-76260424D2F3}"/>
    <cellStyle name="Millares 2 3 4 2 5 3" xfId="7092" xr:uid="{38F9D1D4-9D3B-4477-ABEF-D69D697CB460}"/>
    <cellStyle name="Millares 2 3 4 2 6" xfId="4115" xr:uid="{00000000-0005-0000-0000-0000FC020000}"/>
    <cellStyle name="Millares 2 3 4 2 6 2" xfId="5807" xr:uid="{9057B74F-7493-4A51-A25C-BBE4C4F86788}"/>
    <cellStyle name="Millares 2 3 4 2 6 3" xfId="7484" xr:uid="{51643934-B925-47AB-A32B-9CFDB53FF42D}"/>
    <cellStyle name="Millares 2 3 4 2 7" xfId="4224" xr:uid="{51B7D5B4-F115-46AB-BC31-16CD0DAB4614}"/>
    <cellStyle name="Millares 2 3 4 2 7 2" xfId="5905" xr:uid="{EC729612-4102-471A-B4AD-625039D4B698}"/>
    <cellStyle name="Millares 2 3 4 2 7 3" xfId="7582" xr:uid="{4BEEFA83-6027-4B63-8B77-5BFFA84B28EE}"/>
    <cellStyle name="Millares 2 3 4 2 8" xfId="4638" xr:uid="{B8F83A24-2E84-4785-995A-FC28815E1A8C}"/>
    <cellStyle name="Millares 2 3 4 2 9" xfId="6315" xr:uid="{066EAA99-0A11-4067-BA3D-A7EE2D49B8AC}"/>
    <cellStyle name="Millares 2 3 4 3" xfId="2968" xr:uid="{00000000-0005-0000-0000-0000FD020000}"/>
    <cellStyle name="Millares 2 3 4 3 2" xfId="3170" xr:uid="{00000000-0005-0000-0000-0000FE020000}"/>
    <cellStyle name="Millares 2 3 4 3 2 2" xfId="3563" xr:uid="{00000000-0005-0000-0000-0000FF020000}"/>
    <cellStyle name="Millares 2 3 4 3 2 2 2" xfId="5267" xr:uid="{95F0B847-1541-4EB3-8BEA-1B9CDDC8CB51}"/>
    <cellStyle name="Millares 2 3 4 3 2 2 3" xfId="6944" xr:uid="{6C3A4206-AEE8-4DCB-B70A-F43AF8BF4631}"/>
    <cellStyle name="Millares 2 3 4 3 2 3" xfId="3958" xr:uid="{00000000-0005-0000-0000-000000030000}"/>
    <cellStyle name="Millares 2 3 4 3 2 3 2" xfId="5656" xr:uid="{D97D5E1A-ABC7-4320-9C52-9F9F1B6BFC0E}"/>
    <cellStyle name="Millares 2 3 4 3 2 3 3" xfId="7333" xr:uid="{DA1045E3-105D-4044-9CA4-AC6F7119B934}"/>
    <cellStyle name="Millares 2 3 4 3 2 4" xfId="4465" xr:uid="{D5BA1777-7716-4003-AE2E-9DC3D753E596}"/>
    <cellStyle name="Millares 2 3 4 3 2 4 2" xfId="6146" xr:uid="{75E1B69C-357C-42E3-AD81-4DC345A4C0C3}"/>
    <cellStyle name="Millares 2 3 4 3 2 4 3" xfId="7823" xr:uid="{B2514A42-D87E-4B64-A503-C2A10B79AF44}"/>
    <cellStyle name="Millares 2 3 4 3 2 5" xfId="4879" xr:uid="{2F136165-26B0-44D4-945F-0B19CEAE6EE7}"/>
    <cellStyle name="Millares 2 3 4 3 2 6" xfId="6556" xr:uid="{347750C0-0B35-4710-9D37-EA706872B483}"/>
    <cellStyle name="Millares 2 3 4 3 3" xfId="3369" xr:uid="{00000000-0005-0000-0000-000001030000}"/>
    <cellStyle name="Millares 2 3 4 3 3 2" xfId="5073" xr:uid="{D0A61652-F178-4AC7-AA81-75C18192B1BB}"/>
    <cellStyle name="Millares 2 3 4 3 3 3" xfId="6750" xr:uid="{1BD8AD5C-E5D6-4A9C-B2D7-E89232F7D472}"/>
    <cellStyle name="Millares 2 3 4 3 4" xfId="3764" xr:uid="{00000000-0005-0000-0000-000002030000}"/>
    <cellStyle name="Millares 2 3 4 3 4 2" xfId="5462" xr:uid="{8BAE60CD-ECF1-40C0-B606-CC2822818BF2}"/>
    <cellStyle name="Millares 2 3 4 3 4 3" xfId="7139" xr:uid="{55941F5D-2710-4F77-A42F-EFB36D53577E}"/>
    <cellStyle name="Millares 2 3 4 3 5" xfId="4271" xr:uid="{5E87CBAB-8743-4FAD-9050-449AB65E3707}"/>
    <cellStyle name="Millares 2 3 4 3 5 2" xfId="5952" xr:uid="{3802FD75-53FB-4632-AC71-277A5F434CFA}"/>
    <cellStyle name="Millares 2 3 4 3 5 3" xfId="7629" xr:uid="{28523782-D4CC-43F3-9518-39EC00B6F64A}"/>
    <cellStyle name="Millares 2 3 4 3 6" xfId="4685" xr:uid="{03C5FF3D-2024-4FB8-ACCE-5FA096A6FE8D}"/>
    <cellStyle name="Millares 2 3 4 3 7" xfId="6362" xr:uid="{680991DB-00EF-45EE-8A41-B66CC7FA186B}"/>
    <cellStyle name="Millares 2 3 4 4" xfId="3074" xr:uid="{00000000-0005-0000-0000-000003030000}"/>
    <cellStyle name="Millares 2 3 4 4 2" xfId="3467" xr:uid="{00000000-0005-0000-0000-000004030000}"/>
    <cellStyle name="Millares 2 3 4 4 2 2" xfId="5171" xr:uid="{679DE8E3-F48D-4A77-BD2A-2A0003D8E10B}"/>
    <cellStyle name="Millares 2 3 4 4 2 3" xfId="6848" xr:uid="{C816CCC5-D501-4E32-A1B7-3630B37B60AA}"/>
    <cellStyle name="Millares 2 3 4 4 3" xfId="3862" xr:uid="{00000000-0005-0000-0000-000005030000}"/>
    <cellStyle name="Millares 2 3 4 4 3 2" xfId="5560" xr:uid="{93134F88-7B6A-47D5-8248-960C41034609}"/>
    <cellStyle name="Millares 2 3 4 4 3 3" xfId="7237" xr:uid="{F715FFC3-35ED-4F8B-82E7-BD650416067E}"/>
    <cellStyle name="Millares 2 3 4 4 4" xfId="4369" xr:uid="{5F37EA74-6E33-4C88-9F63-BD16955C1EA7}"/>
    <cellStyle name="Millares 2 3 4 4 4 2" xfId="6050" xr:uid="{93B43B81-581E-4769-B142-D24ABD46B396}"/>
    <cellStyle name="Millares 2 3 4 4 4 3" xfId="7727" xr:uid="{3752416E-DF43-4F78-BA5D-F364F61F5653}"/>
    <cellStyle name="Millares 2 3 4 4 5" xfId="4783" xr:uid="{64A33A7B-E895-4AF0-82A7-26ECDA5F35F6}"/>
    <cellStyle name="Millares 2 3 4 4 6" xfId="6460" xr:uid="{C3BD8395-6D91-4B6B-9CAA-9CBE9E6AB518}"/>
    <cellStyle name="Millares 2 3 4 5" xfId="3272" xr:uid="{00000000-0005-0000-0000-000006030000}"/>
    <cellStyle name="Millares 2 3 4 5 2" xfId="4977" xr:uid="{995DBA7F-2EFF-40CF-8F7E-EA4F596A8FA2}"/>
    <cellStyle name="Millares 2 3 4 5 3" xfId="6654" xr:uid="{244BBA05-5CA4-4654-92D7-D347B10C5278}"/>
    <cellStyle name="Millares 2 3 4 6" xfId="3666" xr:uid="{00000000-0005-0000-0000-000007030000}"/>
    <cellStyle name="Millares 2 3 4 6 2" xfId="5365" xr:uid="{3305F426-D54B-45FD-9B4E-7C0A5A4FB103}"/>
    <cellStyle name="Millares 2 3 4 6 3" xfId="7042" xr:uid="{7331848C-EF19-47CD-B2BE-468B52A38F41}"/>
    <cellStyle name="Millares 2 3 4 7" xfId="4064" xr:uid="{00000000-0005-0000-0000-000008030000}"/>
    <cellStyle name="Millares 2 3 4 7 2" xfId="5756" xr:uid="{366EA04C-3ECE-4A70-8E94-12B07E2E808C}"/>
    <cellStyle name="Millares 2 3 4 7 3" xfId="7433" xr:uid="{B14684E5-0F6A-4C68-B7C6-29F60844E3CD}"/>
    <cellStyle name="Millares 2 3 4 8" xfId="4169" xr:uid="{7FFA8CC1-0732-4DFA-853C-394E4F4E3FE5}"/>
    <cellStyle name="Millares 2 3 4 8 2" xfId="5854" xr:uid="{93AD9359-FB7F-46EC-95FB-CC79DB18AB93}"/>
    <cellStyle name="Millares 2 3 4 8 3" xfId="7531" xr:uid="{A0073C92-3BBC-4925-82E2-4635A43183EC}"/>
    <cellStyle name="Millares 2 3 4 9" xfId="4586" xr:uid="{770F7B7B-06C3-46EC-8972-DC70399FCEFB}"/>
    <cellStyle name="Millares 2 3 5" xfId="2887" xr:uid="{00000000-0005-0000-0000-000009030000}"/>
    <cellStyle name="Millares 2 3 5 2" xfId="3019" xr:uid="{00000000-0005-0000-0000-00000A030000}"/>
    <cellStyle name="Millares 2 3 5 2 2" xfId="3217" xr:uid="{00000000-0005-0000-0000-00000B030000}"/>
    <cellStyle name="Millares 2 3 5 2 2 2" xfId="3610" xr:uid="{00000000-0005-0000-0000-00000C030000}"/>
    <cellStyle name="Millares 2 3 5 2 2 2 2" xfId="5314" xr:uid="{985F96C9-32AC-4D70-8F88-164A4FE9F7D2}"/>
    <cellStyle name="Millares 2 3 5 2 2 2 3" xfId="6991" xr:uid="{47EDB51D-F429-4092-BEBB-441133AF235F}"/>
    <cellStyle name="Millares 2 3 5 2 2 3" xfId="4005" xr:uid="{00000000-0005-0000-0000-00000D030000}"/>
    <cellStyle name="Millares 2 3 5 2 2 3 2" xfId="5703" xr:uid="{100B743D-3B05-403E-8FB7-78B323C40FA0}"/>
    <cellStyle name="Millares 2 3 5 2 2 3 3" xfId="7380" xr:uid="{6662EB17-6CA8-42B7-8BF6-68354DD2D9BC}"/>
    <cellStyle name="Millares 2 3 5 2 2 4" xfId="4512" xr:uid="{609E25E6-B8DC-48E4-8062-43E0807390BE}"/>
    <cellStyle name="Millares 2 3 5 2 2 4 2" xfId="6193" xr:uid="{11A95710-CA03-4128-A490-588432CD88F9}"/>
    <cellStyle name="Millares 2 3 5 2 2 4 3" xfId="7870" xr:uid="{A8432369-B97C-485A-BDCB-4B5DE7FDB550}"/>
    <cellStyle name="Millares 2 3 5 2 2 5" xfId="4926" xr:uid="{BB72ED61-A7F1-4DA5-8EDA-B7CECB9560A0}"/>
    <cellStyle name="Millares 2 3 5 2 2 6" xfId="6603" xr:uid="{2124747D-74BF-4980-BF6A-5E93CA516641}"/>
    <cellStyle name="Millares 2 3 5 2 3" xfId="3416" xr:uid="{00000000-0005-0000-0000-00000E030000}"/>
    <cellStyle name="Millares 2 3 5 2 3 2" xfId="5120" xr:uid="{B396319C-BA4A-4189-B3BE-29C382F52777}"/>
    <cellStyle name="Millares 2 3 5 2 3 3" xfId="6797" xr:uid="{73BC093F-7EEC-42E0-9C42-69796BB4167F}"/>
    <cellStyle name="Millares 2 3 5 2 4" xfId="3811" xr:uid="{00000000-0005-0000-0000-00000F030000}"/>
    <cellStyle name="Millares 2 3 5 2 4 2" xfId="5509" xr:uid="{D4091EB7-4011-49B0-B5DF-0A9F0E074516}"/>
    <cellStyle name="Millares 2 3 5 2 4 3" xfId="7186" xr:uid="{05F838FA-5A3E-4D8E-872B-2722B4FE71EB}"/>
    <cellStyle name="Millares 2 3 5 2 5" xfId="4318" xr:uid="{6A77F943-2E89-4C90-ADAF-682357C777B6}"/>
    <cellStyle name="Millares 2 3 5 2 5 2" xfId="5999" xr:uid="{025B860F-8E28-4BE2-AE6C-83BD27D109B7}"/>
    <cellStyle name="Millares 2 3 5 2 5 3" xfId="7676" xr:uid="{0E44498B-6BA5-4927-BD66-8390680B1F99}"/>
    <cellStyle name="Millares 2 3 5 2 6" xfId="4732" xr:uid="{070485BE-1D62-4D50-8D7D-31AF0567F50A}"/>
    <cellStyle name="Millares 2 3 5 2 7" xfId="6409" xr:uid="{7FBC312C-156E-42A2-BA15-1935E51CB600}"/>
    <cellStyle name="Millares 2 3 5 3" xfId="3119" xr:uid="{00000000-0005-0000-0000-000010030000}"/>
    <cellStyle name="Millares 2 3 5 3 2" xfId="3512" xr:uid="{00000000-0005-0000-0000-000011030000}"/>
    <cellStyle name="Millares 2 3 5 3 2 2" xfId="5216" xr:uid="{0EC9F965-4C5F-41AE-B721-E710835F219F}"/>
    <cellStyle name="Millares 2 3 5 3 2 3" xfId="6893" xr:uid="{9D3994B6-348F-4587-8E33-2C33B6CE0AF6}"/>
    <cellStyle name="Millares 2 3 5 3 3" xfId="3907" xr:uid="{00000000-0005-0000-0000-000012030000}"/>
    <cellStyle name="Millares 2 3 5 3 3 2" xfId="5605" xr:uid="{39C09FC9-1397-46A1-83B8-6BE1D69EDB3A}"/>
    <cellStyle name="Millares 2 3 5 3 3 3" xfId="7282" xr:uid="{35FF8BFE-8CBE-4268-BE81-2A23EC15DBB9}"/>
    <cellStyle name="Millares 2 3 5 3 4" xfId="4414" xr:uid="{F627DF58-6DD5-487C-B480-B4C0BCEECAE7}"/>
    <cellStyle name="Millares 2 3 5 3 4 2" xfId="6095" xr:uid="{DF72938C-2053-454E-B10D-AAEB1FE1B48C}"/>
    <cellStyle name="Millares 2 3 5 3 4 3" xfId="7772" xr:uid="{7ADAAF4E-3673-4000-AF44-F1209BAB4E95}"/>
    <cellStyle name="Millares 2 3 5 3 5" xfId="4828" xr:uid="{3166FE31-8FA5-4AD5-9E65-DF0D70EBFBDF}"/>
    <cellStyle name="Millares 2 3 5 3 6" xfId="6505" xr:uid="{21826C2D-28EF-481B-B514-9D2478DCD5D5}"/>
    <cellStyle name="Millares 2 3 5 4" xfId="3318" xr:uid="{00000000-0005-0000-0000-000013030000}"/>
    <cellStyle name="Millares 2 3 5 4 2" xfId="5022" xr:uid="{E2C5025B-DA11-47AD-82CA-457CE944F027}"/>
    <cellStyle name="Millares 2 3 5 4 3" xfId="6699" xr:uid="{F9F4C106-A48D-47DC-82B0-55510CBAE7F7}"/>
    <cellStyle name="Millares 2 3 5 5" xfId="3713" xr:uid="{00000000-0005-0000-0000-000014030000}"/>
    <cellStyle name="Millares 2 3 5 5 2" xfId="5411" xr:uid="{144D43C2-586C-4583-B4EE-CF954F474CDA}"/>
    <cellStyle name="Millares 2 3 5 5 3" xfId="7088" xr:uid="{0EC9C5FE-E604-4550-988A-9F84C9D833E2}"/>
    <cellStyle name="Millares 2 3 5 6" xfId="4111" xr:uid="{00000000-0005-0000-0000-000015030000}"/>
    <cellStyle name="Millares 2 3 5 6 2" xfId="5803" xr:uid="{27F5E2F7-AA56-4648-AF63-633F9428EAF5}"/>
    <cellStyle name="Millares 2 3 5 6 3" xfId="7480" xr:uid="{285D7CBA-FF97-44CC-8106-D153BCBCB1F1}"/>
    <cellStyle name="Millares 2 3 5 7" xfId="4220" xr:uid="{B7BC37E7-5A1D-4D08-9B3F-CC11BE65A865}"/>
    <cellStyle name="Millares 2 3 5 7 2" xfId="5901" xr:uid="{6EC8BA6A-8081-4723-87D9-555CC754D0CD}"/>
    <cellStyle name="Millares 2 3 5 7 3" xfId="7578" xr:uid="{A1C2CF76-6B68-4FA3-97E0-5FA24E97C90A}"/>
    <cellStyle name="Millares 2 3 5 8" xfId="4634" xr:uid="{EB469E36-42E7-4F13-9D98-43DB6532D22D}"/>
    <cellStyle name="Millares 2 3 5 9" xfId="6311" xr:uid="{DC1E659C-4002-442A-B7CB-FA986CA3B65F}"/>
    <cellStyle name="Millares 2 3 6" xfId="2964" xr:uid="{00000000-0005-0000-0000-000016030000}"/>
    <cellStyle name="Millares 2 3 6 2" xfId="3166" xr:uid="{00000000-0005-0000-0000-000017030000}"/>
    <cellStyle name="Millares 2 3 6 2 2" xfId="3559" xr:uid="{00000000-0005-0000-0000-000018030000}"/>
    <cellStyle name="Millares 2 3 6 2 2 2" xfId="5263" xr:uid="{A6B84748-FD80-4B94-AB03-82CAB51C2606}"/>
    <cellStyle name="Millares 2 3 6 2 2 3" xfId="6940" xr:uid="{3D38857A-63EB-4C4E-BB22-C0B0A7AA2168}"/>
    <cellStyle name="Millares 2 3 6 2 3" xfId="3954" xr:uid="{00000000-0005-0000-0000-000019030000}"/>
    <cellStyle name="Millares 2 3 6 2 3 2" xfId="5652" xr:uid="{F3232611-3FCD-49D0-8326-13F74EC48A39}"/>
    <cellStyle name="Millares 2 3 6 2 3 3" xfId="7329" xr:uid="{D6FDE4E6-A311-4A89-BDEF-149126150931}"/>
    <cellStyle name="Millares 2 3 6 2 4" xfId="4461" xr:uid="{BCC7B872-1739-4752-AEC3-F79E78B1E180}"/>
    <cellStyle name="Millares 2 3 6 2 4 2" xfId="6142" xr:uid="{98DE5523-D3C3-4422-9C80-B46A8E6007DD}"/>
    <cellStyle name="Millares 2 3 6 2 4 3" xfId="7819" xr:uid="{9C3F7EDC-4A7D-49E6-9FCC-6ED660AF20E0}"/>
    <cellStyle name="Millares 2 3 6 2 5" xfId="4875" xr:uid="{769255C0-105D-4041-B8CB-9A43DB0951DC}"/>
    <cellStyle name="Millares 2 3 6 2 6" xfId="6552" xr:uid="{CD7A41D7-35C0-4289-B78E-0F89F2E1F2C6}"/>
    <cellStyle name="Millares 2 3 6 3" xfId="3365" xr:uid="{00000000-0005-0000-0000-00001A030000}"/>
    <cellStyle name="Millares 2 3 6 3 2" xfId="5069" xr:uid="{04EEF701-5646-4AF1-B2E3-DE1DAC2B2222}"/>
    <cellStyle name="Millares 2 3 6 3 3" xfId="6746" xr:uid="{59E22F08-B655-4485-843C-799AAF0158BA}"/>
    <cellStyle name="Millares 2 3 6 4" xfId="3760" xr:uid="{00000000-0005-0000-0000-00001B030000}"/>
    <cellStyle name="Millares 2 3 6 4 2" xfId="5458" xr:uid="{127BC2D5-4A3A-45E1-8C94-0CA102AB95A5}"/>
    <cellStyle name="Millares 2 3 6 4 3" xfId="7135" xr:uid="{31C3F8D5-1853-4518-AF67-2957D4A866AD}"/>
    <cellStyle name="Millares 2 3 6 5" xfId="4267" xr:uid="{638EA1AC-9929-4452-A33E-053EEB77C6FF}"/>
    <cellStyle name="Millares 2 3 6 5 2" xfId="5948" xr:uid="{3F3A08BD-BCDC-44EC-880B-FE98DA0BCBFE}"/>
    <cellStyle name="Millares 2 3 6 5 3" xfId="7625" xr:uid="{5D870D91-6001-4C19-B6AB-051686BC43EF}"/>
    <cellStyle name="Millares 2 3 6 6" xfId="4681" xr:uid="{EAB6916F-2EDB-4D55-901A-55C3A25B56AB}"/>
    <cellStyle name="Millares 2 3 6 7" xfId="6358" xr:uid="{8D294DB2-3D21-458B-8788-8A00BC224116}"/>
    <cellStyle name="Millares 2 3 7" xfId="3070" xr:uid="{00000000-0005-0000-0000-00001C030000}"/>
    <cellStyle name="Millares 2 3 7 2" xfId="3463" xr:uid="{00000000-0005-0000-0000-00001D030000}"/>
    <cellStyle name="Millares 2 3 7 2 2" xfId="5167" xr:uid="{00BB56BC-41FC-4452-B091-674BA6935528}"/>
    <cellStyle name="Millares 2 3 7 2 3" xfId="6844" xr:uid="{42E0929F-E6EF-4CF2-855F-2BFA8A71D6A2}"/>
    <cellStyle name="Millares 2 3 7 3" xfId="3858" xr:uid="{00000000-0005-0000-0000-00001E030000}"/>
    <cellStyle name="Millares 2 3 7 3 2" xfId="5556" xr:uid="{16A190BD-A813-4F9E-943D-9F315DD10225}"/>
    <cellStyle name="Millares 2 3 7 3 3" xfId="7233" xr:uid="{48C4A56F-4AC3-4AB9-AF1C-4584E0BACB25}"/>
    <cellStyle name="Millares 2 3 7 4" xfId="4365" xr:uid="{7819A0E8-14CD-439C-9FFE-7961BF0C4C82}"/>
    <cellStyle name="Millares 2 3 7 4 2" xfId="6046" xr:uid="{156FD2C9-564D-433B-92A5-33F509EEDFEE}"/>
    <cellStyle name="Millares 2 3 7 4 3" xfId="7723" xr:uid="{393934B8-B1D2-49D9-A6E3-DB2849DFA290}"/>
    <cellStyle name="Millares 2 3 7 5" xfId="4779" xr:uid="{314FB195-F6FA-4788-8E9E-584FE534503A}"/>
    <cellStyle name="Millares 2 3 7 6" xfId="6456" xr:uid="{4BAE45A4-D8C2-4CEB-A1DF-B1C17BADD1DA}"/>
    <cellStyle name="Millares 2 3 8" xfId="3268" xr:uid="{00000000-0005-0000-0000-00001F030000}"/>
    <cellStyle name="Millares 2 3 8 2" xfId="4973" xr:uid="{95AF453B-C64E-4F9C-AFF9-49298ECABDB6}"/>
    <cellStyle name="Millares 2 3 8 3" xfId="6650" xr:uid="{EA4D7F37-4C4D-49CE-BDD6-2FDEF24B0975}"/>
    <cellStyle name="Millares 2 3 9" xfId="3662" xr:uid="{00000000-0005-0000-0000-000020030000}"/>
    <cellStyle name="Millares 2 3 9 2" xfId="5361" xr:uid="{5ACB20A9-BB0D-4F21-B052-848B8A014C3F}"/>
    <cellStyle name="Millares 2 3 9 3" xfId="7038" xr:uid="{4E0E5A35-53DD-4618-97F9-53A75DBCDE7D}"/>
    <cellStyle name="Millares 2 4" xfId="218" xr:uid="{00000000-0005-0000-0000-000021030000}"/>
    <cellStyle name="Millares 2 4 10" xfId="4170" xr:uid="{91D43756-813C-455E-BBE6-5F03F667BAF5}"/>
    <cellStyle name="Millares 2 4 10 2" xfId="5855" xr:uid="{8A7D4BCD-DB6D-4440-BB35-FD0E024B9DEE}"/>
    <cellStyle name="Millares 2 4 10 3" xfId="7532" xr:uid="{43974269-0358-483B-A1A0-B7FAC6ACCC37}"/>
    <cellStyle name="Millares 2 4 11" xfId="4587" xr:uid="{4CFC79E1-E962-4A86-BFFC-2C1B33E2C89C}"/>
    <cellStyle name="Millares 2 4 12" xfId="6264" xr:uid="{179A6471-1232-4C40-A2A2-2CFC62B15101}"/>
    <cellStyle name="Millares 2 4 2" xfId="219" xr:uid="{00000000-0005-0000-0000-000022030000}"/>
    <cellStyle name="Millares 2 4 2 10" xfId="6265" xr:uid="{9DC8AD65-B128-407B-ADDC-A4A7D3A75495}"/>
    <cellStyle name="Millares 2 4 2 2" xfId="2893" xr:uid="{00000000-0005-0000-0000-000023030000}"/>
    <cellStyle name="Millares 2 4 2 2 2" xfId="3025" xr:uid="{00000000-0005-0000-0000-000024030000}"/>
    <cellStyle name="Millares 2 4 2 2 2 2" xfId="3223" xr:uid="{00000000-0005-0000-0000-000025030000}"/>
    <cellStyle name="Millares 2 4 2 2 2 2 2" xfId="3616" xr:uid="{00000000-0005-0000-0000-000026030000}"/>
    <cellStyle name="Millares 2 4 2 2 2 2 2 2" xfId="5320" xr:uid="{A19470B2-F250-4DB0-8A17-20321E9541F2}"/>
    <cellStyle name="Millares 2 4 2 2 2 2 2 3" xfId="6997" xr:uid="{070A2C2D-8DC3-4078-8999-7B47D6D69BDC}"/>
    <cellStyle name="Millares 2 4 2 2 2 2 3" xfId="4011" xr:uid="{00000000-0005-0000-0000-000027030000}"/>
    <cellStyle name="Millares 2 4 2 2 2 2 3 2" xfId="5709" xr:uid="{D2EED91E-3C8D-4DEF-B222-A1EDCCDF0756}"/>
    <cellStyle name="Millares 2 4 2 2 2 2 3 3" xfId="7386" xr:uid="{7329992A-8122-45D6-8507-CA2E5CC3189F}"/>
    <cellStyle name="Millares 2 4 2 2 2 2 4" xfId="4518" xr:uid="{A4E9219C-A058-411B-8118-527F63422CDC}"/>
    <cellStyle name="Millares 2 4 2 2 2 2 4 2" xfId="6199" xr:uid="{9E3472AF-164E-4956-8245-ABFBADEDAFBC}"/>
    <cellStyle name="Millares 2 4 2 2 2 2 4 3" xfId="7876" xr:uid="{62F7A9BC-55F5-4963-AFB8-AD9DD2D60ADC}"/>
    <cellStyle name="Millares 2 4 2 2 2 2 5" xfId="4932" xr:uid="{19DC584F-CB7E-43B5-BC2F-DBABD537D201}"/>
    <cellStyle name="Millares 2 4 2 2 2 2 6" xfId="6609" xr:uid="{236E3FA7-BB70-41ED-A32C-83521C609686}"/>
    <cellStyle name="Millares 2 4 2 2 2 3" xfId="3422" xr:uid="{00000000-0005-0000-0000-000028030000}"/>
    <cellStyle name="Millares 2 4 2 2 2 3 2" xfId="5126" xr:uid="{07910C29-70AA-40A3-B3AE-278905567924}"/>
    <cellStyle name="Millares 2 4 2 2 2 3 3" xfId="6803" xr:uid="{976FA434-B0E2-43F8-9C18-94142A55F65C}"/>
    <cellStyle name="Millares 2 4 2 2 2 4" xfId="3817" xr:uid="{00000000-0005-0000-0000-000029030000}"/>
    <cellStyle name="Millares 2 4 2 2 2 4 2" xfId="5515" xr:uid="{6385E56A-ED16-4791-B3CE-646848A99140}"/>
    <cellStyle name="Millares 2 4 2 2 2 4 3" xfId="7192" xr:uid="{68F22CB1-243D-44E1-9874-604DD086F48B}"/>
    <cellStyle name="Millares 2 4 2 2 2 5" xfId="4324" xr:uid="{56B9F092-C3F9-480C-8926-3DBB435A9ACB}"/>
    <cellStyle name="Millares 2 4 2 2 2 5 2" xfId="6005" xr:uid="{5CA952BC-71A5-47C4-8C8C-F4345098A650}"/>
    <cellStyle name="Millares 2 4 2 2 2 5 3" xfId="7682" xr:uid="{F2C15226-8F99-4812-890A-0A40DC10E15C}"/>
    <cellStyle name="Millares 2 4 2 2 2 6" xfId="4738" xr:uid="{8C231A24-1455-4192-BE9A-EAC6F2DAA428}"/>
    <cellStyle name="Millares 2 4 2 2 2 7" xfId="6415" xr:uid="{962173DC-7542-466C-8FBA-F0850B7288BC}"/>
    <cellStyle name="Millares 2 4 2 2 3" xfId="3125" xr:uid="{00000000-0005-0000-0000-00002A030000}"/>
    <cellStyle name="Millares 2 4 2 2 3 2" xfId="3518" xr:uid="{00000000-0005-0000-0000-00002B030000}"/>
    <cellStyle name="Millares 2 4 2 2 3 2 2" xfId="5222" xr:uid="{3B2BAD4A-4878-4ED4-A932-A24BA10E0627}"/>
    <cellStyle name="Millares 2 4 2 2 3 2 3" xfId="6899" xr:uid="{A1D387D0-83A8-449B-8A5F-F5FA89ADD51F}"/>
    <cellStyle name="Millares 2 4 2 2 3 3" xfId="3913" xr:uid="{00000000-0005-0000-0000-00002C030000}"/>
    <cellStyle name="Millares 2 4 2 2 3 3 2" xfId="5611" xr:uid="{D4B31E16-8AAD-4696-8FED-A27547782FB8}"/>
    <cellStyle name="Millares 2 4 2 2 3 3 3" xfId="7288" xr:uid="{2E18BF8E-27AA-4B5D-958E-243CD3FE8265}"/>
    <cellStyle name="Millares 2 4 2 2 3 4" xfId="4420" xr:uid="{0D36CAA5-2CFE-44F5-A425-6EC02735D891}"/>
    <cellStyle name="Millares 2 4 2 2 3 4 2" xfId="6101" xr:uid="{374764AF-6BDD-46DA-B933-4A29C948B1C9}"/>
    <cellStyle name="Millares 2 4 2 2 3 4 3" xfId="7778" xr:uid="{971C06CB-0CDE-4CF5-BB13-9FCEBF6851E8}"/>
    <cellStyle name="Millares 2 4 2 2 3 5" xfId="4834" xr:uid="{F3745A85-2F5B-4A14-A152-6C6994698CF7}"/>
    <cellStyle name="Millares 2 4 2 2 3 6" xfId="6511" xr:uid="{7E66A73D-3C4C-4E3C-8F46-E40A4E9AC065}"/>
    <cellStyle name="Millares 2 4 2 2 4" xfId="3324" xr:uid="{00000000-0005-0000-0000-00002D030000}"/>
    <cellStyle name="Millares 2 4 2 2 4 2" xfId="5028" xr:uid="{C53B339A-9394-4AEA-8C69-4C26ABF8D078}"/>
    <cellStyle name="Millares 2 4 2 2 4 3" xfId="6705" xr:uid="{D4EAD413-D881-4DCF-8ED7-41794D827430}"/>
    <cellStyle name="Millares 2 4 2 2 5" xfId="3719" xr:uid="{00000000-0005-0000-0000-00002E030000}"/>
    <cellStyle name="Millares 2 4 2 2 5 2" xfId="5417" xr:uid="{9397F896-0D08-4B3C-8A05-319C616BA907}"/>
    <cellStyle name="Millares 2 4 2 2 5 3" xfId="7094" xr:uid="{C960A0F2-07F4-4DC1-882E-AA0452619528}"/>
    <cellStyle name="Millares 2 4 2 2 6" xfId="4117" xr:uid="{00000000-0005-0000-0000-00002F030000}"/>
    <cellStyle name="Millares 2 4 2 2 6 2" xfId="5809" xr:uid="{0ED059BD-99D8-444E-956E-81C881C3A46E}"/>
    <cellStyle name="Millares 2 4 2 2 6 3" xfId="7486" xr:uid="{97F70808-CCF8-4A13-B714-7579D282AE91}"/>
    <cellStyle name="Millares 2 4 2 2 7" xfId="4226" xr:uid="{1C6B4089-2B54-48FF-98BE-654B99373210}"/>
    <cellStyle name="Millares 2 4 2 2 7 2" xfId="5907" xr:uid="{B61CE2BC-3221-4392-A973-ABE49FF55F99}"/>
    <cellStyle name="Millares 2 4 2 2 7 3" xfId="7584" xr:uid="{DE0FF78E-E831-4B04-B4D2-A3642388555E}"/>
    <cellStyle name="Millares 2 4 2 2 8" xfId="4640" xr:uid="{D6A05856-C590-4852-BB9A-765B494B1023}"/>
    <cellStyle name="Millares 2 4 2 2 9" xfId="6317" xr:uid="{5CE6E55C-9759-4B7D-A19C-B977CCD32F8A}"/>
    <cellStyle name="Millares 2 4 2 3" xfId="2970" xr:uid="{00000000-0005-0000-0000-000030030000}"/>
    <cellStyle name="Millares 2 4 2 3 2" xfId="3172" xr:uid="{00000000-0005-0000-0000-000031030000}"/>
    <cellStyle name="Millares 2 4 2 3 2 2" xfId="3565" xr:uid="{00000000-0005-0000-0000-000032030000}"/>
    <cellStyle name="Millares 2 4 2 3 2 2 2" xfId="5269" xr:uid="{917160A7-9D04-4600-A676-48CB31837420}"/>
    <cellStyle name="Millares 2 4 2 3 2 2 3" xfId="6946" xr:uid="{FDF6A0C9-76C2-45F9-BF20-B3D3A5FA663B}"/>
    <cellStyle name="Millares 2 4 2 3 2 3" xfId="3960" xr:uid="{00000000-0005-0000-0000-000033030000}"/>
    <cellStyle name="Millares 2 4 2 3 2 3 2" xfId="5658" xr:uid="{5D83A2A0-6F83-44DC-9290-5029532972B2}"/>
    <cellStyle name="Millares 2 4 2 3 2 3 3" xfId="7335" xr:uid="{6A070219-8F18-40B6-8D86-5D5694AF3666}"/>
    <cellStyle name="Millares 2 4 2 3 2 4" xfId="4467" xr:uid="{CC721A06-2E42-446F-8DC3-FB1D3218AD8F}"/>
    <cellStyle name="Millares 2 4 2 3 2 4 2" xfId="6148" xr:uid="{EEEBD367-2231-44A5-AD22-3CE65FCA79C3}"/>
    <cellStyle name="Millares 2 4 2 3 2 4 3" xfId="7825" xr:uid="{5E34854A-A45D-48F7-9DF6-4B2783E8B0E6}"/>
    <cellStyle name="Millares 2 4 2 3 2 5" xfId="4881" xr:uid="{4FDDA252-22CA-4A48-8B0B-5192D91DAB1B}"/>
    <cellStyle name="Millares 2 4 2 3 2 6" xfId="6558" xr:uid="{2C5B1BFA-B0E7-41E1-88BB-7AFBCA86B1F4}"/>
    <cellStyle name="Millares 2 4 2 3 3" xfId="3371" xr:uid="{00000000-0005-0000-0000-000034030000}"/>
    <cellStyle name="Millares 2 4 2 3 3 2" xfId="5075" xr:uid="{A9655EB4-7565-4981-89EE-28C983E29273}"/>
    <cellStyle name="Millares 2 4 2 3 3 3" xfId="6752" xr:uid="{B0FC9554-4912-4182-923E-160AA61BE2CE}"/>
    <cellStyle name="Millares 2 4 2 3 4" xfId="3766" xr:uid="{00000000-0005-0000-0000-000035030000}"/>
    <cellStyle name="Millares 2 4 2 3 4 2" xfId="5464" xr:uid="{B2C274DD-4889-4E59-90D9-3213A298A7E0}"/>
    <cellStyle name="Millares 2 4 2 3 4 3" xfId="7141" xr:uid="{F208FB47-7007-41E7-85DC-1CA47A0D16D3}"/>
    <cellStyle name="Millares 2 4 2 3 5" xfId="4273" xr:uid="{BBA99F3A-AB63-467F-B92A-D871D2B09A23}"/>
    <cellStyle name="Millares 2 4 2 3 5 2" xfId="5954" xr:uid="{D96A2036-3456-4CDA-999D-4B61AD08F822}"/>
    <cellStyle name="Millares 2 4 2 3 5 3" xfId="7631" xr:uid="{2192A968-F8D0-4E97-ADA2-C941293117A6}"/>
    <cellStyle name="Millares 2 4 2 3 6" xfId="4687" xr:uid="{D9271F6A-6841-48CE-A445-B77273C364A3}"/>
    <cellStyle name="Millares 2 4 2 3 7" xfId="6364" xr:uid="{C1113AA4-6183-4C56-8251-D3F7EA702B7B}"/>
    <cellStyle name="Millares 2 4 2 4" xfId="3076" xr:uid="{00000000-0005-0000-0000-000036030000}"/>
    <cellStyle name="Millares 2 4 2 4 2" xfId="3469" xr:uid="{00000000-0005-0000-0000-000037030000}"/>
    <cellStyle name="Millares 2 4 2 4 2 2" xfId="5173" xr:uid="{E5677444-5E48-4E45-9CB8-1D44F04C54D5}"/>
    <cellStyle name="Millares 2 4 2 4 2 3" xfId="6850" xr:uid="{B0BC848B-4673-4309-B703-70F6D3FCF071}"/>
    <cellStyle name="Millares 2 4 2 4 3" xfId="3864" xr:uid="{00000000-0005-0000-0000-000038030000}"/>
    <cellStyle name="Millares 2 4 2 4 3 2" xfId="5562" xr:uid="{A9499A6D-66F4-4648-894E-7A68000E6403}"/>
    <cellStyle name="Millares 2 4 2 4 3 3" xfId="7239" xr:uid="{EA276EE9-B545-4C87-9490-91C449802F13}"/>
    <cellStyle name="Millares 2 4 2 4 4" xfId="4371" xr:uid="{1AE86EC3-05C0-43D3-BBEC-4A1C862639C2}"/>
    <cellStyle name="Millares 2 4 2 4 4 2" xfId="6052" xr:uid="{D4D0BD33-5CB2-4B2B-BC65-5A443C076AE8}"/>
    <cellStyle name="Millares 2 4 2 4 4 3" xfId="7729" xr:uid="{5F21085A-FBD4-4ED0-ABE9-F829B5937A1C}"/>
    <cellStyle name="Millares 2 4 2 4 5" xfId="4785" xr:uid="{DA0443F7-414F-44B4-8B05-27984A82EFB0}"/>
    <cellStyle name="Millares 2 4 2 4 6" xfId="6462" xr:uid="{83C7CC6A-4ADA-430A-B9E2-E5CEEAAFCCB5}"/>
    <cellStyle name="Millares 2 4 2 5" xfId="3274" xr:uid="{00000000-0005-0000-0000-000039030000}"/>
    <cellStyle name="Millares 2 4 2 5 2" xfId="4979" xr:uid="{456A48B3-331D-44A3-ACBB-B5290F906E83}"/>
    <cellStyle name="Millares 2 4 2 5 3" xfId="6656" xr:uid="{DC87B34D-B333-45DA-9B8F-D428AD3B1BC5}"/>
    <cellStyle name="Millares 2 4 2 6" xfId="3668" xr:uid="{00000000-0005-0000-0000-00003A030000}"/>
    <cellStyle name="Millares 2 4 2 6 2" xfId="5367" xr:uid="{15B5E336-E03B-447E-9336-F57F579D660E}"/>
    <cellStyle name="Millares 2 4 2 6 3" xfId="7044" xr:uid="{8B2DA8A3-28CC-4B6A-B4EF-7FB6A45A6B8B}"/>
    <cellStyle name="Millares 2 4 2 7" xfId="4066" xr:uid="{00000000-0005-0000-0000-00003B030000}"/>
    <cellStyle name="Millares 2 4 2 7 2" xfId="5758" xr:uid="{FF95E2CB-F0B4-4E98-AF19-0AA99E426DA8}"/>
    <cellStyle name="Millares 2 4 2 7 3" xfId="7435" xr:uid="{6D95BA11-5A26-4696-9A90-01FC806C7495}"/>
    <cellStyle name="Millares 2 4 2 8" xfId="4171" xr:uid="{EF3BC198-ECFA-4C59-B2C1-F67FFBE1DB7B}"/>
    <cellStyle name="Millares 2 4 2 8 2" xfId="5856" xr:uid="{40BC333C-BBDE-428A-9CF3-06C710DBC5C1}"/>
    <cellStyle name="Millares 2 4 2 8 3" xfId="7533" xr:uid="{41EADD15-0767-42A8-9003-B5FAB208CBE3}"/>
    <cellStyle name="Millares 2 4 2 9" xfId="4588" xr:uid="{A276D2EA-5FF3-451B-A9F1-9EBEB977B5CB}"/>
    <cellStyle name="Millares 2 4 3" xfId="220" xr:uid="{00000000-0005-0000-0000-00003C030000}"/>
    <cellStyle name="Millares 2 4 3 10" xfId="6266" xr:uid="{AFA89A0B-B536-481D-9048-CF3129CC7141}"/>
    <cellStyle name="Millares 2 4 3 2" xfId="2894" xr:uid="{00000000-0005-0000-0000-00003D030000}"/>
    <cellStyle name="Millares 2 4 3 2 2" xfId="3026" xr:uid="{00000000-0005-0000-0000-00003E030000}"/>
    <cellStyle name="Millares 2 4 3 2 2 2" xfId="3224" xr:uid="{00000000-0005-0000-0000-00003F030000}"/>
    <cellStyle name="Millares 2 4 3 2 2 2 2" xfId="3617" xr:uid="{00000000-0005-0000-0000-000040030000}"/>
    <cellStyle name="Millares 2 4 3 2 2 2 2 2" xfId="5321" xr:uid="{23FAD679-F926-4714-8B00-75B5752C4E9E}"/>
    <cellStyle name="Millares 2 4 3 2 2 2 2 3" xfId="6998" xr:uid="{B40C2E4F-F7CF-4893-AEDE-46914894700A}"/>
    <cellStyle name="Millares 2 4 3 2 2 2 3" xfId="4012" xr:uid="{00000000-0005-0000-0000-000041030000}"/>
    <cellStyle name="Millares 2 4 3 2 2 2 3 2" xfId="5710" xr:uid="{3D0F0257-7875-4D0F-A376-8E23A59D02D3}"/>
    <cellStyle name="Millares 2 4 3 2 2 2 3 3" xfId="7387" xr:uid="{57C3BFE7-2E3A-4575-8E8A-9BF3091431FE}"/>
    <cellStyle name="Millares 2 4 3 2 2 2 4" xfId="4519" xr:uid="{0B082643-4FE7-484D-807B-E229CD6A4AEA}"/>
    <cellStyle name="Millares 2 4 3 2 2 2 4 2" xfId="6200" xr:uid="{BF48AEE5-3292-4002-AE45-B3931F377E09}"/>
    <cellStyle name="Millares 2 4 3 2 2 2 4 3" xfId="7877" xr:uid="{D2409C5C-3C25-4DC3-A53D-6A790514B1A8}"/>
    <cellStyle name="Millares 2 4 3 2 2 2 5" xfId="4933" xr:uid="{128670D2-17F7-4759-BF1D-BF71735A0D6B}"/>
    <cellStyle name="Millares 2 4 3 2 2 2 6" xfId="6610" xr:uid="{F9CF2FFA-37E1-46D2-8138-9E5FF3B8F8DC}"/>
    <cellStyle name="Millares 2 4 3 2 2 3" xfId="3423" xr:uid="{00000000-0005-0000-0000-000042030000}"/>
    <cellStyle name="Millares 2 4 3 2 2 3 2" xfId="5127" xr:uid="{58059F1D-964F-4F79-9EEC-4297A12952FF}"/>
    <cellStyle name="Millares 2 4 3 2 2 3 3" xfId="6804" xr:uid="{34F71EB8-2726-42EE-8DC2-7EEF369C25D0}"/>
    <cellStyle name="Millares 2 4 3 2 2 4" xfId="3818" xr:uid="{00000000-0005-0000-0000-000043030000}"/>
    <cellStyle name="Millares 2 4 3 2 2 4 2" xfId="5516" xr:uid="{C9F7721A-1BC7-4531-A401-6FF81114F2EF}"/>
    <cellStyle name="Millares 2 4 3 2 2 4 3" xfId="7193" xr:uid="{3F6EDE64-9B54-4825-B01C-905A6C3D1C39}"/>
    <cellStyle name="Millares 2 4 3 2 2 5" xfId="4325" xr:uid="{1067E36A-9915-479B-8C8E-06E36C70B702}"/>
    <cellStyle name="Millares 2 4 3 2 2 5 2" xfId="6006" xr:uid="{DCA7D969-81F0-4C0D-8B82-9A6318332912}"/>
    <cellStyle name="Millares 2 4 3 2 2 5 3" xfId="7683" xr:uid="{2B8F3374-64CE-4095-895F-E707827BD0DD}"/>
    <cellStyle name="Millares 2 4 3 2 2 6" xfId="4739" xr:uid="{0F3E8FEB-C9D0-4782-A7C8-28BEB15A034A}"/>
    <cellStyle name="Millares 2 4 3 2 2 7" xfId="6416" xr:uid="{613DCD1A-2505-4BA7-814D-738A622EDB52}"/>
    <cellStyle name="Millares 2 4 3 2 3" xfId="3126" xr:uid="{00000000-0005-0000-0000-000044030000}"/>
    <cellStyle name="Millares 2 4 3 2 3 2" xfId="3519" xr:uid="{00000000-0005-0000-0000-000045030000}"/>
    <cellStyle name="Millares 2 4 3 2 3 2 2" xfId="5223" xr:uid="{FD5D9ADD-0945-4CEF-847A-B74A14138435}"/>
    <cellStyle name="Millares 2 4 3 2 3 2 3" xfId="6900" xr:uid="{47B22DF9-757E-467E-80DF-B63BC8A8802F}"/>
    <cellStyle name="Millares 2 4 3 2 3 3" xfId="3914" xr:uid="{00000000-0005-0000-0000-000046030000}"/>
    <cellStyle name="Millares 2 4 3 2 3 3 2" xfId="5612" xr:uid="{68D4624D-78F9-496B-9230-576C3AE0B239}"/>
    <cellStyle name="Millares 2 4 3 2 3 3 3" xfId="7289" xr:uid="{1FBC8F86-6F37-4471-92AA-7A6C7CB27BAF}"/>
    <cellStyle name="Millares 2 4 3 2 3 4" xfId="4421" xr:uid="{1CA0AD7C-D90B-4043-915D-B05556EF0EDC}"/>
    <cellStyle name="Millares 2 4 3 2 3 4 2" xfId="6102" xr:uid="{F0E5D782-EC95-408E-9344-BCCF50693CE7}"/>
    <cellStyle name="Millares 2 4 3 2 3 4 3" xfId="7779" xr:uid="{257B822F-EB09-4910-A069-E54CAE015335}"/>
    <cellStyle name="Millares 2 4 3 2 3 5" xfId="4835" xr:uid="{C8F2E846-DD56-4218-A778-94DFF8255984}"/>
    <cellStyle name="Millares 2 4 3 2 3 6" xfId="6512" xr:uid="{213E6DF6-B30D-4393-959D-24841356799D}"/>
    <cellStyle name="Millares 2 4 3 2 4" xfId="3325" xr:uid="{00000000-0005-0000-0000-000047030000}"/>
    <cellStyle name="Millares 2 4 3 2 4 2" xfId="5029" xr:uid="{D76EAC55-FE4E-4EF6-86D5-E347C7125BE3}"/>
    <cellStyle name="Millares 2 4 3 2 4 3" xfId="6706" xr:uid="{5CE4F3EF-0BFE-45DA-861B-D8843FF84125}"/>
    <cellStyle name="Millares 2 4 3 2 5" xfId="3720" xr:uid="{00000000-0005-0000-0000-000048030000}"/>
    <cellStyle name="Millares 2 4 3 2 5 2" xfId="5418" xr:uid="{371AE1AD-FEC4-469B-BAD0-60B2CEFDBBD5}"/>
    <cellStyle name="Millares 2 4 3 2 5 3" xfId="7095" xr:uid="{EE1538B3-68CB-4483-9689-1AF8978601A8}"/>
    <cellStyle name="Millares 2 4 3 2 6" xfId="4118" xr:uid="{00000000-0005-0000-0000-000049030000}"/>
    <cellStyle name="Millares 2 4 3 2 6 2" xfId="5810" xr:uid="{491EEEF8-879C-4C27-8EA1-4BE5FB3CAB2A}"/>
    <cellStyle name="Millares 2 4 3 2 6 3" xfId="7487" xr:uid="{6A65F6B0-434F-4A2A-AA10-9DA0DF0C386E}"/>
    <cellStyle name="Millares 2 4 3 2 7" xfId="4227" xr:uid="{5D82E7EC-3F7F-427C-BA0B-AD23CF6F7884}"/>
    <cellStyle name="Millares 2 4 3 2 7 2" xfId="5908" xr:uid="{30F592ED-E9BA-4257-971A-DD727E564730}"/>
    <cellStyle name="Millares 2 4 3 2 7 3" xfId="7585" xr:uid="{DBE18513-1C53-44A5-B960-AA59D085176C}"/>
    <cellStyle name="Millares 2 4 3 2 8" xfId="4641" xr:uid="{03AE1215-8B97-4F42-92A6-9CA8DFA21F18}"/>
    <cellStyle name="Millares 2 4 3 2 9" xfId="6318" xr:uid="{DB8E3571-CFD4-4DB7-9BEF-021749AE4FEE}"/>
    <cellStyle name="Millares 2 4 3 3" xfId="2971" xr:uid="{00000000-0005-0000-0000-00004A030000}"/>
    <cellStyle name="Millares 2 4 3 3 2" xfId="3173" xr:uid="{00000000-0005-0000-0000-00004B030000}"/>
    <cellStyle name="Millares 2 4 3 3 2 2" xfId="3566" xr:uid="{00000000-0005-0000-0000-00004C030000}"/>
    <cellStyle name="Millares 2 4 3 3 2 2 2" xfId="5270" xr:uid="{8F1693FA-980E-4B93-8FE2-3972C1711240}"/>
    <cellStyle name="Millares 2 4 3 3 2 2 3" xfId="6947" xr:uid="{D7FE9935-6548-4542-B1EA-058064DC244B}"/>
    <cellStyle name="Millares 2 4 3 3 2 3" xfId="3961" xr:uid="{00000000-0005-0000-0000-00004D030000}"/>
    <cellStyle name="Millares 2 4 3 3 2 3 2" xfId="5659" xr:uid="{EF59D745-84CE-4033-B369-87E8EDA4D67E}"/>
    <cellStyle name="Millares 2 4 3 3 2 3 3" xfId="7336" xr:uid="{8F227CE4-1918-49C9-9506-FD5AEE88F57F}"/>
    <cellStyle name="Millares 2 4 3 3 2 4" xfId="4468" xr:uid="{F480DA2E-6E98-40FD-83DF-A9EC26B3C0E3}"/>
    <cellStyle name="Millares 2 4 3 3 2 4 2" xfId="6149" xr:uid="{357248B7-4A36-48E0-B121-D6F2BEB5B35B}"/>
    <cellStyle name="Millares 2 4 3 3 2 4 3" xfId="7826" xr:uid="{276502AE-FADC-428D-AFC2-455615C255A0}"/>
    <cellStyle name="Millares 2 4 3 3 2 5" xfId="4882" xr:uid="{C26E55BB-4F2D-4A14-8813-F9CD3FC0A26E}"/>
    <cellStyle name="Millares 2 4 3 3 2 6" xfId="6559" xr:uid="{1E220A9C-6514-4E2D-A972-1696C72CE5D4}"/>
    <cellStyle name="Millares 2 4 3 3 3" xfId="3372" xr:uid="{00000000-0005-0000-0000-00004E030000}"/>
    <cellStyle name="Millares 2 4 3 3 3 2" xfId="5076" xr:uid="{62CB36C0-96A6-4750-9EFE-9962B2985001}"/>
    <cellStyle name="Millares 2 4 3 3 3 3" xfId="6753" xr:uid="{70156BA8-2C3B-491C-9CF8-8C74FB205C97}"/>
    <cellStyle name="Millares 2 4 3 3 4" xfId="3767" xr:uid="{00000000-0005-0000-0000-00004F030000}"/>
    <cellStyle name="Millares 2 4 3 3 4 2" xfId="5465" xr:uid="{EDCBFC71-8B99-4CC9-8D5D-B2209EB36A1A}"/>
    <cellStyle name="Millares 2 4 3 3 4 3" xfId="7142" xr:uid="{141EA343-870B-4A73-9684-48412A307850}"/>
    <cellStyle name="Millares 2 4 3 3 5" xfId="4274" xr:uid="{5A7874F9-90DD-44C8-9991-1F690A16975A}"/>
    <cellStyle name="Millares 2 4 3 3 5 2" xfId="5955" xr:uid="{A4E28418-8219-46EA-9B1C-8CF48659AF48}"/>
    <cellStyle name="Millares 2 4 3 3 5 3" xfId="7632" xr:uid="{EDB6DA6A-4C5F-4399-B943-9A4128C77D0C}"/>
    <cellStyle name="Millares 2 4 3 3 6" xfId="4688" xr:uid="{0E985D36-A738-48B9-AE88-09E27B09D6F1}"/>
    <cellStyle name="Millares 2 4 3 3 7" xfId="6365" xr:uid="{79D19AF0-AA08-46D5-948B-11E4E889BCE9}"/>
    <cellStyle name="Millares 2 4 3 4" xfId="3077" xr:uid="{00000000-0005-0000-0000-000050030000}"/>
    <cellStyle name="Millares 2 4 3 4 2" xfId="3470" xr:uid="{00000000-0005-0000-0000-000051030000}"/>
    <cellStyle name="Millares 2 4 3 4 2 2" xfId="5174" xr:uid="{18846434-3663-485A-A1B1-B322B2D7AC39}"/>
    <cellStyle name="Millares 2 4 3 4 2 3" xfId="6851" xr:uid="{9C4EF81E-78E9-49D4-9E80-C9D43813DFC8}"/>
    <cellStyle name="Millares 2 4 3 4 3" xfId="3865" xr:uid="{00000000-0005-0000-0000-000052030000}"/>
    <cellStyle name="Millares 2 4 3 4 3 2" xfId="5563" xr:uid="{9BF907CD-CD81-46AA-862C-845B59D69C3A}"/>
    <cellStyle name="Millares 2 4 3 4 3 3" xfId="7240" xr:uid="{0C824AB2-2450-455E-A551-E45F038D0E63}"/>
    <cellStyle name="Millares 2 4 3 4 4" xfId="4372" xr:uid="{99AB0B5E-6E03-4EE1-920F-21E3F877D78B}"/>
    <cellStyle name="Millares 2 4 3 4 4 2" xfId="6053" xr:uid="{DADAD50D-2B1C-4BF0-BB3F-B06F935DCF7E}"/>
    <cellStyle name="Millares 2 4 3 4 4 3" xfId="7730" xr:uid="{0C7A2726-D390-4D37-9C2B-9B8C5BCF4A87}"/>
    <cellStyle name="Millares 2 4 3 4 5" xfId="4786" xr:uid="{3D9E5F26-A0B2-4AF8-8A98-30FF8B9AA73B}"/>
    <cellStyle name="Millares 2 4 3 4 6" xfId="6463" xr:uid="{AFAB8437-EAD3-4976-9050-ED07E097C361}"/>
    <cellStyle name="Millares 2 4 3 5" xfId="3275" xr:uid="{00000000-0005-0000-0000-000053030000}"/>
    <cellStyle name="Millares 2 4 3 5 2" xfId="4980" xr:uid="{B33B4C23-6A57-46C5-82F1-AB5EDB39CC42}"/>
    <cellStyle name="Millares 2 4 3 5 3" xfId="6657" xr:uid="{38EC858A-9CD5-4A2E-8DD7-10FEC9913342}"/>
    <cellStyle name="Millares 2 4 3 6" xfId="3669" xr:uid="{00000000-0005-0000-0000-000054030000}"/>
    <cellStyle name="Millares 2 4 3 6 2" xfId="5368" xr:uid="{107760F2-2D28-4B2F-870E-98A24D56DC42}"/>
    <cellStyle name="Millares 2 4 3 6 3" xfId="7045" xr:uid="{418CBC4D-26B9-4E94-95C9-4C87C923A7B8}"/>
    <cellStyle name="Millares 2 4 3 7" xfId="4067" xr:uid="{00000000-0005-0000-0000-000055030000}"/>
    <cellStyle name="Millares 2 4 3 7 2" xfId="5759" xr:uid="{3328AD3F-CC86-48BF-9EE4-11D9947244AC}"/>
    <cellStyle name="Millares 2 4 3 7 3" xfId="7436" xr:uid="{13BDE0C7-DD3E-4165-BF81-B64BE6529695}"/>
    <cellStyle name="Millares 2 4 3 8" xfId="4172" xr:uid="{0A800394-E9A5-4587-BA4B-C69CAA2604DF}"/>
    <cellStyle name="Millares 2 4 3 8 2" xfId="5857" xr:uid="{530BE895-212F-49B2-9C35-DB4D06605242}"/>
    <cellStyle name="Millares 2 4 3 8 3" xfId="7534" xr:uid="{B5FAFD57-223E-4FE7-A218-D0145FE19FE6}"/>
    <cellStyle name="Millares 2 4 3 9" xfId="4589" xr:uid="{C7487134-0DB7-47F2-B592-A37609AE5F55}"/>
    <cellStyle name="Millares 2 4 4" xfId="2892" xr:uid="{00000000-0005-0000-0000-000056030000}"/>
    <cellStyle name="Millares 2 4 4 2" xfId="3024" xr:uid="{00000000-0005-0000-0000-000057030000}"/>
    <cellStyle name="Millares 2 4 4 2 2" xfId="3222" xr:uid="{00000000-0005-0000-0000-000058030000}"/>
    <cellStyle name="Millares 2 4 4 2 2 2" xfId="3615" xr:uid="{00000000-0005-0000-0000-000059030000}"/>
    <cellStyle name="Millares 2 4 4 2 2 2 2" xfId="5319" xr:uid="{093BC434-1ECD-496C-8886-7EBA4DE5F86B}"/>
    <cellStyle name="Millares 2 4 4 2 2 2 3" xfId="6996" xr:uid="{53D7D11F-39AF-49F6-8FDF-5D0EB9F821B5}"/>
    <cellStyle name="Millares 2 4 4 2 2 3" xfId="4010" xr:uid="{00000000-0005-0000-0000-00005A030000}"/>
    <cellStyle name="Millares 2 4 4 2 2 3 2" xfId="5708" xr:uid="{988743D5-7FB6-4029-B0A5-A222C60555AA}"/>
    <cellStyle name="Millares 2 4 4 2 2 3 3" xfId="7385" xr:uid="{F6CE7532-E6E9-4260-B5B1-B42E6A0F605D}"/>
    <cellStyle name="Millares 2 4 4 2 2 4" xfId="4517" xr:uid="{DA89589F-AA1A-449F-97BF-DBADB977A4E9}"/>
    <cellStyle name="Millares 2 4 4 2 2 4 2" xfId="6198" xr:uid="{75CB6571-A613-4C43-9712-1D32A4687F97}"/>
    <cellStyle name="Millares 2 4 4 2 2 4 3" xfId="7875" xr:uid="{7B4C7B1C-A48D-4CED-85D8-9760C8E603B7}"/>
    <cellStyle name="Millares 2 4 4 2 2 5" xfId="4931" xr:uid="{777CE82B-69CC-467E-82A0-F7C91980E9AE}"/>
    <cellStyle name="Millares 2 4 4 2 2 6" xfId="6608" xr:uid="{873C1630-9974-4728-AB6A-C140EAE14A10}"/>
    <cellStyle name="Millares 2 4 4 2 3" xfId="3421" xr:uid="{00000000-0005-0000-0000-00005B030000}"/>
    <cellStyle name="Millares 2 4 4 2 3 2" xfId="5125" xr:uid="{5DE57850-EC56-484B-92C7-1D0A72D965E1}"/>
    <cellStyle name="Millares 2 4 4 2 3 3" xfId="6802" xr:uid="{D466D140-ECF0-4CD7-AC82-6F62A4B733BD}"/>
    <cellStyle name="Millares 2 4 4 2 4" xfId="3816" xr:uid="{00000000-0005-0000-0000-00005C030000}"/>
    <cellStyle name="Millares 2 4 4 2 4 2" xfId="5514" xr:uid="{B147EDB5-A1EC-42CA-A298-8EA60D39BC4E}"/>
    <cellStyle name="Millares 2 4 4 2 4 3" xfId="7191" xr:uid="{CE80E031-154F-440E-8300-022B41CBF46F}"/>
    <cellStyle name="Millares 2 4 4 2 5" xfId="4323" xr:uid="{555F6E33-C18A-4299-9EE9-AB4B5BEA5927}"/>
    <cellStyle name="Millares 2 4 4 2 5 2" xfId="6004" xr:uid="{4FDF18BB-E054-4D8E-A15C-C73F79B83E75}"/>
    <cellStyle name="Millares 2 4 4 2 5 3" xfId="7681" xr:uid="{D8DA9387-D4F0-4AF5-BD43-94120652AC42}"/>
    <cellStyle name="Millares 2 4 4 2 6" xfId="4737" xr:uid="{F3D5C789-B264-4FA9-B8C4-FEDE115818AE}"/>
    <cellStyle name="Millares 2 4 4 2 7" xfId="6414" xr:uid="{7F05FFBF-E58C-45C5-B904-9328E878B4FA}"/>
    <cellStyle name="Millares 2 4 4 3" xfId="3124" xr:uid="{00000000-0005-0000-0000-00005D030000}"/>
    <cellStyle name="Millares 2 4 4 3 2" xfId="3517" xr:uid="{00000000-0005-0000-0000-00005E030000}"/>
    <cellStyle name="Millares 2 4 4 3 2 2" xfId="5221" xr:uid="{5FABE0BD-D8A2-482B-A840-01DF73FEF89C}"/>
    <cellStyle name="Millares 2 4 4 3 2 3" xfId="6898" xr:uid="{53046FF8-E25F-4DFC-89E3-707EC657FD0C}"/>
    <cellStyle name="Millares 2 4 4 3 3" xfId="3912" xr:uid="{00000000-0005-0000-0000-00005F030000}"/>
    <cellStyle name="Millares 2 4 4 3 3 2" xfId="5610" xr:uid="{FF38C514-E5E5-4975-8DE8-A03BCBBE8855}"/>
    <cellStyle name="Millares 2 4 4 3 3 3" xfId="7287" xr:uid="{B70AB8BE-4C44-465E-B880-E8D99BC89039}"/>
    <cellStyle name="Millares 2 4 4 3 4" xfId="4419" xr:uid="{0F4838C6-B7D5-45D4-BA96-29E1FB35610A}"/>
    <cellStyle name="Millares 2 4 4 3 4 2" xfId="6100" xr:uid="{7DAD97C6-1D3F-4FAA-88A3-5150D3158047}"/>
    <cellStyle name="Millares 2 4 4 3 4 3" xfId="7777" xr:uid="{13216025-EB05-45E1-B2F7-B29E043772A9}"/>
    <cellStyle name="Millares 2 4 4 3 5" xfId="4833" xr:uid="{6C9E383F-FC59-4EAC-8E4A-D74C6117DF07}"/>
    <cellStyle name="Millares 2 4 4 3 6" xfId="6510" xr:uid="{2E8FF6CA-BDBC-4E07-A2E9-22E80AE6D60F}"/>
    <cellStyle name="Millares 2 4 4 4" xfId="3323" xr:uid="{00000000-0005-0000-0000-000060030000}"/>
    <cellStyle name="Millares 2 4 4 4 2" xfId="5027" xr:uid="{DC6E3956-D449-4192-901D-E2AA2C75D7CD}"/>
    <cellStyle name="Millares 2 4 4 4 3" xfId="6704" xr:uid="{DC6D205F-1473-4A5E-98F4-3B4121F6626A}"/>
    <cellStyle name="Millares 2 4 4 5" xfId="3718" xr:uid="{00000000-0005-0000-0000-000061030000}"/>
    <cellStyle name="Millares 2 4 4 5 2" xfId="5416" xr:uid="{725D053C-EBA9-48AE-A3EA-A0558C7ED3F3}"/>
    <cellStyle name="Millares 2 4 4 5 3" xfId="7093" xr:uid="{2A290ED0-E7D6-4EB7-A62E-B75D1DC0B278}"/>
    <cellStyle name="Millares 2 4 4 6" xfId="4116" xr:uid="{00000000-0005-0000-0000-000062030000}"/>
    <cellStyle name="Millares 2 4 4 6 2" xfId="5808" xr:uid="{E5D775F3-7C3F-426A-A515-2F292DA6BD5C}"/>
    <cellStyle name="Millares 2 4 4 6 3" xfId="7485" xr:uid="{80D406B9-85B0-4DCF-9F9F-99F4B20B8FF3}"/>
    <cellStyle name="Millares 2 4 4 7" xfId="4225" xr:uid="{7FB192C9-304B-4E7D-88F2-5CB6D93F7151}"/>
    <cellStyle name="Millares 2 4 4 7 2" xfId="5906" xr:uid="{68D0921E-02B2-4E21-BB36-8723C406C566}"/>
    <cellStyle name="Millares 2 4 4 7 3" xfId="7583" xr:uid="{E3CA946C-E323-4EF6-BB1D-296C15A8E435}"/>
    <cellStyle name="Millares 2 4 4 8" xfId="4639" xr:uid="{72FA3714-BA09-477D-A0AB-E50F2B7F60D4}"/>
    <cellStyle name="Millares 2 4 4 9" xfId="6316" xr:uid="{34B4F95B-3AF1-4DB4-9868-ECF9CFBEDEF3}"/>
    <cellStyle name="Millares 2 4 5" xfId="2969" xr:uid="{00000000-0005-0000-0000-000063030000}"/>
    <cellStyle name="Millares 2 4 5 2" xfId="3171" xr:uid="{00000000-0005-0000-0000-000064030000}"/>
    <cellStyle name="Millares 2 4 5 2 2" xfId="3564" xr:uid="{00000000-0005-0000-0000-000065030000}"/>
    <cellStyle name="Millares 2 4 5 2 2 2" xfId="5268" xr:uid="{B949A412-3B78-4AE3-84B0-01A95BF34DFF}"/>
    <cellStyle name="Millares 2 4 5 2 2 3" xfId="6945" xr:uid="{ED205D69-C23B-4A5C-805D-D9B15947CA92}"/>
    <cellStyle name="Millares 2 4 5 2 3" xfId="3959" xr:uid="{00000000-0005-0000-0000-000066030000}"/>
    <cellStyle name="Millares 2 4 5 2 3 2" xfId="5657" xr:uid="{9E19AB5C-3E4E-4628-B8D8-7B7AD55BD3C4}"/>
    <cellStyle name="Millares 2 4 5 2 3 3" xfId="7334" xr:uid="{8FF4DD0D-E88A-4166-A12F-5665C04FF040}"/>
    <cellStyle name="Millares 2 4 5 2 4" xfId="4466" xr:uid="{96905D0B-74C7-4716-9028-48BD0F24BC61}"/>
    <cellStyle name="Millares 2 4 5 2 4 2" xfId="6147" xr:uid="{1D58AFE2-E924-4C80-BCBD-13796A1C3632}"/>
    <cellStyle name="Millares 2 4 5 2 4 3" xfId="7824" xr:uid="{3D559056-3BFE-4358-9D2D-DCC098D09FE8}"/>
    <cellStyle name="Millares 2 4 5 2 5" xfId="4880" xr:uid="{866CB9FB-1F72-4B3A-B479-76617FD1B195}"/>
    <cellStyle name="Millares 2 4 5 2 6" xfId="6557" xr:uid="{390B696F-D9DE-45F0-914F-BEDD33754C62}"/>
    <cellStyle name="Millares 2 4 5 3" xfId="3370" xr:uid="{00000000-0005-0000-0000-000067030000}"/>
    <cellStyle name="Millares 2 4 5 3 2" xfId="5074" xr:uid="{4C38C8EE-3B93-409C-926C-9C56647AA189}"/>
    <cellStyle name="Millares 2 4 5 3 3" xfId="6751" xr:uid="{B285D963-47B6-4AE3-BE4C-FF09FFD0E66C}"/>
    <cellStyle name="Millares 2 4 5 4" xfId="3765" xr:uid="{00000000-0005-0000-0000-000068030000}"/>
    <cellStyle name="Millares 2 4 5 4 2" xfId="5463" xr:uid="{7185F117-E81A-4461-A0D5-863171C8C880}"/>
    <cellStyle name="Millares 2 4 5 4 3" xfId="7140" xr:uid="{716980B0-0294-4C45-A00D-750105BF2072}"/>
    <cellStyle name="Millares 2 4 5 5" xfId="4272" xr:uid="{E0F625CC-F2B1-4D57-83DD-D06D837284C4}"/>
    <cellStyle name="Millares 2 4 5 5 2" xfId="5953" xr:uid="{5AC5E1D1-34A1-4FC8-98D1-A78B4DC653C8}"/>
    <cellStyle name="Millares 2 4 5 5 3" xfId="7630" xr:uid="{393CCCAA-674E-4369-A5C2-729DB7EFA3D2}"/>
    <cellStyle name="Millares 2 4 5 6" xfId="4686" xr:uid="{AC86AE2D-FDF7-45B0-9608-7C51A9BAD81B}"/>
    <cellStyle name="Millares 2 4 5 7" xfId="6363" xr:uid="{5D401477-FD0F-4413-A4C5-2DEF98725CE6}"/>
    <cellStyle name="Millares 2 4 6" xfId="3075" xr:uid="{00000000-0005-0000-0000-000069030000}"/>
    <cellStyle name="Millares 2 4 6 2" xfId="3468" xr:uid="{00000000-0005-0000-0000-00006A030000}"/>
    <cellStyle name="Millares 2 4 6 2 2" xfId="5172" xr:uid="{FB2B3A67-C182-4322-8DDE-CCC46F218A14}"/>
    <cellStyle name="Millares 2 4 6 2 3" xfId="6849" xr:uid="{3AA7B0AF-1356-49A8-81A6-6E7CB333E53B}"/>
    <cellStyle name="Millares 2 4 6 3" xfId="3863" xr:uid="{00000000-0005-0000-0000-00006B030000}"/>
    <cellStyle name="Millares 2 4 6 3 2" xfId="5561" xr:uid="{54C19695-AA87-4883-B274-40CEE728458C}"/>
    <cellStyle name="Millares 2 4 6 3 3" xfId="7238" xr:uid="{7582A5F3-826B-4EA7-8193-ED16ABD2F01B}"/>
    <cellStyle name="Millares 2 4 6 4" xfId="4370" xr:uid="{ADCD5B13-CB1D-45E6-B341-9CBF2EF4C578}"/>
    <cellStyle name="Millares 2 4 6 4 2" xfId="6051" xr:uid="{175970BD-CD23-4CDC-A45E-98EBFD01FE8A}"/>
    <cellStyle name="Millares 2 4 6 4 3" xfId="7728" xr:uid="{2C1F825F-E289-4B12-ABD0-FFC9330B876B}"/>
    <cellStyle name="Millares 2 4 6 5" xfId="4784" xr:uid="{045EFB30-FBEA-4D5D-8992-D20822216E0A}"/>
    <cellStyle name="Millares 2 4 6 6" xfId="6461" xr:uid="{041856A7-F82E-478F-BA11-818DDA1C49EE}"/>
    <cellStyle name="Millares 2 4 7" xfId="3273" xr:uid="{00000000-0005-0000-0000-00006C030000}"/>
    <cellStyle name="Millares 2 4 7 2" xfId="4978" xr:uid="{55DD8A03-8C0A-4500-8BB0-8D636196C480}"/>
    <cellStyle name="Millares 2 4 7 3" xfId="6655" xr:uid="{9A54CFFF-338A-4C81-83B6-6F77912F4C4F}"/>
    <cellStyle name="Millares 2 4 8" xfId="3667" xr:uid="{00000000-0005-0000-0000-00006D030000}"/>
    <cellStyle name="Millares 2 4 8 2" xfId="5366" xr:uid="{09C6677B-5AF7-460B-A6F0-164A4E71C449}"/>
    <cellStyle name="Millares 2 4 8 3" xfId="7043" xr:uid="{7F8C8E98-1BDC-4F40-8654-D59B9B0804D0}"/>
    <cellStyle name="Millares 2 4 9" xfId="4065" xr:uid="{00000000-0005-0000-0000-00006E030000}"/>
    <cellStyle name="Millares 2 4 9 2" xfId="5757" xr:uid="{7D0C4562-056B-41FD-B027-7C9B93B96761}"/>
    <cellStyle name="Millares 2 4 9 3" xfId="7434" xr:uid="{B6DA6639-F3CE-4773-A102-37DFA38FB041}"/>
    <cellStyle name="Millares 2 5" xfId="221" xr:uid="{00000000-0005-0000-0000-00006F030000}"/>
    <cellStyle name="Millares 2 5 10" xfId="4590" xr:uid="{9E5D1938-3917-4A80-92C8-C3524AC9D0A4}"/>
    <cellStyle name="Millares 2 5 11" xfId="6267" xr:uid="{57339FAC-ADDE-4050-A472-B513F122C385}"/>
    <cellStyle name="Millares 2 5 2" xfId="222" xr:uid="{00000000-0005-0000-0000-000070030000}"/>
    <cellStyle name="Millares 2 5 2 10" xfId="6268" xr:uid="{76767283-73E1-40E0-B69E-C59D572EEA66}"/>
    <cellStyle name="Millares 2 5 2 2" xfId="2896" xr:uid="{00000000-0005-0000-0000-000071030000}"/>
    <cellStyle name="Millares 2 5 2 2 2" xfId="3028" xr:uid="{00000000-0005-0000-0000-000072030000}"/>
    <cellStyle name="Millares 2 5 2 2 2 2" xfId="3226" xr:uid="{00000000-0005-0000-0000-000073030000}"/>
    <cellStyle name="Millares 2 5 2 2 2 2 2" xfId="3619" xr:uid="{00000000-0005-0000-0000-000074030000}"/>
    <cellStyle name="Millares 2 5 2 2 2 2 2 2" xfId="5323" xr:uid="{85A6204B-EA81-4A2D-83FF-BC535C417274}"/>
    <cellStyle name="Millares 2 5 2 2 2 2 2 3" xfId="7000" xr:uid="{541BAA24-3C6E-4FC2-92E3-30632D948B3F}"/>
    <cellStyle name="Millares 2 5 2 2 2 2 3" xfId="4014" xr:uid="{00000000-0005-0000-0000-000075030000}"/>
    <cellStyle name="Millares 2 5 2 2 2 2 3 2" xfId="5712" xr:uid="{49C4E22F-48FB-432A-B62A-FC2EBC24B189}"/>
    <cellStyle name="Millares 2 5 2 2 2 2 3 3" xfId="7389" xr:uid="{713C03F0-8B6C-401B-A8F7-4BBDF361A88A}"/>
    <cellStyle name="Millares 2 5 2 2 2 2 4" xfId="4521" xr:uid="{DC2A3B3F-9980-4C55-803E-23055E7A3DD3}"/>
    <cellStyle name="Millares 2 5 2 2 2 2 4 2" xfId="6202" xr:uid="{89BA8071-FF96-4928-AB09-F135FFC36832}"/>
    <cellStyle name="Millares 2 5 2 2 2 2 4 3" xfId="7879" xr:uid="{DEB2E0C1-CB05-47CD-88D5-639C3A7F96B6}"/>
    <cellStyle name="Millares 2 5 2 2 2 2 5" xfId="4935" xr:uid="{246F6DCF-C5C3-4BC6-8942-86F413134BEC}"/>
    <cellStyle name="Millares 2 5 2 2 2 2 6" xfId="6612" xr:uid="{ADCC0FDE-5868-4668-960E-BFA971D9B283}"/>
    <cellStyle name="Millares 2 5 2 2 2 3" xfId="3425" xr:uid="{00000000-0005-0000-0000-000076030000}"/>
    <cellStyle name="Millares 2 5 2 2 2 3 2" xfId="5129" xr:uid="{F8D9AE69-102C-4803-87A7-B3531F1584FF}"/>
    <cellStyle name="Millares 2 5 2 2 2 3 3" xfId="6806" xr:uid="{DF744CD3-7DD3-4279-9D9C-2FFA07864E8E}"/>
    <cellStyle name="Millares 2 5 2 2 2 4" xfId="3820" xr:uid="{00000000-0005-0000-0000-000077030000}"/>
    <cellStyle name="Millares 2 5 2 2 2 4 2" xfId="5518" xr:uid="{CD29C2A4-D322-48B8-8332-8E2B10602FB1}"/>
    <cellStyle name="Millares 2 5 2 2 2 4 3" xfId="7195" xr:uid="{9976ABA6-E669-4602-B2A2-235AFFA1DB11}"/>
    <cellStyle name="Millares 2 5 2 2 2 5" xfId="4327" xr:uid="{39BAB6F4-BD3F-447E-8A28-E43064B6E099}"/>
    <cellStyle name="Millares 2 5 2 2 2 5 2" xfId="6008" xr:uid="{B298E6D9-F02E-4B46-8316-C71EDC7572C4}"/>
    <cellStyle name="Millares 2 5 2 2 2 5 3" xfId="7685" xr:uid="{8A04B1C4-1FA1-4810-9627-D16C1256E808}"/>
    <cellStyle name="Millares 2 5 2 2 2 6" xfId="4741" xr:uid="{CA1BA3B8-426C-4199-BE79-8499E6F10F2E}"/>
    <cellStyle name="Millares 2 5 2 2 2 7" xfId="6418" xr:uid="{E00E3AC6-2D6A-4DA1-B690-84279CC21137}"/>
    <cellStyle name="Millares 2 5 2 2 3" xfId="3128" xr:uid="{00000000-0005-0000-0000-000078030000}"/>
    <cellStyle name="Millares 2 5 2 2 3 2" xfId="3521" xr:uid="{00000000-0005-0000-0000-000079030000}"/>
    <cellStyle name="Millares 2 5 2 2 3 2 2" xfId="5225" xr:uid="{0FC81C41-76A6-46C5-A9C3-6A3691CB5A0C}"/>
    <cellStyle name="Millares 2 5 2 2 3 2 3" xfId="6902" xr:uid="{51455B64-A299-46C5-8EFA-E261F565DF1C}"/>
    <cellStyle name="Millares 2 5 2 2 3 3" xfId="3916" xr:uid="{00000000-0005-0000-0000-00007A030000}"/>
    <cellStyle name="Millares 2 5 2 2 3 3 2" xfId="5614" xr:uid="{2BC1A567-7B07-45C7-9B62-9DABD2E10A11}"/>
    <cellStyle name="Millares 2 5 2 2 3 3 3" xfId="7291" xr:uid="{4DCB7A73-4E49-49A9-971C-85C8222383F1}"/>
    <cellStyle name="Millares 2 5 2 2 3 4" xfId="4423" xr:uid="{2DDCA498-A76E-491F-8EFD-C364F9DB61A2}"/>
    <cellStyle name="Millares 2 5 2 2 3 4 2" xfId="6104" xr:uid="{1FF63154-53C2-4202-8B6F-11D76AD86F2C}"/>
    <cellStyle name="Millares 2 5 2 2 3 4 3" xfId="7781" xr:uid="{CBAEDCBA-6894-4A00-9685-4A923F1520EC}"/>
    <cellStyle name="Millares 2 5 2 2 3 5" xfId="4837" xr:uid="{A75ED10A-17BE-49EB-B775-0DFA98981635}"/>
    <cellStyle name="Millares 2 5 2 2 3 6" xfId="6514" xr:uid="{6238B05B-7D05-4A35-8F1D-8B3DF9BEF5FC}"/>
    <cellStyle name="Millares 2 5 2 2 4" xfId="3327" xr:uid="{00000000-0005-0000-0000-00007B030000}"/>
    <cellStyle name="Millares 2 5 2 2 4 2" xfId="5031" xr:uid="{55C78FFB-24EE-4B75-9144-27A3CAB3CC03}"/>
    <cellStyle name="Millares 2 5 2 2 4 3" xfId="6708" xr:uid="{280EF07F-44F6-49C8-8927-75E7DABDE110}"/>
    <cellStyle name="Millares 2 5 2 2 5" xfId="3722" xr:uid="{00000000-0005-0000-0000-00007C030000}"/>
    <cellStyle name="Millares 2 5 2 2 5 2" xfId="5420" xr:uid="{9B4A25B2-C280-4A2A-BFF2-EE16EB472B44}"/>
    <cellStyle name="Millares 2 5 2 2 5 3" xfId="7097" xr:uid="{D3BBC89A-2D20-49E9-88BA-326C185D6577}"/>
    <cellStyle name="Millares 2 5 2 2 6" xfId="4120" xr:uid="{00000000-0005-0000-0000-00007D030000}"/>
    <cellStyle name="Millares 2 5 2 2 6 2" xfId="5812" xr:uid="{B3ECC277-AE63-4E3F-8A89-5461C19C357C}"/>
    <cellStyle name="Millares 2 5 2 2 6 3" xfId="7489" xr:uid="{E8696BB0-AA10-48A1-9D5C-F02301833176}"/>
    <cellStyle name="Millares 2 5 2 2 7" xfId="4229" xr:uid="{38EC0DA5-2A50-4D59-BEB0-4BBCC875843E}"/>
    <cellStyle name="Millares 2 5 2 2 7 2" xfId="5910" xr:uid="{59D793AA-0B12-433F-A674-5F77B5B648E6}"/>
    <cellStyle name="Millares 2 5 2 2 7 3" xfId="7587" xr:uid="{1AA0AB3A-EA11-4423-8F04-69A781DEC593}"/>
    <cellStyle name="Millares 2 5 2 2 8" xfId="4643" xr:uid="{D8FE4FA3-CB8D-4381-9071-1B1F090D85CA}"/>
    <cellStyle name="Millares 2 5 2 2 9" xfId="6320" xr:uid="{EF5EC4F6-60A2-4C3D-BC91-D0DC07F24232}"/>
    <cellStyle name="Millares 2 5 2 3" xfId="2973" xr:uid="{00000000-0005-0000-0000-00007E030000}"/>
    <cellStyle name="Millares 2 5 2 3 2" xfId="3175" xr:uid="{00000000-0005-0000-0000-00007F030000}"/>
    <cellStyle name="Millares 2 5 2 3 2 2" xfId="3568" xr:uid="{00000000-0005-0000-0000-000080030000}"/>
    <cellStyle name="Millares 2 5 2 3 2 2 2" xfId="5272" xr:uid="{6409CBAF-28C9-499B-8911-1F547A8A20A5}"/>
    <cellStyle name="Millares 2 5 2 3 2 2 3" xfId="6949" xr:uid="{B21088B2-8D62-4866-8A83-89B3E86F45B2}"/>
    <cellStyle name="Millares 2 5 2 3 2 3" xfId="3963" xr:uid="{00000000-0005-0000-0000-000081030000}"/>
    <cellStyle name="Millares 2 5 2 3 2 3 2" xfId="5661" xr:uid="{CDB20864-24B5-43D7-8533-DF866FF9C2A3}"/>
    <cellStyle name="Millares 2 5 2 3 2 3 3" xfId="7338" xr:uid="{CD3C0587-C1C3-4E4D-B652-BCF04FA15E12}"/>
    <cellStyle name="Millares 2 5 2 3 2 4" xfId="4470" xr:uid="{CE9D72A6-7662-4D51-9134-D235B68E0EF6}"/>
    <cellStyle name="Millares 2 5 2 3 2 4 2" xfId="6151" xr:uid="{6A1D4E91-DBD8-49FE-8B37-F22CCB6FB449}"/>
    <cellStyle name="Millares 2 5 2 3 2 4 3" xfId="7828" xr:uid="{8D4D8F20-D90B-4997-AF04-44497D5E2675}"/>
    <cellStyle name="Millares 2 5 2 3 2 5" xfId="4884" xr:uid="{6F69B15D-08E7-4D6F-A792-E29945E5558E}"/>
    <cellStyle name="Millares 2 5 2 3 2 6" xfId="6561" xr:uid="{3977CB5F-6F2A-4E10-AA5E-D6ED9E544358}"/>
    <cellStyle name="Millares 2 5 2 3 3" xfId="3374" xr:uid="{00000000-0005-0000-0000-000082030000}"/>
    <cellStyle name="Millares 2 5 2 3 3 2" xfId="5078" xr:uid="{661D60D4-B902-4FEB-BE5F-63D4CC6BF63A}"/>
    <cellStyle name="Millares 2 5 2 3 3 3" xfId="6755" xr:uid="{B7EBA5EB-2512-436D-A16A-6CF854AD74D6}"/>
    <cellStyle name="Millares 2 5 2 3 4" xfId="3769" xr:uid="{00000000-0005-0000-0000-000083030000}"/>
    <cellStyle name="Millares 2 5 2 3 4 2" xfId="5467" xr:uid="{98CC7E57-C32E-4FC0-A63B-001017886EFB}"/>
    <cellStyle name="Millares 2 5 2 3 4 3" xfId="7144" xr:uid="{3B1D7B99-5BB4-4497-8D84-92B4035022DB}"/>
    <cellStyle name="Millares 2 5 2 3 5" xfId="4276" xr:uid="{3416FBD4-3935-42D2-9052-E6A3D0A485BE}"/>
    <cellStyle name="Millares 2 5 2 3 5 2" xfId="5957" xr:uid="{1B6263F9-D86F-4200-8C2D-EEBBF443EFEA}"/>
    <cellStyle name="Millares 2 5 2 3 5 3" xfId="7634" xr:uid="{414459B5-6576-4D62-9468-E5212C9EA38B}"/>
    <cellStyle name="Millares 2 5 2 3 6" xfId="4690" xr:uid="{2898CFCD-7FF2-49E9-BBD7-6FD4A406C04A}"/>
    <cellStyle name="Millares 2 5 2 3 7" xfId="6367" xr:uid="{F258FD3D-95FA-4887-89AE-8AA997683148}"/>
    <cellStyle name="Millares 2 5 2 4" xfId="3079" xr:uid="{00000000-0005-0000-0000-000084030000}"/>
    <cellStyle name="Millares 2 5 2 4 2" xfId="3472" xr:uid="{00000000-0005-0000-0000-000085030000}"/>
    <cellStyle name="Millares 2 5 2 4 2 2" xfId="5176" xr:uid="{9F8541CB-71A4-41BE-A0B5-5058BDC3EDB5}"/>
    <cellStyle name="Millares 2 5 2 4 2 3" xfId="6853" xr:uid="{D6BE3FD5-4F25-4815-9F7F-F5236048C104}"/>
    <cellStyle name="Millares 2 5 2 4 3" xfId="3867" xr:uid="{00000000-0005-0000-0000-000086030000}"/>
    <cellStyle name="Millares 2 5 2 4 3 2" xfId="5565" xr:uid="{92858D70-C3EA-4D00-BF52-C8A0F6C9E45F}"/>
    <cellStyle name="Millares 2 5 2 4 3 3" xfId="7242" xr:uid="{F4C42C83-6D59-4165-891D-A2EAC477EAE7}"/>
    <cellStyle name="Millares 2 5 2 4 4" xfId="4374" xr:uid="{DDDF07B3-04A9-4342-99AB-FD3A261972D9}"/>
    <cellStyle name="Millares 2 5 2 4 4 2" xfId="6055" xr:uid="{3448E1A6-F62D-4724-A4E9-F955D24C5F4F}"/>
    <cellStyle name="Millares 2 5 2 4 4 3" xfId="7732" xr:uid="{630A7B3C-BF21-4EEC-B798-3A126067349A}"/>
    <cellStyle name="Millares 2 5 2 4 5" xfId="4788" xr:uid="{A2FF21F0-D8C9-44B2-89D3-60113F1EEB37}"/>
    <cellStyle name="Millares 2 5 2 4 6" xfId="6465" xr:uid="{AF578A0D-94AE-4D85-847F-96ABA5F2D4A4}"/>
    <cellStyle name="Millares 2 5 2 5" xfId="3277" xr:uid="{00000000-0005-0000-0000-000087030000}"/>
    <cellStyle name="Millares 2 5 2 5 2" xfId="4982" xr:uid="{648702FA-B0C4-43FA-9F73-B50208B8FBBE}"/>
    <cellStyle name="Millares 2 5 2 5 3" xfId="6659" xr:uid="{F02D6671-E443-4A36-B182-0C9EB86DACFF}"/>
    <cellStyle name="Millares 2 5 2 6" xfId="3671" xr:uid="{00000000-0005-0000-0000-000088030000}"/>
    <cellStyle name="Millares 2 5 2 6 2" xfId="5370" xr:uid="{046E7263-A2FC-4BBD-AF4B-0DE58D403CA3}"/>
    <cellStyle name="Millares 2 5 2 6 3" xfId="7047" xr:uid="{9D2DEED9-2428-4968-8BEE-5F36659A2F00}"/>
    <cellStyle name="Millares 2 5 2 7" xfId="4069" xr:uid="{00000000-0005-0000-0000-000089030000}"/>
    <cellStyle name="Millares 2 5 2 7 2" xfId="5761" xr:uid="{B6962DF1-E975-4F1F-BFE0-5824C6643380}"/>
    <cellStyle name="Millares 2 5 2 7 3" xfId="7438" xr:uid="{F51C1C06-2E77-477A-B720-6ED43ECB97BF}"/>
    <cellStyle name="Millares 2 5 2 8" xfId="4174" xr:uid="{F22F7CE4-C369-44FE-9436-9833082C4447}"/>
    <cellStyle name="Millares 2 5 2 8 2" xfId="5859" xr:uid="{EAEECBF3-A55D-4F6D-8504-C341542C5323}"/>
    <cellStyle name="Millares 2 5 2 8 3" xfId="7536" xr:uid="{6D50DF25-3396-48E3-9313-4D802D7AA9C0}"/>
    <cellStyle name="Millares 2 5 2 9" xfId="4591" xr:uid="{88A5EDB7-2459-47D6-A837-6D3BA9595A16}"/>
    <cellStyle name="Millares 2 5 3" xfId="2895" xr:uid="{00000000-0005-0000-0000-00008A030000}"/>
    <cellStyle name="Millares 2 5 3 2" xfId="3027" xr:uid="{00000000-0005-0000-0000-00008B030000}"/>
    <cellStyle name="Millares 2 5 3 2 2" xfId="3225" xr:uid="{00000000-0005-0000-0000-00008C030000}"/>
    <cellStyle name="Millares 2 5 3 2 2 2" xfId="3618" xr:uid="{00000000-0005-0000-0000-00008D030000}"/>
    <cellStyle name="Millares 2 5 3 2 2 2 2" xfId="5322" xr:uid="{787F87D0-BC2B-49FD-ABE5-0B04F6CA9C31}"/>
    <cellStyle name="Millares 2 5 3 2 2 2 3" xfId="6999" xr:uid="{AC79A822-0223-468A-950F-FD6280A0AF15}"/>
    <cellStyle name="Millares 2 5 3 2 2 3" xfId="4013" xr:uid="{00000000-0005-0000-0000-00008E030000}"/>
    <cellStyle name="Millares 2 5 3 2 2 3 2" xfId="5711" xr:uid="{A8775043-7B17-466D-BD60-04AD8CF9B648}"/>
    <cellStyle name="Millares 2 5 3 2 2 3 3" xfId="7388" xr:uid="{1C2D8455-DA35-4F4C-85FE-A475E7813EAF}"/>
    <cellStyle name="Millares 2 5 3 2 2 4" xfId="4520" xr:uid="{3CFC03C0-A232-4328-9E02-C02C5BF6089D}"/>
    <cellStyle name="Millares 2 5 3 2 2 4 2" xfId="6201" xr:uid="{9326D4E0-AC48-4EE2-AE04-25A6805BE632}"/>
    <cellStyle name="Millares 2 5 3 2 2 4 3" xfId="7878" xr:uid="{2BE9A926-20F2-40DC-A508-DB2EFA64CB9F}"/>
    <cellStyle name="Millares 2 5 3 2 2 5" xfId="4934" xr:uid="{03F9B0BE-AFF7-48CA-BD22-C28AF590C3A6}"/>
    <cellStyle name="Millares 2 5 3 2 2 6" xfId="6611" xr:uid="{AFE59FEE-B059-4347-870A-0C703BA42FBD}"/>
    <cellStyle name="Millares 2 5 3 2 3" xfId="3424" xr:uid="{00000000-0005-0000-0000-00008F030000}"/>
    <cellStyle name="Millares 2 5 3 2 3 2" xfId="5128" xr:uid="{F87307EE-76D7-4E19-BE6C-B0C41BDC9C0F}"/>
    <cellStyle name="Millares 2 5 3 2 3 3" xfId="6805" xr:uid="{9F995CF6-4E0C-43F7-8E43-52AC54991D14}"/>
    <cellStyle name="Millares 2 5 3 2 4" xfId="3819" xr:uid="{00000000-0005-0000-0000-000090030000}"/>
    <cellStyle name="Millares 2 5 3 2 4 2" xfId="5517" xr:uid="{F631F72D-A4C0-4DF1-98BB-2CE0E074CA12}"/>
    <cellStyle name="Millares 2 5 3 2 4 3" xfId="7194" xr:uid="{699DA224-571B-4391-BAB7-963C818007CB}"/>
    <cellStyle name="Millares 2 5 3 2 5" xfId="4326" xr:uid="{6259EDED-E03A-48C6-B57E-BCBB218E6757}"/>
    <cellStyle name="Millares 2 5 3 2 5 2" xfId="6007" xr:uid="{08CA0365-F183-480C-8C4B-E0CF12B56368}"/>
    <cellStyle name="Millares 2 5 3 2 5 3" xfId="7684" xr:uid="{4A790BED-785B-4459-A2B8-EC439561A2CF}"/>
    <cellStyle name="Millares 2 5 3 2 6" xfId="4740" xr:uid="{AA5A2859-F343-4AFE-93CD-C10BF27D35DE}"/>
    <cellStyle name="Millares 2 5 3 2 7" xfId="6417" xr:uid="{AF66142C-58E7-4F13-8E7D-A5DA01A4446F}"/>
    <cellStyle name="Millares 2 5 3 3" xfId="3127" xr:uid="{00000000-0005-0000-0000-000091030000}"/>
    <cellStyle name="Millares 2 5 3 3 2" xfId="3520" xr:uid="{00000000-0005-0000-0000-000092030000}"/>
    <cellStyle name="Millares 2 5 3 3 2 2" xfId="5224" xr:uid="{9CEF3FAE-5DF6-4CAD-AFEA-23660DCB3496}"/>
    <cellStyle name="Millares 2 5 3 3 2 3" xfId="6901" xr:uid="{A7DB3F91-3097-413E-B15D-1F819544E5E0}"/>
    <cellStyle name="Millares 2 5 3 3 3" xfId="3915" xr:uid="{00000000-0005-0000-0000-000093030000}"/>
    <cellStyle name="Millares 2 5 3 3 3 2" xfId="5613" xr:uid="{E7642904-A8D3-4215-A63E-298D81B2FF9F}"/>
    <cellStyle name="Millares 2 5 3 3 3 3" xfId="7290" xr:uid="{A6DED93F-05C6-4CA6-BEA9-A32155FCBCF1}"/>
    <cellStyle name="Millares 2 5 3 3 4" xfId="4422" xr:uid="{7515DDF4-4E74-4523-9E52-3C4CE8F5E867}"/>
    <cellStyle name="Millares 2 5 3 3 4 2" xfId="6103" xr:uid="{2C2D620D-F66E-476A-845C-24A0A4A2103C}"/>
    <cellStyle name="Millares 2 5 3 3 4 3" xfId="7780" xr:uid="{BD1BD629-FA0B-49F7-A9A0-B3465B94375E}"/>
    <cellStyle name="Millares 2 5 3 3 5" xfId="4836" xr:uid="{A42DDC9B-5B60-4395-859B-AED1A03C4703}"/>
    <cellStyle name="Millares 2 5 3 3 6" xfId="6513" xr:uid="{B46B14B1-EDAD-4802-AECC-7D6B126547EB}"/>
    <cellStyle name="Millares 2 5 3 4" xfId="3326" xr:uid="{00000000-0005-0000-0000-000094030000}"/>
    <cellStyle name="Millares 2 5 3 4 2" xfId="5030" xr:uid="{F36EDE14-EA6C-4D54-B406-37FD38A310C6}"/>
    <cellStyle name="Millares 2 5 3 4 3" xfId="6707" xr:uid="{B44CEB96-EFA0-4B45-8BA0-0743DA573B17}"/>
    <cellStyle name="Millares 2 5 3 5" xfId="3721" xr:uid="{00000000-0005-0000-0000-000095030000}"/>
    <cellStyle name="Millares 2 5 3 5 2" xfId="5419" xr:uid="{7B628704-F3E1-4AE0-BD9C-0AF323E97522}"/>
    <cellStyle name="Millares 2 5 3 5 3" xfId="7096" xr:uid="{2F5BB016-4ED2-4865-A1D1-7FB676775A9F}"/>
    <cellStyle name="Millares 2 5 3 6" xfId="4119" xr:uid="{00000000-0005-0000-0000-000096030000}"/>
    <cellStyle name="Millares 2 5 3 6 2" xfId="5811" xr:uid="{C64CECDE-2B40-4E66-9D0A-C8B59A7B397D}"/>
    <cellStyle name="Millares 2 5 3 6 3" xfId="7488" xr:uid="{C09C697F-3FED-4642-B4CC-C65304E4F9FD}"/>
    <cellStyle name="Millares 2 5 3 7" xfId="4228" xr:uid="{91A64F55-09C0-45FE-B5CF-B3ED8C9F117C}"/>
    <cellStyle name="Millares 2 5 3 7 2" xfId="5909" xr:uid="{589D8FFF-2CB2-467A-ABAF-6A30E1D65243}"/>
    <cellStyle name="Millares 2 5 3 7 3" xfId="7586" xr:uid="{99A96788-082D-4760-80A0-077157011675}"/>
    <cellStyle name="Millares 2 5 3 8" xfId="4642" xr:uid="{9978CF3D-E8A9-4D2D-B337-62914B9070F5}"/>
    <cellStyle name="Millares 2 5 3 9" xfId="6319" xr:uid="{E89B000E-9C99-4FF0-B2F1-204EEB407E71}"/>
    <cellStyle name="Millares 2 5 4" xfId="2972" xr:uid="{00000000-0005-0000-0000-000097030000}"/>
    <cellStyle name="Millares 2 5 4 2" xfId="3174" xr:uid="{00000000-0005-0000-0000-000098030000}"/>
    <cellStyle name="Millares 2 5 4 2 2" xfId="3567" xr:uid="{00000000-0005-0000-0000-000099030000}"/>
    <cellStyle name="Millares 2 5 4 2 2 2" xfId="5271" xr:uid="{8F1FC379-01DC-4A74-B75D-1642A3ECB9BE}"/>
    <cellStyle name="Millares 2 5 4 2 2 3" xfId="6948" xr:uid="{923C0A2C-C22E-4960-8D2A-DDADC66CC8AC}"/>
    <cellStyle name="Millares 2 5 4 2 3" xfId="3962" xr:uid="{00000000-0005-0000-0000-00009A030000}"/>
    <cellStyle name="Millares 2 5 4 2 3 2" xfId="5660" xr:uid="{620E9B9A-7371-4943-A831-DD9729836320}"/>
    <cellStyle name="Millares 2 5 4 2 3 3" xfId="7337" xr:uid="{FA879BB7-EABE-4E3D-96C0-EAA92288F56A}"/>
    <cellStyle name="Millares 2 5 4 2 4" xfId="4469" xr:uid="{1509D9F5-8FDE-4CA9-BBD4-FF40D18D3506}"/>
    <cellStyle name="Millares 2 5 4 2 4 2" xfId="6150" xr:uid="{D3432E09-AEA1-4354-855E-E4D750B74F00}"/>
    <cellStyle name="Millares 2 5 4 2 4 3" xfId="7827" xr:uid="{E58BE4EB-A125-4339-8B79-F38470911644}"/>
    <cellStyle name="Millares 2 5 4 2 5" xfId="4883" xr:uid="{CD122550-5E8E-45BE-AA27-14511099586C}"/>
    <cellStyle name="Millares 2 5 4 2 6" xfId="6560" xr:uid="{E81D7CD9-3D87-424E-84D2-3F054344F28E}"/>
    <cellStyle name="Millares 2 5 4 3" xfId="3373" xr:uid="{00000000-0005-0000-0000-00009B030000}"/>
    <cellStyle name="Millares 2 5 4 3 2" xfId="5077" xr:uid="{82D31B52-CE3C-48A4-9272-252B511C7F2C}"/>
    <cellStyle name="Millares 2 5 4 3 3" xfId="6754" xr:uid="{01221852-9604-4DE4-BD7B-916837518083}"/>
    <cellStyle name="Millares 2 5 4 4" xfId="3768" xr:uid="{00000000-0005-0000-0000-00009C030000}"/>
    <cellStyle name="Millares 2 5 4 4 2" xfId="5466" xr:uid="{DF78141C-590C-41A1-A92A-EC3E2186B3F0}"/>
    <cellStyle name="Millares 2 5 4 4 3" xfId="7143" xr:uid="{6AA6452F-116C-473D-BFA1-4E7BCA0FE22A}"/>
    <cellStyle name="Millares 2 5 4 5" xfId="4275" xr:uid="{50DCA757-266D-4503-A761-8A41847DCD23}"/>
    <cellStyle name="Millares 2 5 4 5 2" xfId="5956" xr:uid="{10A86FFE-53C8-43FA-AF2C-B20706371EDE}"/>
    <cellStyle name="Millares 2 5 4 5 3" xfId="7633" xr:uid="{5D8D3B47-68A7-4ED9-9112-7DA24C99A33F}"/>
    <cellStyle name="Millares 2 5 4 6" xfId="4689" xr:uid="{F833E24E-D871-4393-A6F5-3CC3EEE3C3B1}"/>
    <cellStyle name="Millares 2 5 4 7" xfId="6366" xr:uid="{D541E1F2-4393-4EBE-8488-A20D84A35493}"/>
    <cellStyle name="Millares 2 5 5" xfId="3078" xr:uid="{00000000-0005-0000-0000-00009D030000}"/>
    <cellStyle name="Millares 2 5 5 2" xfId="3471" xr:uid="{00000000-0005-0000-0000-00009E030000}"/>
    <cellStyle name="Millares 2 5 5 2 2" xfId="5175" xr:uid="{077ACF7E-EFDE-4915-9C54-549D39B5DCE3}"/>
    <cellStyle name="Millares 2 5 5 2 3" xfId="6852" xr:uid="{E698FA02-ACD0-4831-88B3-D4B8FB9880D7}"/>
    <cellStyle name="Millares 2 5 5 3" xfId="3866" xr:uid="{00000000-0005-0000-0000-00009F030000}"/>
    <cellStyle name="Millares 2 5 5 3 2" xfId="5564" xr:uid="{8A96B5A8-1624-4FBE-8294-EB82E445677D}"/>
    <cellStyle name="Millares 2 5 5 3 3" xfId="7241" xr:uid="{E44999A1-B5CB-4494-AD21-4100279434B7}"/>
    <cellStyle name="Millares 2 5 5 4" xfId="4373" xr:uid="{C88B77D6-552F-4E2E-A0FE-05D124F4D5E8}"/>
    <cellStyle name="Millares 2 5 5 4 2" xfId="6054" xr:uid="{9F6452E3-26AE-4901-95BA-9D1773F4DAEC}"/>
    <cellStyle name="Millares 2 5 5 4 3" xfId="7731" xr:uid="{EAB04CF0-9252-4DF1-B5AC-4BF8D0B17C36}"/>
    <cellStyle name="Millares 2 5 5 5" xfId="4787" xr:uid="{0D07D8D1-D360-4862-91B8-0F00DFE2A835}"/>
    <cellStyle name="Millares 2 5 5 6" xfId="6464" xr:uid="{BD4D53CC-B461-4231-97A8-2C315DA899CC}"/>
    <cellStyle name="Millares 2 5 6" xfId="3276" xr:uid="{00000000-0005-0000-0000-0000A0030000}"/>
    <cellStyle name="Millares 2 5 6 2" xfId="4981" xr:uid="{7194376C-F812-42B1-B873-1A6F40235E92}"/>
    <cellStyle name="Millares 2 5 6 3" xfId="6658" xr:uid="{5EB4A57E-A822-4968-B5AA-426545E83851}"/>
    <cellStyle name="Millares 2 5 7" xfId="3670" xr:uid="{00000000-0005-0000-0000-0000A1030000}"/>
    <cellStyle name="Millares 2 5 7 2" xfId="5369" xr:uid="{FC6A381B-E8C0-4028-A866-EB66E82F657A}"/>
    <cellStyle name="Millares 2 5 7 3" xfId="7046" xr:uid="{816471B7-A755-4EB2-A0BE-90C81F2B2C42}"/>
    <cellStyle name="Millares 2 5 8" xfId="4068" xr:uid="{00000000-0005-0000-0000-0000A2030000}"/>
    <cellStyle name="Millares 2 5 8 2" xfId="5760" xr:uid="{A841010C-B8F8-470A-BD1C-B76198A38A5B}"/>
    <cellStyle name="Millares 2 5 8 3" xfId="7437" xr:uid="{980C1505-699B-4E46-B96F-ABA86D6CA224}"/>
    <cellStyle name="Millares 2 5 9" xfId="4173" xr:uid="{D1B51BAF-FD8B-423E-B55D-68BFED231978}"/>
    <cellStyle name="Millares 2 5 9 2" xfId="5858" xr:uid="{1760EAB9-5E43-47EC-B335-3AC1156AD09D}"/>
    <cellStyle name="Millares 2 5 9 3" xfId="7535" xr:uid="{E3D4916C-4BCF-4A1F-BBC1-5A45DD30E5E7}"/>
    <cellStyle name="Millares 2 6" xfId="223" xr:uid="{00000000-0005-0000-0000-0000A3030000}"/>
    <cellStyle name="Millares 2 6 10" xfId="4592" xr:uid="{F631B376-B30B-4730-AC4C-A0D969636A73}"/>
    <cellStyle name="Millares 2 6 11" xfId="6269" xr:uid="{147AEA4F-750F-4F31-917A-C2C2CD8B9D0C}"/>
    <cellStyle name="Millares 2 6 2" xfId="224" xr:uid="{00000000-0005-0000-0000-0000A4030000}"/>
    <cellStyle name="Millares 2 6 2 10" xfId="6270" xr:uid="{A5646473-65D6-4AD4-8A0E-AC2EB42E6082}"/>
    <cellStyle name="Millares 2 6 2 2" xfId="2898" xr:uid="{00000000-0005-0000-0000-0000A5030000}"/>
    <cellStyle name="Millares 2 6 2 2 2" xfId="3030" xr:uid="{00000000-0005-0000-0000-0000A6030000}"/>
    <cellStyle name="Millares 2 6 2 2 2 2" xfId="3228" xr:uid="{00000000-0005-0000-0000-0000A7030000}"/>
    <cellStyle name="Millares 2 6 2 2 2 2 2" xfId="3621" xr:uid="{00000000-0005-0000-0000-0000A8030000}"/>
    <cellStyle name="Millares 2 6 2 2 2 2 2 2" xfId="5325" xr:uid="{AB900EF1-98F5-4C0B-944D-7BC70B21BF96}"/>
    <cellStyle name="Millares 2 6 2 2 2 2 2 3" xfId="7002" xr:uid="{73F3E7DF-FF0B-4C36-B14B-D374E5B565A6}"/>
    <cellStyle name="Millares 2 6 2 2 2 2 3" xfId="4016" xr:uid="{00000000-0005-0000-0000-0000A9030000}"/>
    <cellStyle name="Millares 2 6 2 2 2 2 3 2" xfId="5714" xr:uid="{1E076237-8071-4B88-A140-8B0F31F9FA4F}"/>
    <cellStyle name="Millares 2 6 2 2 2 2 3 3" xfId="7391" xr:uid="{F627C36A-76B6-4B0F-9AE7-927D820ACE4E}"/>
    <cellStyle name="Millares 2 6 2 2 2 2 4" xfId="4523" xr:uid="{5F4E7508-DC8B-4B92-821F-D4E73E6AC178}"/>
    <cellStyle name="Millares 2 6 2 2 2 2 4 2" xfId="6204" xr:uid="{D612FD4D-5992-4590-98D7-18DC6F6D4E23}"/>
    <cellStyle name="Millares 2 6 2 2 2 2 4 3" xfId="7881" xr:uid="{F76D2CC4-1005-45D8-8BF7-5C75B04821FF}"/>
    <cellStyle name="Millares 2 6 2 2 2 2 5" xfId="4937" xr:uid="{0157CC7B-8D96-4647-9648-7818E8C87DFA}"/>
    <cellStyle name="Millares 2 6 2 2 2 2 6" xfId="6614" xr:uid="{CBE4ED39-E2E2-47AA-8671-E2076382359C}"/>
    <cellStyle name="Millares 2 6 2 2 2 3" xfId="3427" xr:uid="{00000000-0005-0000-0000-0000AA030000}"/>
    <cellStyle name="Millares 2 6 2 2 2 3 2" xfId="5131" xr:uid="{F93FC568-0797-427C-A150-F080395723ED}"/>
    <cellStyle name="Millares 2 6 2 2 2 3 3" xfId="6808" xr:uid="{A8CE67F8-BB5D-4600-A71D-887DE6B73A23}"/>
    <cellStyle name="Millares 2 6 2 2 2 4" xfId="3822" xr:uid="{00000000-0005-0000-0000-0000AB030000}"/>
    <cellStyle name="Millares 2 6 2 2 2 4 2" xfId="5520" xr:uid="{6891DD70-4E5A-4317-831C-29256695E0E4}"/>
    <cellStyle name="Millares 2 6 2 2 2 4 3" xfId="7197" xr:uid="{B3091376-2550-4AD8-B212-EC76B74265AF}"/>
    <cellStyle name="Millares 2 6 2 2 2 5" xfId="4329" xr:uid="{657C3259-05BB-4963-B1DF-B8B904F3C14B}"/>
    <cellStyle name="Millares 2 6 2 2 2 5 2" xfId="6010" xr:uid="{F1E80B61-F63B-4C88-AE28-1820EDCA1AE5}"/>
    <cellStyle name="Millares 2 6 2 2 2 5 3" xfId="7687" xr:uid="{FCE9C66B-FC81-4317-9819-A53EC3429E19}"/>
    <cellStyle name="Millares 2 6 2 2 2 6" xfId="4743" xr:uid="{BF55D78D-A883-40FB-BA72-F7F2BEF1B1E9}"/>
    <cellStyle name="Millares 2 6 2 2 2 7" xfId="6420" xr:uid="{422778A2-CFD0-42DB-9AFF-E1C4982E97C5}"/>
    <cellStyle name="Millares 2 6 2 2 3" xfId="3130" xr:uid="{00000000-0005-0000-0000-0000AC030000}"/>
    <cellStyle name="Millares 2 6 2 2 3 2" xfId="3523" xr:uid="{00000000-0005-0000-0000-0000AD030000}"/>
    <cellStyle name="Millares 2 6 2 2 3 2 2" xfId="5227" xr:uid="{714C5D09-B7E7-4C46-B9A9-C18349191487}"/>
    <cellStyle name="Millares 2 6 2 2 3 2 3" xfId="6904" xr:uid="{2A3EBA3B-5A03-4075-BF77-5426B6FBDB5C}"/>
    <cellStyle name="Millares 2 6 2 2 3 3" xfId="3918" xr:uid="{00000000-0005-0000-0000-0000AE030000}"/>
    <cellStyle name="Millares 2 6 2 2 3 3 2" xfId="5616" xr:uid="{CF7E6502-0666-4354-9E38-BCCA233935F4}"/>
    <cellStyle name="Millares 2 6 2 2 3 3 3" xfId="7293" xr:uid="{78EA1563-D4A2-4371-8D0B-ACA661E5C4E8}"/>
    <cellStyle name="Millares 2 6 2 2 3 4" xfId="4425" xr:uid="{627AEC07-561D-40F4-9061-ABB1B9C22D1A}"/>
    <cellStyle name="Millares 2 6 2 2 3 4 2" xfId="6106" xr:uid="{7ED3CEC6-F451-4A22-9CC8-B4018BFD4907}"/>
    <cellStyle name="Millares 2 6 2 2 3 4 3" xfId="7783" xr:uid="{54DB7772-2606-4332-850F-EF3442D0A428}"/>
    <cellStyle name="Millares 2 6 2 2 3 5" xfId="4839" xr:uid="{30F98602-4C3F-42DD-8378-32D72F163F80}"/>
    <cellStyle name="Millares 2 6 2 2 3 6" xfId="6516" xr:uid="{FB0497CB-CC10-415B-BCB2-A9D4249C2D25}"/>
    <cellStyle name="Millares 2 6 2 2 4" xfId="3329" xr:uid="{00000000-0005-0000-0000-0000AF030000}"/>
    <cellStyle name="Millares 2 6 2 2 4 2" xfId="5033" xr:uid="{217EAE3B-1FB4-4E08-8A83-73C89E7974CB}"/>
    <cellStyle name="Millares 2 6 2 2 4 3" xfId="6710" xr:uid="{A09C6F2B-FECA-420A-ABEF-27F77C5EDA90}"/>
    <cellStyle name="Millares 2 6 2 2 5" xfId="3724" xr:uid="{00000000-0005-0000-0000-0000B0030000}"/>
    <cellStyle name="Millares 2 6 2 2 5 2" xfId="5422" xr:uid="{4316195B-8582-4421-8D80-C93A9E9D1D89}"/>
    <cellStyle name="Millares 2 6 2 2 5 3" xfId="7099" xr:uid="{5A3D1825-AAC9-4826-9F73-F11B349C13D9}"/>
    <cellStyle name="Millares 2 6 2 2 6" xfId="4122" xr:uid="{00000000-0005-0000-0000-0000B1030000}"/>
    <cellStyle name="Millares 2 6 2 2 6 2" xfId="5814" xr:uid="{BFECEBB4-0FFA-4E9C-A38E-22827FB068C3}"/>
    <cellStyle name="Millares 2 6 2 2 6 3" xfId="7491" xr:uid="{A23321A9-1974-4287-97F7-8F9B2842C5C2}"/>
    <cellStyle name="Millares 2 6 2 2 7" xfId="4231" xr:uid="{D1F1EB46-BA4E-482C-8F93-CDDB74C90ABD}"/>
    <cellStyle name="Millares 2 6 2 2 7 2" xfId="5912" xr:uid="{98C5004F-57BD-4558-BAEE-DC8D1B483B43}"/>
    <cellStyle name="Millares 2 6 2 2 7 3" xfId="7589" xr:uid="{EAB0CF21-A137-43F9-8300-1ADF17D8CEC7}"/>
    <cellStyle name="Millares 2 6 2 2 8" xfId="4645" xr:uid="{0DA037E4-F659-4B8D-B3A5-181963E13674}"/>
    <cellStyle name="Millares 2 6 2 2 9" xfId="6322" xr:uid="{5898990C-B7B0-473B-A53A-D6D2DFC57693}"/>
    <cellStyle name="Millares 2 6 2 3" xfId="2975" xr:uid="{00000000-0005-0000-0000-0000B2030000}"/>
    <cellStyle name="Millares 2 6 2 3 2" xfId="3177" xr:uid="{00000000-0005-0000-0000-0000B3030000}"/>
    <cellStyle name="Millares 2 6 2 3 2 2" xfId="3570" xr:uid="{00000000-0005-0000-0000-0000B4030000}"/>
    <cellStyle name="Millares 2 6 2 3 2 2 2" xfId="5274" xr:uid="{BD85669D-3C5B-47B6-A638-6765D7DC3300}"/>
    <cellStyle name="Millares 2 6 2 3 2 2 3" xfId="6951" xr:uid="{393C3816-ABF1-49CA-BD0D-6550F0085DAE}"/>
    <cellStyle name="Millares 2 6 2 3 2 3" xfId="3965" xr:uid="{00000000-0005-0000-0000-0000B5030000}"/>
    <cellStyle name="Millares 2 6 2 3 2 3 2" xfId="5663" xr:uid="{E820D6FD-2DFA-4C86-B5EC-2BF329B24CEE}"/>
    <cellStyle name="Millares 2 6 2 3 2 3 3" xfId="7340" xr:uid="{7C9E026C-602C-41A6-8781-15FC6D24F2C5}"/>
    <cellStyle name="Millares 2 6 2 3 2 4" xfId="4472" xr:uid="{3010DAE0-640B-414D-B9B8-628711D59ED4}"/>
    <cellStyle name="Millares 2 6 2 3 2 4 2" xfId="6153" xr:uid="{6E72FF59-4475-4C25-907D-A77CD56150C9}"/>
    <cellStyle name="Millares 2 6 2 3 2 4 3" xfId="7830" xr:uid="{49644160-CC4A-4244-BAFE-A1AF020B7B04}"/>
    <cellStyle name="Millares 2 6 2 3 2 5" xfId="4886" xr:uid="{62DC2C32-59A3-49C8-8714-70AF098B4501}"/>
    <cellStyle name="Millares 2 6 2 3 2 6" xfId="6563" xr:uid="{5731EF31-8FEC-40F0-B5A2-977917FCD3D5}"/>
    <cellStyle name="Millares 2 6 2 3 3" xfId="3376" xr:uid="{00000000-0005-0000-0000-0000B6030000}"/>
    <cellStyle name="Millares 2 6 2 3 3 2" xfId="5080" xr:uid="{B110AEB6-C5DB-4FB9-854F-EDBEEBE3D02E}"/>
    <cellStyle name="Millares 2 6 2 3 3 3" xfId="6757" xr:uid="{71B11840-A2A9-4E48-9319-4A274202730B}"/>
    <cellStyle name="Millares 2 6 2 3 4" xfId="3771" xr:uid="{00000000-0005-0000-0000-0000B7030000}"/>
    <cellStyle name="Millares 2 6 2 3 4 2" xfId="5469" xr:uid="{247F397F-5F3C-40F2-917F-1335CF0A44FA}"/>
    <cellStyle name="Millares 2 6 2 3 4 3" xfId="7146" xr:uid="{AC31FDFE-A123-4A4F-BA58-C6E95B086688}"/>
    <cellStyle name="Millares 2 6 2 3 5" xfId="4278" xr:uid="{D0BD32D8-E333-4A0A-A397-2CA50883D75C}"/>
    <cellStyle name="Millares 2 6 2 3 5 2" xfId="5959" xr:uid="{1DC8C521-177C-49E8-8D9E-ACB0C50EEB24}"/>
    <cellStyle name="Millares 2 6 2 3 5 3" xfId="7636" xr:uid="{42D32C4F-917D-41BE-B784-12CD26A86DCB}"/>
    <cellStyle name="Millares 2 6 2 3 6" xfId="4692" xr:uid="{C6EB38BE-9EF9-4CF1-9B71-5226349FB943}"/>
    <cellStyle name="Millares 2 6 2 3 7" xfId="6369" xr:uid="{7F311BBC-9D3E-4385-A78A-EF77BAE91D15}"/>
    <cellStyle name="Millares 2 6 2 4" xfId="3081" xr:uid="{00000000-0005-0000-0000-0000B8030000}"/>
    <cellStyle name="Millares 2 6 2 4 2" xfId="3474" xr:uid="{00000000-0005-0000-0000-0000B9030000}"/>
    <cellStyle name="Millares 2 6 2 4 2 2" xfId="5178" xr:uid="{105FEB95-C895-475F-AC52-152399D4B970}"/>
    <cellStyle name="Millares 2 6 2 4 2 3" xfId="6855" xr:uid="{590C4F91-B72C-4B79-A9FD-44997DC82AC8}"/>
    <cellStyle name="Millares 2 6 2 4 3" xfId="3869" xr:uid="{00000000-0005-0000-0000-0000BA030000}"/>
    <cellStyle name="Millares 2 6 2 4 3 2" xfId="5567" xr:uid="{CDDA4F36-E80F-406D-B44F-E1B219D554AF}"/>
    <cellStyle name="Millares 2 6 2 4 3 3" xfId="7244" xr:uid="{C594EC83-980C-4BC0-8462-39FF75B89518}"/>
    <cellStyle name="Millares 2 6 2 4 4" xfId="4376" xr:uid="{BE3C8EA7-7603-47C8-A334-9F6A7AB4A136}"/>
    <cellStyle name="Millares 2 6 2 4 4 2" xfId="6057" xr:uid="{E026BB78-6F8A-48EF-82A2-F4C7A13731A4}"/>
    <cellStyle name="Millares 2 6 2 4 4 3" xfId="7734" xr:uid="{F1FD6823-CEA0-4B6F-BC9C-31963E4531F4}"/>
    <cellStyle name="Millares 2 6 2 4 5" xfId="4790" xr:uid="{D92D2A10-8B7C-4639-9F09-0DF54495D02C}"/>
    <cellStyle name="Millares 2 6 2 4 6" xfId="6467" xr:uid="{39F40B61-FB6D-4F3B-87CF-0A8857B455E4}"/>
    <cellStyle name="Millares 2 6 2 5" xfId="3279" xr:uid="{00000000-0005-0000-0000-0000BB030000}"/>
    <cellStyle name="Millares 2 6 2 5 2" xfId="4984" xr:uid="{09FC1228-FFF3-4F22-8BB1-14EE1E7C1CF8}"/>
    <cellStyle name="Millares 2 6 2 5 3" xfId="6661" xr:uid="{FE8F0C26-F032-4F40-9ED7-956613DBE718}"/>
    <cellStyle name="Millares 2 6 2 6" xfId="3673" xr:uid="{00000000-0005-0000-0000-0000BC030000}"/>
    <cellStyle name="Millares 2 6 2 6 2" xfId="5372" xr:uid="{B2830806-3E8E-4FA0-9E53-DAC8C8E4EC0E}"/>
    <cellStyle name="Millares 2 6 2 6 3" xfId="7049" xr:uid="{B8889072-00B2-4616-8D7C-9178E7A741BC}"/>
    <cellStyle name="Millares 2 6 2 7" xfId="4071" xr:uid="{00000000-0005-0000-0000-0000BD030000}"/>
    <cellStyle name="Millares 2 6 2 7 2" xfId="5763" xr:uid="{90C215CD-F55A-4B9A-92CD-78A50E87C624}"/>
    <cellStyle name="Millares 2 6 2 7 3" xfId="7440" xr:uid="{D1BA1DD7-92A7-4949-A331-FD5880996949}"/>
    <cellStyle name="Millares 2 6 2 8" xfId="4176" xr:uid="{0B198DFF-8598-4ACF-BEC0-E5840A7DF60A}"/>
    <cellStyle name="Millares 2 6 2 8 2" xfId="5861" xr:uid="{C61E3092-567C-4BEB-AF9F-50954AB55658}"/>
    <cellStyle name="Millares 2 6 2 8 3" xfId="7538" xr:uid="{208C4741-7FCC-4256-AF00-D5B8471F819B}"/>
    <cellStyle name="Millares 2 6 2 9" xfId="4593" xr:uid="{19DB73DA-7E28-4C2D-88CD-86AA1728EFD4}"/>
    <cellStyle name="Millares 2 6 3" xfId="2897" xr:uid="{00000000-0005-0000-0000-0000BE030000}"/>
    <cellStyle name="Millares 2 6 3 2" xfId="3029" xr:uid="{00000000-0005-0000-0000-0000BF030000}"/>
    <cellStyle name="Millares 2 6 3 2 2" xfId="3227" xr:uid="{00000000-0005-0000-0000-0000C0030000}"/>
    <cellStyle name="Millares 2 6 3 2 2 2" xfId="3620" xr:uid="{00000000-0005-0000-0000-0000C1030000}"/>
    <cellStyle name="Millares 2 6 3 2 2 2 2" xfId="5324" xr:uid="{E9A17716-274D-42A4-980D-DCC418C68D4C}"/>
    <cellStyle name="Millares 2 6 3 2 2 2 3" xfId="7001" xr:uid="{E594ED55-8350-4F04-936B-7A685CA62C39}"/>
    <cellStyle name="Millares 2 6 3 2 2 3" xfId="4015" xr:uid="{00000000-0005-0000-0000-0000C2030000}"/>
    <cellStyle name="Millares 2 6 3 2 2 3 2" xfId="5713" xr:uid="{7D5CD6ED-11EA-42B2-AF45-C4D471B18C3E}"/>
    <cellStyle name="Millares 2 6 3 2 2 3 3" xfId="7390" xr:uid="{095266F9-BFC9-4E66-A354-920DA1E30E53}"/>
    <cellStyle name="Millares 2 6 3 2 2 4" xfId="4522" xr:uid="{13AECBA3-4D2A-4356-8BBC-BB655681B44A}"/>
    <cellStyle name="Millares 2 6 3 2 2 4 2" xfId="6203" xr:uid="{4E234F12-7998-463E-B7EE-520C67EF71AA}"/>
    <cellStyle name="Millares 2 6 3 2 2 4 3" xfId="7880" xr:uid="{C497199F-95B6-40E7-95FD-A998758B8396}"/>
    <cellStyle name="Millares 2 6 3 2 2 5" xfId="4936" xr:uid="{CFACFCE6-571E-43B2-B0A0-0AD29D3D5120}"/>
    <cellStyle name="Millares 2 6 3 2 2 6" xfId="6613" xr:uid="{41E332D5-C4F3-41FD-9CEE-376AD5D79239}"/>
    <cellStyle name="Millares 2 6 3 2 3" xfId="3426" xr:uid="{00000000-0005-0000-0000-0000C3030000}"/>
    <cellStyle name="Millares 2 6 3 2 3 2" xfId="5130" xr:uid="{B5845974-C4B1-4DCD-8044-2097679F92EE}"/>
    <cellStyle name="Millares 2 6 3 2 3 3" xfId="6807" xr:uid="{4DFC3719-7A92-4972-80C6-923F88AA041A}"/>
    <cellStyle name="Millares 2 6 3 2 4" xfId="3821" xr:uid="{00000000-0005-0000-0000-0000C4030000}"/>
    <cellStyle name="Millares 2 6 3 2 4 2" xfId="5519" xr:uid="{B203F3A6-FFBF-49CB-BAFC-864E9DF9CE80}"/>
    <cellStyle name="Millares 2 6 3 2 4 3" xfId="7196" xr:uid="{F1A18052-6165-49BF-BB68-12CF458E6B10}"/>
    <cellStyle name="Millares 2 6 3 2 5" xfId="4328" xr:uid="{34AC2A0D-1DE6-4F1C-B0E9-728FDBD5AD99}"/>
    <cellStyle name="Millares 2 6 3 2 5 2" xfId="6009" xr:uid="{2018CABA-8A55-4808-A586-E4567CDDD31F}"/>
    <cellStyle name="Millares 2 6 3 2 5 3" xfId="7686" xr:uid="{E0BF9103-A925-4922-9F31-99B6C054118D}"/>
    <cellStyle name="Millares 2 6 3 2 6" xfId="4742" xr:uid="{1353487A-30F4-414A-A272-A6259F510F53}"/>
    <cellStyle name="Millares 2 6 3 2 7" xfId="6419" xr:uid="{32052637-B296-41A9-B259-181296A63A33}"/>
    <cellStyle name="Millares 2 6 3 3" xfId="3129" xr:uid="{00000000-0005-0000-0000-0000C5030000}"/>
    <cellStyle name="Millares 2 6 3 3 2" xfId="3522" xr:uid="{00000000-0005-0000-0000-0000C6030000}"/>
    <cellStyle name="Millares 2 6 3 3 2 2" xfId="5226" xr:uid="{3C5E259A-2917-4612-B326-B872968448B0}"/>
    <cellStyle name="Millares 2 6 3 3 2 3" xfId="6903" xr:uid="{68A15504-53E0-4F0F-B1EB-46E5A8380B67}"/>
    <cellStyle name="Millares 2 6 3 3 3" xfId="3917" xr:uid="{00000000-0005-0000-0000-0000C7030000}"/>
    <cellStyle name="Millares 2 6 3 3 3 2" xfId="5615" xr:uid="{A7F29324-695A-4B80-A0D2-CA31D05C2A8E}"/>
    <cellStyle name="Millares 2 6 3 3 3 3" xfId="7292" xr:uid="{960A0E71-C2AE-467E-8686-448E4DE46628}"/>
    <cellStyle name="Millares 2 6 3 3 4" xfId="4424" xr:uid="{9B3CC311-63B6-4F5F-8128-72E3C708277A}"/>
    <cellStyle name="Millares 2 6 3 3 4 2" xfId="6105" xr:uid="{504A75C7-D8AB-48E2-8D28-62F4D838EDA6}"/>
    <cellStyle name="Millares 2 6 3 3 4 3" xfId="7782" xr:uid="{2030FE9D-3892-4FD8-9AC6-270A3800CB1B}"/>
    <cellStyle name="Millares 2 6 3 3 5" xfId="4838" xr:uid="{63D38C2C-18BE-4225-B2FB-41F47E2F94F8}"/>
    <cellStyle name="Millares 2 6 3 3 6" xfId="6515" xr:uid="{0ABD3CC4-C6EB-4730-B1D1-CAA1755AA754}"/>
    <cellStyle name="Millares 2 6 3 4" xfId="3328" xr:uid="{00000000-0005-0000-0000-0000C8030000}"/>
    <cellStyle name="Millares 2 6 3 4 2" xfId="5032" xr:uid="{F99810B6-0D14-4C57-AEE3-D3D99553DBB4}"/>
    <cellStyle name="Millares 2 6 3 4 3" xfId="6709" xr:uid="{C54C2285-A91F-40DF-B9C6-5C1B84DC2DEF}"/>
    <cellStyle name="Millares 2 6 3 5" xfId="3723" xr:uid="{00000000-0005-0000-0000-0000C9030000}"/>
    <cellStyle name="Millares 2 6 3 5 2" xfId="5421" xr:uid="{84D56E9C-D868-4AD7-82A4-0072F4183E44}"/>
    <cellStyle name="Millares 2 6 3 5 3" xfId="7098" xr:uid="{B7A355FB-C48A-4E51-98C8-675F58973AB4}"/>
    <cellStyle name="Millares 2 6 3 6" xfId="4121" xr:uid="{00000000-0005-0000-0000-0000CA030000}"/>
    <cellStyle name="Millares 2 6 3 6 2" xfId="5813" xr:uid="{9E274056-3219-4BD2-99B7-68EA759EC651}"/>
    <cellStyle name="Millares 2 6 3 6 3" xfId="7490" xr:uid="{97F29097-5854-46FF-9E2A-70117FCF8299}"/>
    <cellStyle name="Millares 2 6 3 7" xfId="4230" xr:uid="{9D20AFAF-7741-4179-850C-E83B158E8F78}"/>
    <cellStyle name="Millares 2 6 3 7 2" xfId="5911" xr:uid="{A14926EC-6104-4BC9-B58C-54E09AFAD85E}"/>
    <cellStyle name="Millares 2 6 3 7 3" xfId="7588" xr:uid="{AA473AE2-A89A-4A26-8B59-CC7BD22D5E64}"/>
    <cellStyle name="Millares 2 6 3 8" xfId="4644" xr:uid="{A8545BBC-F356-4B33-A0F5-A109E0A42E0F}"/>
    <cellStyle name="Millares 2 6 3 9" xfId="6321" xr:uid="{D9835B21-BA52-468F-922D-241B4EF6310F}"/>
    <cellStyle name="Millares 2 6 4" xfId="2974" xr:uid="{00000000-0005-0000-0000-0000CB030000}"/>
    <cellStyle name="Millares 2 6 4 2" xfId="3176" xr:uid="{00000000-0005-0000-0000-0000CC030000}"/>
    <cellStyle name="Millares 2 6 4 2 2" xfId="3569" xr:uid="{00000000-0005-0000-0000-0000CD030000}"/>
    <cellStyle name="Millares 2 6 4 2 2 2" xfId="5273" xr:uid="{6C4FDE09-0A41-459C-84BB-92238D9A95E0}"/>
    <cellStyle name="Millares 2 6 4 2 2 3" xfId="6950" xr:uid="{C72D4B9A-D696-4428-9FCE-D94E7F05DABD}"/>
    <cellStyle name="Millares 2 6 4 2 3" xfId="3964" xr:uid="{00000000-0005-0000-0000-0000CE030000}"/>
    <cellStyle name="Millares 2 6 4 2 3 2" xfId="5662" xr:uid="{D158973B-244E-4B70-ADE6-FAA5BD3F11F7}"/>
    <cellStyle name="Millares 2 6 4 2 3 3" xfId="7339" xr:uid="{D1AB979C-41D2-472D-9D2C-91E380F6A166}"/>
    <cellStyle name="Millares 2 6 4 2 4" xfId="4471" xr:uid="{2A957A05-4865-41AD-A76C-E4AA048ACB4A}"/>
    <cellStyle name="Millares 2 6 4 2 4 2" xfId="6152" xr:uid="{E279FE02-5A5F-4A52-B0D8-D83827D6FCD1}"/>
    <cellStyle name="Millares 2 6 4 2 4 3" xfId="7829" xr:uid="{7BE0BA5A-5770-45DF-AD38-67516D7F6124}"/>
    <cellStyle name="Millares 2 6 4 2 5" xfId="4885" xr:uid="{890AF6B7-D946-4700-B807-B4144B6A8F45}"/>
    <cellStyle name="Millares 2 6 4 2 6" xfId="6562" xr:uid="{BF95CE97-154E-43AE-93A4-82032380834C}"/>
    <cellStyle name="Millares 2 6 4 3" xfId="3375" xr:uid="{00000000-0005-0000-0000-0000CF030000}"/>
    <cellStyle name="Millares 2 6 4 3 2" xfId="5079" xr:uid="{17ACAF55-DA6B-4525-A86E-44A89023CC51}"/>
    <cellStyle name="Millares 2 6 4 3 3" xfId="6756" xr:uid="{E253E32F-EBF9-4600-B5C2-3DF403ECE286}"/>
    <cellStyle name="Millares 2 6 4 4" xfId="3770" xr:uid="{00000000-0005-0000-0000-0000D0030000}"/>
    <cellStyle name="Millares 2 6 4 4 2" xfId="5468" xr:uid="{796BDA93-B163-4750-966F-4C83F4763170}"/>
    <cellStyle name="Millares 2 6 4 4 3" xfId="7145" xr:uid="{392A9DB4-302F-473A-95C1-6243841789A8}"/>
    <cellStyle name="Millares 2 6 4 5" xfId="4277" xr:uid="{136CB1E8-7A88-431D-9B1C-C4510C40820D}"/>
    <cellStyle name="Millares 2 6 4 5 2" xfId="5958" xr:uid="{4A823510-7043-4C08-9DE6-2A2C7704AEDA}"/>
    <cellStyle name="Millares 2 6 4 5 3" xfId="7635" xr:uid="{341A6C22-3E16-4845-8CF1-778F6473ECD6}"/>
    <cellStyle name="Millares 2 6 4 6" xfId="4691" xr:uid="{81D3ABBB-598C-4774-987D-2BC6B51FE204}"/>
    <cellStyle name="Millares 2 6 4 7" xfId="6368" xr:uid="{693F608D-1CB1-48B4-9345-48B543B627BE}"/>
    <cellStyle name="Millares 2 6 5" xfId="3080" xr:uid="{00000000-0005-0000-0000-0000D1030000}"/>
    <cellStyle name="Millares 2 6 5 2" xfId="3473" xr:uid="{00000000-0005-0000-0000-0000D2030000}"/>
    <cellStyle name="Millares 2 6 5 2 2" xfId="5177" xr:uid="{420DA57F-F92C-4184-AA1C-FFE95043AD69}"/>
    <cellStyle name="Millares 2 6 5 2 3" xfId="6854" xr:uid="{BA29EC0A-7E76-4115-94A4-187384A105E5}"/>
    <cellStyle name="Millares 2 6 5 3" xfId="3868" xr:uid="{00000000-0005-0000-0000-0000D3030000}"/>
    <cellStyle name="Millares 2 6 5 3 2" xfId="5566" xr:uid="{2514DC3D-F145-4C21-8895-6D49F6567FD2}"/>
    <cellStyle name="Millares 2 6 5 3 3" xfId="7243" xr:uid="{BBF23FCD-8742-4ACE-B076-46ECC4901CC3}"/>
    <cellStyle name="Millares 2 6 5 4" xfId="4375" xr:uid="{6ED069A6-83A8-4532-9E66-35AD2D5DFE35}"/>
    <cellStyle name="Millares 2 6 5 4 2" xfId="6056" xr:uid="{576B04DF-8E28-4BA8-B9AB-429A70E8B7FD}"/>
    <cellStyle name="Millares 2 6 5 4 3" xfId="7733" xr:uid="{5195EF4D-4E61-43E5-8AA3-6C5FDB1F41A6}"/>
    <cellStyle name="Millares 2 6 5 5" xfId="4789" xr:uid="{E292E361-8825-4881-AE38-1F8DAD9CD5FA}"/>
    <cellStyle name="Millares 2 6 5 6" xfId="6466" xr:uid="{C78956D3-41D1-45C9-8E00-6F41778C4AD0}"/>
    <cellStyle name="Millares 2 6 6" xfId="3278" xr:uid="{00000000-0005-0000-0000-0000D4030000}"/>
    <cellStyle name="Millares 2 6 6 2" xfId="4983" xr:uid="{AA0E60F5-3680-460F-A720-90CC94B29B9A}"/>
    <cellStyle name="Millares 2 6 6 3" xfId="6660" xr:uid="{B0037782-31F5-401C-83BD-C7A7E95A45CF}"/>
    <cellStyle name="Millares 2 6 7" xfId="3672" xr:uid="{00000000-0005-0000-0000-0000D5030000}"/>
    <cellStyle name="Millares 2 6 7 2" xfId="5371" xr:uid="{BF1A5E6D-3242-4FDD-8BB5-50D0A3EAEC48}"/>
    <cellStyle name="Millares 2 6 7 3" xfId="7048" xr:uid="{BEE706BD-A64A-44D1-8FEE-082B89C4E95D}"/>
    <cellStyle name="Millares 2 6 8" xfId="4070" xr:uid="{00000000-0005-0000-0000-0000D6030000}"/>
    <cellStyle name="Millares 2 6 8 2" xfId="5762" xr:uid="{C1EACB48-BAAB-4396-B380-5433C9B027A8}"/>
    <cellStyle name="Millares 2 6 8 3" xfId="7439" xr:uid="{1C20AAF5-7533-4B7E-8087-4735AFAE3B52}"/>
    <cellStyle name="Millares 2 6 9" xfId="4175" xr:uid="{461ABC68-DBC8-4E8B-9D1B-D3AEF60E2D1E}"/>
    <cellStyle name="Millares 2 6 9 2" xfId="5860" xr:uid="{2EF83F4D-7E6A-4B09-9700-412D29FC7575}"/>
    <cellStyle name="Millares 2 6 9 3" xfId="7537" xr:uid="{70D0CFA0-992E-405C-9C98-A894F7627595}"/>
    <cellStyle name="Millares 2 7" xfId="4558" xr:uid="{B2DD8680-011D-41DD-B777-E19D129B706C}"/>
    <cellStyle name="Millares 20" xfId="3645" xr:uid="{00000000-0005-0000-0000-0000D7030000}"/>
    <cellStyle name="Millares 21" xfId="4036" xr:uid="{00000000-0005-0000-0000-0000D8030000}"/>
    <cellStyle name="Millares 22" xfId="4039" xr:uid="{00000000-0005-0000-0000-0000D9030000}"/>
    <cellStyle name="Millares 23" xfId="4144" xr:uid="{00000000-0005-0000-0000-0000DA030000}"/>
    <cellStyle name="Millares 24" xfId="4142" xr:uid="{00000000-0005-0000-0000-0000DB030000}"/>
    <cellStyle name="Millares 25" xfId="4055" xr:uid="{00000000-0005-0000-0000-0000DC030000}"/>
    <cellStyle name="Millares 26" xfId="4146" xr:uid="{DD4397FF-CDD2-4891-9E9B-BE4A5CAFB343}"/>
    <cellStyle name="Millares 27" xfId="4201" xr:uid="{CED86384-8032-4F9C-A47E-5D0964D13497}"/>
    <cellStyle name="Millares 28" xfId="4544" xr:uid="{D4FA7FF4-987F-4024-AE5E-BA1F7A7334FA}"/>
    <cellStyle name="Millares 29" xfId="4196" xr:uid="{AFFF1A94-35D9-4D4B-B3B3-C079C70D2A4F}"/>
    <cellStyle name="Millares 3" xfId="6" xr:uid="{00000000-0005-0000-0000-0000DD030000}"/>
    <cellStyle name="Millares 3 2" xfId="7" xr:uid="{00000000-0005-0000-0000-0000DE030000}"/>
    <cellStyle name="Millares 3 3" xfId="225" xr:uid="{00000000-0005-0000-0000-0000DF030000}"/>
    <cellStyle name="Millares 3 3 10" xfId="4594" xr:uid="{561A1629-CE85-4990-BAD1-0D2AF31D4548}"/>
    <cellStyle name="Millares 3 3 11" xfId="6271" xr:uid="{94CD8BCB-1341-4A77-BAC1-3D71A9273CDB}"/>
    <cellStyle name="Millares 3 3 2" xfId="226" xr:uid="{00000000-0005-0000-0000-0000E0030000}"/>
    <cellStyle name="Millares 3 3 2 10" xfId="6272" xr:uid="{17A97CBE-1DF6-4A81-B128-DBDF29B57588}"/>
    <cellStyle name="Millares 3 3 2 2" xfId="2900" xr:uid="{00000000-0005-0000-0000-0000E1030000}"/>
    <cellStyle name="Millares 3 3 2 2 2" xfId="3032" xr:uid="{00000000-0005-0000-0000-0000E2030000}"/>
    <cellStyle name="Millares 3 3 2 2 2 2" xfId="3230" xr:uid="{00000000-0005-0000-0000-0000E3030000}"/>
    <cellStyle name="Millares 3 3 2 2 2 2 2" xfId="3623" xr:uid="{00000000-0005-0000-0000-0000E4030000}"/>
    <cellStyle name="Millares 3 3 2 2 2 2 2 2" xfId="5327" xr:uid="{F3619548-31F3-4B0B-B427-4D2F1161CD68}"/>
    <cellStyle name="Millares 3 3 2 2 2 2 2 3" xfId="7004" xr:uid="{8AF29FF5-D6DA-474A-BFC4-828D1A0E80A8}"/>
    <cellStyle name="Millares 3 3 2 2 2 2 3" xfId="4018" xr:uid="{00000000-0005-0000-0000-0000E5030000}"/>
    <cellStyle name="Millares 3 3 2 2 2 2 3 2" xfId="5716" xr:uid="{9229504D-DBEC-43B3-8F24-D179DAA4B3FE}"/>
    <cellStyle name="Millares 3 3 2 2 2 2 3 3" xfId="7393" xr:uid="{C788B20C-8701-4745-8216-5B031B3A13FE}"/>
    <cellStyle name="Millares 3 3 2 2 2 2 4" xfId="4525" xr:uid="{10373E3E-562D-4085-944F-4DBAE4219A5B}"/>
    <cellStyle name="Millares 3 3 2 2 2 2 4 2" xfId="6206" xr:uid="{EA8E38B2-BFCC-4B78-922D-93F59E05CF86}"/>
    <cellStyle name="Millares 3 3 2 2 2 2 4 3" xfId="7883" xr:uid="{01AAEF08-9C55-4509-A11E-BD44CC98BDE3}"/>
    <cellStyle name="Millares 3 3 2 2 2 2 5" xfId="4939" xr:uid="{8C8EE53D-B38F-4B8F-A124-D04638EBD94A}"/>
    <cellStyle name="Millares 3 3 2 2 2 2 6" xfId="6616" xr:uid="{FFE81B0E-BBF8-4603-BF90-F084A30CA17B}"/>
    <cellStyle name="Millares 3 3 2 2 2 3" xfId="3429" xr:uid="{00000000-0005-0000-0000-0000E6030000}"/>
    <cellStyle name="Millares 3 3 2 2 2 3 2" xfId="5133" xr:uid="{10A8297D-17F3-4A63-8922-D20C523B1432}"/>
    <cellStyle name="Millares 3 3 2 2 2 3 3" xfId="6810" xr:uid="{1EDE8F6E-8EC0-4D4B-88D8-AAE10B8F42C8}"/>
    <cellStyle name="Millares 3 3 2 2 2 4" xfId="3824" xr:uid="{00000000-0005-0000-0000-0000E7030000}"/>
    <cellStyle name="Millares 3 3 2 2 2 4 2" xfId="5522" xr:uid="{0E2A2DDE-6C05-44F0-AA70-F7F1F985520E}"/>
    <cellStyle name="Millares 3 3 2 2 2 4 3" xfId="7199" xr:uid="{315CE66C-86B6-414A-BFB2-464ACED11891}"/>
    <cellStyle name="Millares 3 3 2 2 2 5" xfId="4331" xr:uid="{A7FA6C4B-A85E-4325-9E97-A15913D31944}"/>
    <cellStyle name="Millares 3 3 2 2 2 5 2" xfId="6012" xr:uid="{0E63EAAB-DC5C-4F49-A3C4-D02954E10320}"/>
    <cellStyle name="Millares 3 3 2 2 2 5 3" xfId="7689" xr:uid="{92546449-65FD-4A61-A40F-BED0A7137FC9}"/>
    <cellStyle name="Millares 3 3 2 2 2 6" xfId="4745" xr:uid="{70BAA6C3-1FE2-43D6-AC58-1BE2A230D13A}"/>
    <cellStyle name="Millares 3 3 2 2 2 7" xfId="6422" xr:uid="{2A1C208B-5D9C-41A2-8B64-FDBD49CC7ECF}"/>
    <cellStyle name="Millares 3 3 2 2 3" xfId="3132" xr:uid="{00000000-0005-0000-0000-0000E8030000}"/>
    <cellStyle name="Millares 3 3 2 2 3 2" xfId="3525" xr:uid="{00000000-0005-0000-0000-0000E9030000}"/>
    <cellStyle name="Millares 3 3 2 2 3 2 2" xfId="5229" xr:uid="{46F01289-A2AE-404D-A4C4-799BB6BECDD4}"/>
    <cellStyle name="Millares 3 3 2 2 3 2 3" xfId="6906" xr:uid="{C4FCDF27-19C9-42F7-AE0E-C68488C1D800}"/>
    <cellStyle name="Millares 3 3 2 2 3 3" xfId="3920" xr:uid="{00000000-0005-0000-0000-0000EA030000}"/>
    <cellStyle name="Millares 3 3 2 2 3 3 2" xfId="5618" xr:uid="{6718072C-49A4-48F9-88D3-F8D895D67954}"/>
    <cellStyle name="Millares 3 3 2 2 3 3 3" xfId="7295" xr:uid="{AADCEC7A-45B8-41CE-BEE6-ABD6D7DB2539}"/>
    <cellStyle name="Millares 3 3 2 2 3 4" xfId="4427" xr:uid="{4C0D9D84-8BAE-4190-AD99-775FBA755724}"/>
    <cellStyle name="Millares 3 3 2 2 3 4 2" xfId="6108" xr:uid="{9AA6F865-433F-4BA9-84BD-545FBFCF57DD}"/>
    <cellStyle name="Millares 3 3 2 2 3 4 3" xfId="7785" xr:uid="{24B2B7D3-E162-4508-BFE3-317F6C974EEE}"/>
    <cellStyle name="Millares 3 3 2 2 3 5" xfId="4841" xr:uid="{6B0CE807-93EE-4F49-A8DD-EB2E562B8032}"/>
    <cellStyle name="Millares 3 3 2 2 3 6" xfId="6518" xr:uid="{2A084075-4B65-42CB-BA2C-E5AA28C31AFC}"/>
    <cellStyle name="Millares 3 3 2 2 4" xfId="3331" xr:uid="{00000000-0005-0000-0000-0000EB030000}"/>
    <cellStyle name="Millares 3 3 2 2 4 2" xfId="5035" xr:uid="{2EC19508-272C-4BA7-9980-852E6650B634}"/>
    <cellStyle name="Millares 3 3 2 2 4 3" xfId="6712" xr:uid="{8D4376FF-C05D-46B1-AEAE-0EDB2DA1AFAA}"/>
    <cellStyle name="Millares 3 3 2 2 5" xfId="3726" xr:uid="{00000000-0005-0000-0000-0000EC030000}"/>
    <cellStyle name="Millares 3 3 2 2 5 2" xfId="5424" xr:uid="{0ECB262D-B3C5-4439-816A-764D5114F0A8}"/>
    <cellStyle name="Millares 3 3 2 2 5 3" xfId="7101" xr:uid="{602BB947-744A-4491-8E2C-8B5F59D35FE7}"/>
    <cellStyle name="Millares 3 3 2 2 6" xfId="4124" xr:uid="{00000000-0005-0000-0000-0000ED030000}"/>
    <cellStyle name="Millares 3 3 2 2 6 2" xfId="5816" xr:uid="{AF69042A-E78A-4776-A3A7-E5F23B5719F7}"/>
    <cellStyle name="Millares 3 3 2 2 6 3" xfId="7493" xr:uid="{8B552A62-6309-4B30-AF0A-B469BD883A76}"/>
    <cellStyle name="Millares 3 3 2 2 7" xfId="4233" xr:uid="{05FFE89F-6C71-4F70-8D07-773A936381C1}"/>
    <cellStyle name="Millares 3 3 2 2 7 2" xfId="5914" xr:uid="{C3A80846-3CE6-46BE-A450-F7096138F37A}"/>
    <cellStyle name="Millares 3 3 2 2 7 3" xfId="7591" xr:uid="{6943C19D-FE76-42A2-839E-816AB799DA20}"/>
    <cellStyle name="Millares 3 3 2 2 8" xfId="4647" xr:uid="{2C567966-A1BB-4790-9B5F-62413FB5EDEB}"/>
    <cellStyle name="Millares 3 3 2 2 9" xfId="6324" xr:uid="{A3F46D79-B7FB-4ABB-A0DE-3DA6FD6A381C}"/>
    <cellStyle name="Millares 3 3 2 3" xfId="2977" xr:uid="{00000000-0005-0000-0000-0000EE030000}"/>
    <cellStyle name="Millares 3 3 2 3 2" xfId="3179" xr:uid="{00000000-0005-0000-0000-0000EF030000}"/>
    <cellStyle name="Millares 3 3 2 3 2 2" xfId="3572" xr:uid="{00000000-0005-0000-0000-0000F0030000}"/>
    <cellStyle name="Millares 3 3 2 3 2 2 2" xfId="5276" xr:uid="{E119C695-E809-4875-88FC-27AD28880538}"/>
    <cellStyle name="Millares 3 3 2 3 2 2 3" xfId="6953" xr:uid="{9027F323-36BE-4910-895D-5BCC779EB8B0}"/>
    <cellStyle name="Millares 3 3 2 3 2 3" xfId="3967" xr:uid="{00000000-0005-0000-0000-0000F1030000}"/>
    <cellStyle name="Millares 3 3 2 3 2 3 2" xfId="5665" xr:uid="{E65CA444-A71A-489E-932C-DEEF09B621BC}"/>
    <cellStyle name="Millares 3 3 2 3 2 3 3" xfId="7342" xr:uid="{34E56FBF-40D9-4ECF-8BB5-65E5BF9D295A}"/>
    <cellStyle name="Millares 3 3 2 3 2 4" xfId="4474" xr:uid="{03EAFC39-E507-41E7-9BA3-71BDEB29CD0F}"/>
    <cellStyle name="Millares 3 3 2 3 2 4 2" xfId="6155" xr:uid="{4AA69B20-BD7A-4FE1-912F-85A451B944C9}"/>
    <cellStyle name="Millares 3 3 2 3 2 4 3" xfId="7832" xr:uid="{6417FF50-3E5E-4A3B-BBF9-E2ABFF3BA53E}"/>
    <cellStyle name="Millares 3 3 2 3 2 5" xfId="4888" xr:uid="{C04EF435-8E8D-4235-8A7D-58540342E3CD}"/>
    <cellStyle name="Millares 3 3 2 3 2 6" xfId="6565" xr:uid="{CE1DB5F2-0993-40D0-9161-2E03A18774FF}"/>
    <cellStyle name="Millares 3 3 2 3 3" xfId="3378" xr:uid="{00000000-0005-0000-0000-0000F2030000}"/>
    <cellStyle name="Millares 3 3 2 3 3 2" xfId="5082" xr:uid="{C8B4A130-636D-480A-A130-3818DA13B16D}"/>
    <cellStyle name="Millares 3 3 2 3 3 3" xfId="6759" xr:uid="{3A22B1A9-05F5-4008-971A-D389B0D5FFBA}"/>
    <cellStyle name="Millares 3 3 2 3 4" xfId="3773" xr:uid="{00000000-0005-0000-0000-0000F3030000}"/>
    <cellStyle name="Millares 3 3 2 3 4 2" xfId="5471" xr:uid="{0386DD3A-8675-43D8-84A5-A79101F992E2}"/>
    <cellStyle name="Millares 3 3 2 3 4 3" xfId="7148" xr:uid="{6092D2FD-101D-48D5-9C84-6BF4EDE9F668}"/>
    <cellStyle name="Millares 3 3 2 3 5" xfId="4280" xr:uid="{63462B5A-D553-4F91-969C-2A6475925647}"/>
    <cellStyle name="Millares 3 3 2 3 5 2" xfId="5961" xr:uid="{9A1ABE79-2BC4-4AB6-A900-2D309DB50840}"/>
    <cellStyle name="Millares 3 3 2 3 5 3" xfId="7638" xr:uid="{A788E43C-80C3-443A-8768-CDA5473BC95A}"/>
    <cellStyle name="Millares 3 3 2 3 6" xfId="4694" xr:uid="{E933EE45-3AA7-4BAC-AB61-F29E510A06D3}"/>
    <cellStyle name="Millares 3 3 2 3 7" xfId="6371" xr:uid="{3B20E4DE-B0A8-4CF6-9F29-91963DF9DBB4}"/>
    <cellStyle name="Millares 3 3 2 4" xfId="3083" xr:uid="{00000000-0005-0000-0000-0000F4030000}"/>
    <cellStyle name="Millares 3 3 2 4 2" xfId="3476" xr:uid="{00000000-0005-0000-0000-0000F5030000}"/>
    <cellStyle name="Millares 3 3 2 4 2 2" xfId="5180" xr:uid="{DEBF9FD6-1BC9-4669-A580-2E763DAC4DC6}"/>
    <cellStyle name="Millares 3 3 2 4 2 3" xfId="6857" xr:uid="{DFB2592B-729A-4111-8042-45F270BB483D}"/>
    <cellStyle name="Millares 3 3 2 4 3" xfId="3871" xr:uid="{00000000-0005-0000-0000-0000F6030000}"/>
    <cellStyle name="Millares 3 3 2 4 3 2" xfId="5569" xr:uid="{D478BD06-4B8E-45B4-AE83-10D1C618A03F}"/>
    <cellStyle name="Millares 3 3 2 4 3 3" xfId="7246" xr:uid="{964F1792-2CDF-470C-8660-9AC663811F21}"/>
    <cellStyle name="Millares 3 3 2 4 4" xfId="4378" xr:uid="{D6C6FD2F-9577-4CB2-92C0-7586D94F7AC0}"/>
    <cellStyle name="Millares 3 3 2 4 4 2" xfId="6059" xr:uid="{CBB1F5F6-65CB-46AC-A565-C0F9BCB6F1C5}"/>
    <cellStyle name="Millares 3 3 2 4 4 3" xfId="7736" xr:uid="{6D6C8C70-1B39-4122-AEFB-AF68A296DF45}"/>
    <cellStyle name="Millares 3 3 2 4 5" xfId="4792" xr:uid="{67ACB666-2CA5-48B0-805E-847CFE07ACD0}"/>
    <cellStyle name="Millares 3 3 2 4 6" xfId="6469" xr:uid="{D1B93CB9-3241-4B60-A039-E551E70972A8}"/>
    <cellStyle name="Millares 3 3 2 5" xfId="3281" xr:uid="{00000000-0005-0000-0000-0000F7030000}"/>
    <cellStyle name="Millares 3 3 2 5 2" xfId="4986" xr:uid="{36294646-E2BD-422F-8CF6-A94B720FAA27}"/>
    <cellStyle name="Millares 3 3 2 5 3" xfId="6663" xr:uid="{51C664B3-9416-4827-A166-89E3F74AAB08}"/>
    <cellStyle name="Millares 3 3 2 6" xfId="3675" xr:uid="{00000000-0005-0000-0000-0000F8030000}"/>
    <cellStyle name="Millares 3 3 2 6 2" xfId="5374" xr:uid="{39CD3E3A-A17F-4F59-9275-BB802335FD0C}"/>
    <cellStyle name="Millares 3 3 2 6 3" xfId="7051" xr:uid="{C630E253-A938-4BD3-8DB3-F29F3D07339E}"/>
    <cellStyle name="Millares 3 3 2 7" xfId="4073" xr:uid="{00000000-0005-0000-0000-0000F9030000}"/>
    <cellStyle name="Millares 3 3 2 7 2" xfId="5765" xr:uid="{DD8049D2-962A-4306-B886-5E3F6CC5B9D4}"/>
    <cellStyle name="Millares 3 3 2 7 3" xfId="7442" xr:uid="{AD817D6E-8D1A-4F5D-B005-99A6269DE844}"/>
    <cellStyle name="Millares 3 3 2 8" xfId="4178" xr:uid="{3B63C83A-54AF-40BB-A86E-5963A2631137}"/>
    <cellStyle name="Millares 3 3 2 8 2" xfId="5863" xr:uid="{82BFB7B4-AE04-4734-8381-BA1D7C777E95}"/>
    <cellStyle name="Millares 3 3 2 8 3" xfId="7540" xr:uid="{CDD6FDB3-3307-42B3-AE2B-1DC094FEBDFD}"/>
    <cellStyle name="Millares 3 3 2 9" xfId="4595" xr:uid="{BEB51CF0-02D1-471E-9081-FDD628419280}"/>
    <cellStyle name="Millares 3 3 3" xfId="2899" xr:uid="{00000000-0005-0000-0000-0000FA030000}"/>
    <cellStyle name="Millares 3 3 3 2" xfId="3031" xr:uid="{00000000-0005-0000-0000-0000FB030000}"/>
    <cellStyle name="Millares 3 3 3 2 2" xfId="3229" xr:uid="{00000000-0005-0000-0000-0000FC030000}"/>
    <cellStyle name="Millares 3 3 3 2 2 2" xfId="3622" xr:uid="{00000000-0005-0000-0000-0000FD030000}"/>
    <cellStyle name="Millares 3 3 3 2 2 2 2" xfId="5326" xr:uid="{49C3146C-3028-4D25-806F-643E76D58617}"/>
    <cellStyle name="Millares 3 3 3 2 2 2 3" xfId="7003" xr:uid="{015B9447-A0DE-4D25-9A82-174CFCF22921}"/>
    <cellStyle name="Millares 3 3 3 2 2 3" xfId="4017" xr:uid="{00000000-0005-0000-0000-0000FE030000}"/>
    <cellStyle name="Millares 3 3 3 2 2 3 2" xfId="5715" xr:uid="{F98BEE43-5BC8-4A8F-B0B0-FE7FA1A3C347}"/>
    <cellStyle name="Millares 3 3 3 2 2 3 3" xfId="7392" xr:uid="{D63AA29B-1B6F-426A-B40D-8AEFE586ABF4}"/>
    <cellStyle name="Millares 3 3 3 2 2 4" xfId="4524" xr:uid="{D34DD2B5-F02E-4FBB-8C34-163634B58B47}"/>
    <cellStyle name="Millares 3 3 3 2 2 4 2" xfId="6205" xr:uid="{AD4CBE6C-828B-4BC5-97C3-24513F6D2B16}"/>
    <cellStyle name="Millares 3 3 3 2 2 4 3" xfId="7882" xr:uid="{DDEB3EC1-658D-4651-A4B7-E28FD51A2F51}"/>
    <cellStyle name="Millares 3 3 3 2 2 5" xfId="4938" xr:uid="{C2F47BDC-C4F4-4D5A-8D8B-422B4701F1D1}"/>
    <cellStyle name="Millares 3 3 3 2 2 6" xfId="6615" xr:uid="{9F85ED3F-4997-4513-9A4A-B9C3113B696E}"/>
    <cellStyle name="Millares 3 3 3 2 3" xfId="3428" xr:uid="{00000000-0005-0000-0000-0000FF030000}"/>
    <cellStyle name="Millares 3 3 3 2 3 2" xfId="5132" xr:uid="{D4013DF6-7FB2-4F8F-AC0E-D222EE884D0C}"/>
    <cellStyle name="Millares 3 3 3 2 3 3" xfId="6809" xr:uid="{68088822-B2FB-4D4E-A735-5863D856E4AC}"/>
    <cellStyle name="Millares 3 3 3 2 4" xfId="3823" xr:uid="{00000000-0005-0000-0000-000000040000}"/>
    <cellStyle name="Millares 3 3 3 2 4 2" xfId="5521" xr:uid="{13E9D338-3215-4B1C-A610-C28F082A61E0}"/>
    <cellStyle name="Millares 3 3 3 2 4 3" xfId="7198" xr:uid="{3DCC294E-A524-4ABA-B654-7122B7FCE8B3}"/>
    <cellStyle name="Millares 3 3 3 2 5" xfId="4330" xr:uid="{05B76780-CD66-4996-AF9E-2124C5FAA6C1}"/>
    <cellStyle name="Millares 3 3 3 2 5 2" xfId="6011" xr:uid="{7BE0D107-105A-4902-A746-204C46E248F6}"/>
    <cellStyle name="Millares 3 3 3 2 5 3" xfId="7688" xr:uid="{54BF8281-7F50-48A8-BCA7-DD1521EFDDF5}"/>
    <cellStyle name="Millares 3 3 3 2 6" xfId="4744" xr:uid="{C40AAAFD-E131-4030-AC26-068365111678}"/>
    <cellStyle name="Millares 3 3 3 2 7" xfId="6421" xr:uid="{2152DDD2-31B3-462B-84F9-EA93CE31E45C}"/>
    <cellStyle name="Millares 3 3 3 3" xfId="3131" xr:uid="{00000000-0005-0000-0000-000001040000}"/>
    <cellStyle name="Millares 3 3 3 3 2" xfId="3524" xr:uid="{00000000-0005-0000-0000-000002040000}"/>
    <cellStyle name="Millares 3 3 3 3 2 2" xfId="5228" xr:uid="{D51B912E-EDAA-45F1-AABA-7BF45AD1960A}"/>
    <cellStyle name="Millares 3 3 3 3 2 3" xfId="6905" xr:uid="{733A20AA-17B0-4CEC-A884-8087C4F39EAC}"/>
    <cellStyle name="Millares 3 3 3 3 3" xfId="3919" xr:uid="{00000000-0005-0000-0000-000003040000}"/>
    <cellStyle name="Millares 3 3 3 3 3 2" xfId="5617" xr:uid="{9332E857-6DA6-4E52-B391-09C56EAB6045}"/>
    <cellStyle name="Millares 3 3 3 3 3 3" xfId="7294" xr:uid="{B8DC6790-5182-42E9-AC67-CC6304E25ED9}"/>
    <cellStyle name="Millares 3 3 3 3 4" xfId="4426" xr:uid="{704F5472-B874-41EE-B5FC-B36D68AD18D5}"/>
    <cellStyle name="Millares 3 3 3 3 4 2" xfId="6107" xr:uid="{F5879584-69AF-48D2-B629-22F15210D877}"/>
    <cellStyle name="Millares 3 3 3 3 4 3" xfId="7784" xr:uid="{2B546CE9-05F5-4F89-B9B2-4BE1E8855D19}"/>
    <cellStyle name="Millares 3 3 3 3 5" xfId="4840" xr:uid="{6D8B59EB-1E43-44B2-93E7-26AC3018BDEB}"/>
    <cellStyle name="Millares 3 3 3 3 6" xfId="6517" xr:uid="{AEA77A77-B5D5-4764-88F0-36A93113BBD1}"/>
    <cellStyle name="Millares 3 3 3 4" xfId="3330" xr:uid="{00000000-0005-0000-0000-000004040000}"/>
    <cellStyle name="Millares 3 3 3 4 2" xfId="5034" xr:uid="{DE0CC44B-F0C1-44CA-9D14-50CFEA8D1AFD}"/>
    <cellStyle name="Millares 3 3 3 4 3" xfId="6711" xr:uid="{297122F4-FB51-4BB3-9B6B-B73BDCFBD65D}"/>
    <cellStyle name="Millares 3 3 3 5" xfId="3725" xr:uid="{00000000-0005-0000-0000-000005040000}"/>
    <cellStyle name="Millares 3 3 3 5 2" xfId="5423" xr:uid="{2861F12B-D912-4B96-9B6C-FB09B6CD5B8C}"/>
    <cellStyle name="Millares 3 3 3 5 3" xfId="7100" xr:uid="{95FF59C2-49D7-4918-8028-6C37FBEC3ADB}"/>
    <cellStyle name="Millares 3 3 3 6" xfId="4123" xr:uid="{00000000-0005-0000-0000-000006040000}"/>
    <cellStyle name="Millares 3 3 3 6 2" xfId="5815" xr:uid="{7DF53C9D-8ECB-4C37-ABBF-73EA4C41C3F4}"/>
    <cellStyle name="Millares 3 3 3 6 3" xfId="7492" xr:uid="{4BA3109A-E4AA-4652-924C-3A815044E5CB}"/>
    <cellStyle name="Millares 3 3 3 7" xfId="4232" xr:uid="{A3282AA8-C2DA-47AC-881C-721ECF6ECA20}"/>
    <cellStyle name="Millares 3 3 3 7 2" xfId="5913" xr:uid="{145E46EE-C556-430B-BD72-1E01FD73A113}"/>
    <cellStyle name="Millares 3 3 3 7 3" xfId="7590" xr:uid="{4A2162D0-DDCD-4304-8C61-DB7377995C73}"/>
    <cellStyle name="Millares 3 3 3 8" xfId="4646" xr:uid="{FDB6E642-8A39-44C2-A4B7-C9CBC47091AA}"/>
    <cellStyle name="Millares 3 3 3 9" xfId="6323" xr:uid="{08CE458B-F570-4DBD-BE5F-27C7E05F7819}"/>
    <cellStyle name="Millares 3 3 4" xfId="2976" xr:uid="{00000000-0005-0000-0000-000007040000}"/>
    <cellStyle name="Millares 3 3 4 2" xfId="3178" xr:uid="{00000000-0005-0000-0000-000008040000}"/>
    <cellStyle name="Millares 3 3 4 2 2" xfId="3571" xr:uid="{00000000-0005-0000-0000-000009040000}"/>
    <cellStyle name="Millares 3 3 4 2 2 2" xfId="5275" xr:uid="{BEA48DA3-CB8C-4E61-A29F-373318B4F87D}"/>
    <cellStyle name="Millares 3 3 4 2 2 3" xfId="6952" xr:uid="{D3AB2709-24B7-44F0-8E2A-0FA0AB7A5E89}"/>
    <cellStyle name="Millares 3 3 4 2 3" xfId="3966" xr:uid="{00000000-0005-0000-0000-00000A040000}"/>
    <cellStyle name="Millares 3 3 4 2 3 2" xfId="5664" xr:uid="{6CE2261C-3153-4DEC-A43B-17277767A7C4}"/>
    <cellStyle name="Millares 3 3 4 2 3 3" xfId="7341" xr:uid="{BC392A50-6FC9-4190-A3BE-AE821BB8729C}"/>
    <cellStyle name="Millares 3 3 4 2 4" xfId="4473" xr:uid="{C670B9C1-06E7-4798-9CF8-84BB562F4891}"/>
    <cellStyle name="Millares 3 3 4 2 4 2" xfId="6154" xr:uid="{99B6FCC7-B5BF-4181-8B60-B2E1EE930293}"/>
    <cellStyle name="Millares 3 3 4 2 4 3" xfId="7831" xr:uid="{18513C72-1342-4ECE-87AC-17B8107DF5F9}"/>
    <cellStyle name="Millares 3 3 4 2 5" xfId="4887" xr:uid="{7145C8C5-E972-419D-BEAB-D609C3B0D747}"/>
    <cellStyle name="Millares 3 3 4 2 6" xfId="6564" xr:uid="{54651C0F-4F99-4ACC-9B40-1A06AC574660}"/>
    <cellStyle name="Millares 3 3 4 3" xfId="3377" xr:uid="{00000000-0005-0000-0000-00000B040000}"/>
    <cellStyle name="Millares 3 3 4 3 2" xfId="5081" xr:uid="{13FC7E70-8581-4DCD-AC14-66194C7F7D51}"/>
    <cellStyle name="Millares 3 3 4 3 3" xfId="6758" xr:uid="{B4D8996D-6AC3-488F-A8FF-8CC6010FB11F}"/>
    <cellStyle name="Millares 3 3 4 4" xfId="3772" xr:uid="{00000000-0005-0000-0000-00000C040000}"/>
    <cellStyle name="Millares 3 3 4 4 2" xfId="5470" xr:uid="{95564D01-5E3E-4D60-BBD9-2F5571ACB996}"/>
    <cellStyle name="Millares 3 3 4 4 3" xfId="7147" xr:uid="{5398C073-9B17-42E9-B30C-045785D8B5E9}"/>
    <cellStyle name="Millares 3 3 4 5" xfId="4279" xr:uid="{8996F057-434D-451E-965E-AEFF385DE85B}"/>
    <cellStyle name="Millares 3 3 4 5 2" xfId="5960" xr:uid="{A36AFCD4-8820-4700-9E12-E0CC73095F1F}"/>
    <cellStyle name="Millares 3 3 4 5 3" xfId="7637" xr:uid="{1A6AFA65-9371-4635-9861-020756006727}"/>
    <cellStyle name="Millares 3 3 4 6" xfId="4693" xr:uid="{7EE9A285-F6EB-413A-94AD-AF303396F7CD}"/>
    <cellStyle name="Millares 3 3 4 7" xfId="6370" xr:uid="{48B7633C-21EA-4F3A-8C91-A38B798A954C}"/>
    <cellStyle name="Millares 3 3 5" xfId="3082" xr:uid="{00000000-0005-0000-0000-00000D040000}"/>
    <cellStyle name="Millares 3 3 5 2" xfId="3475" xr:uid="{00000000-0005-0000-0000-00000E040000}"/>
    <cellStyle name="Millares 3 3 5 2 2" xfId="5179" xr:uid="{1B30DFD5-0133-47A8-89EB-1089C853F14F}"/>
    <cellStyle name="Millares 3 3 5 2 3" xfId="6856" xr:uid="{CF351273-EAA9-4058-967C-84739EA2587C}"/>
    <cellStyle name="Millares 3 3 5 3" xfId="3870" xr:uid="{00000000-0005-0000-0000-00000F040000}"/>
    <cellStyle name="Millares 3 3 5 3 2" xfId="5568" xr:uid="{632125EC-1612-4987-B704-B9CD29AE744D}"/>
    <cellStyle name="Millares 3 3 5 3 3" xfId="7245" xr:uid="{EF2146C7-0D56-4E5C-8210-6329C0CEA550}"/>
    <cellStyle name="Millares 3 3 5 4" xfId="4377" xr:uid="{890C028F-E90D-4C4F-A3AA-BBF400C438B5}"/>
    <cellStyle name="Millares 3 3 5 4 2" xfId="6058" xr:uid="{DF4FC5E3-3988-4FAE-8693-90BB2665A0F2}"/>
    <cellStyle name="Millares 3 3 5 4 3" xfId="7735" xr:uid="{A0FC6E67-0E60-4AD7-A7C0-9BBFBBEA5172}"/>
    <cellStyle name="Millares 3 3 5 5" xfId="4791" xr:uid="{F77A437D-EEDA-490C-82C3-82E00300DD72}"/>
    <cellStyle name="Millares 3 3 5 6" xfId="6468" xr:uid="{09FFE169-B447-4A6D-B9CB-F06C8A3449BE}"/>
    <cellStyle name="Millares 3 3 6" xfId="3280" xr:uid="{00000000-0005-0000-0000-000010040000}"/>
    <cellStyle name="Millares 3 3 6 2" xfId="4985" xr:uid="{AEA42FE6-3938-4F19-82BE-D8807F1A0CA0}"/>
    <cellStyle name="Millares 3 3 6 3" xfId="6662" xr:uid="{CE6E7036-54C8-4479-B5A2-8AD7C733A885}"/>
    <cellStyle name="Millares 3 3 7" xfId="3674" xr:uid="{00000000-0005-0000-0000-000011040000}"/>
    <cellStyle name="Millares 3 3 7 2" xfId="5373" xr:uid="{DE71CBDD-E04E-4032-9D96-93CD9837C3F1}"/>
    <cellStyle name="Millares 3 3 7 3" xfId="7050" xr:uid="{8BF1D59F-5A3E-4C6E-B45E-DBEB18AF1528}"/>
    <cellStyle name="Millares 3 3 8" xfId="4072" xr:uid="{00000000-0005-0000-0000-000012040000}"/>
    <cellStyle name="Millares 3 3 8 2" xfId="5764" xr:uid="{0D7D66A1-3F02-428F-983B-450628E358A8}"/>
    <cellStyle name="Millares 3 3 8 3" xfId="7441" xr:uid="{8CAC25B7-CAD8-43B9-8F3F-4A823A71F86E}"/>
    <cellStyle name="Millares 3 3 9" xfId="4177" xr:uid="{04CA0240-E4A3-4C65-8EE0-0806B5B0AB03}"/>
    <cellStyle name="Millares 3 3 9 2" xfId="5862" xr:uid="{94501B4F-B575-4348-9AC1-961457A1A935}"/>
    <cellStyle name="Millares 3 3 9 3" xfId="7539" xr:uid="{6DB26C81-7202-414C-A9AD-B239D3899FDF}"/>
    <cellStyle name="Millares 3 4" xfId="227" xr:uid="{00000000-0005-0000-0000-000013040000}"/>
    <cellStyle name="Millares 3 4 10" xfId="6273" xr:uid="{EA9AD9D5-A9E5-42CB-8414-4A40F686DC83}"/>
    <cellStyle name="Millares 3 4 2" xfId="2901" xr:uid="{00000000-0005-0000-0000-000014040000}"/>
    <cellStyle name="Millares 3 4 2 2" xfId="3033" xr:uid="{00000000-0005-0000-0000-000015040000}"/>
    <cellStyle name="Millares 3 4 2 2 2" xfId="3231" xr:uid="{00000000-0005-0000-0000-000016040000}"/>
    <cellStyle name="Millares 3 4 2 2 2 2" xfId="3624" xr:uid="{00000000-0005-0000-0000-000017040000}"/>
    <cellStyle name="Millares 3 4 2 2 2 2 2" xfId="5328" xr:uid="{7F2BFE83-E413-4667-801F-A9F2D331C402}"/>
    <cellStyle name="Millares 3 4 2 2 2 2 3" xfId="7005" xr:uid="{E2D93303-921A-4574-8E5E-252C6B5AB147}"/>
    <cellStyle name="Millares 3 4 2 2 2 3" xfId="4019" xr:uid="{00000000-0005-0000-0000-000018040000}"/>
    <cellStyle name="Millares 3 4 2 2 2 3 2" xfId="5717" xr:uid="{9A0B29A5-ED45-45ED-A9C6-BEF18CF25B40}"/>
    <cellStyle name="Millares 3 4 2 2 2 3 3" xfId="7394" xr:uid="{422DB33F-405F-4491-B7FF-21024BD5563D}"/>
    <cellStyle name="Millares 3 4 2 2 2 4" xfId="4526" xr:uid="{390265CF-4B51-4ADE-A64F-2AD8A68FEA10}"/>
    <cellStyle name="Millares 3 4 2 2 2 4 2" xfId="6207" xr:uid="{1EA40221-32CC-47C0-BC1D-F136D35FE991}"/>
    <cellStyle name="Millares 3 4 2 2 2 4 3" xfId="7884" xr:uid="{B351862D-9E63-467D-A3C3-C2DD2B4E53CD}"/>
    <cellStyle name="Millares 3 4 2 2 2 5" xfId="4940" xr:uid="{3CA67566-2399-409B-AF0B-BC3FC13E797E}"/>
    <cellStyle name="Millares 3 4 2 2 2 6" xfId="6617" xr:uid="{4F8EE4D0-D426-4934-B412-72089748BAD0}"/>
    <cellStyle name="Millares 3 4 2 2 3" xfId="3430" xr:uid="{00000000-0005-0000-0000-000019040000}"/>
    <cellStyle name="Millares 3 4 2 2 3 2" xfId="5134" xr:uid="{B3B046BB-38F9-4129-B296-53CCA39890A1}"/>
    <cellStyle name="Millares 3 4 2 2 3 3" xfId="6811" xr:uid="{3C916127-81CB-452F-838C-0D4B69032E37}"/>
    <cellStyle name="Millares 3 4 2 2 4" xfId="3825" xr:uid="{00000000-0005-0000-0000-00001A040000}"/>
    <cellStyle name="Millares 3 4 2 2 4 2" xfId="5523" xr:uid="{925CBAD2-BB62-4D35-9A79-253631848603}"/>
    <cellStyle name="Millares 3 4 2 2 4 3" xfId="7200" xr:uid="{8073FEE5-7B7B-4F7B-BAD3-3EE2AAAB96B1}"/>
    <cellStyle name="Millares 3 4 2 2 5" xfId="4332" xr:uid="{EA36555C-FA31-4A4C-B677-8C16C624E9B6}"/>
    <cellStyle name="Millares 3 4 2 2 5 2" xfId="6013" xr:uid="{F3A4BC03-EF60-45C1-807D-CD084D92DC1A}"/>
    <cellStyle name="Millares 3 4 2 2 5 3" xfId="7690" xr:uid="{007D8EC6-760F-4172-A012-AB45B3366DEA}"/>
    <cellStyle name="Millares 3 4 2 2 6" xfId="4746" xr:uid="{6D2EBF9F-A762-4B9B-84CD-BA1F987F5EFB}"/>
    <cellStyle name="Millares 3 4 2 2 7" xfId="6423" xr:uid="{28304245-3A97-4950-B971-4509C6AE1D26}"/>
    <cellStyle name="Millares 3 4 2 3" xfId="3133" xr:uid="{00000000-0005-0000-0000-00001B040000}"/>
    <cellStyle name="Millares 3 4 2 3 2" xfId="3526" xr:uid="{00000000-0005-0000-0000-00001C040000}"/>
    <cellStyle name="Millares 3 4 2 3 2 2" xfId="5230" xr:uid="{8F2CD1A7-3BDF-463D-B343-A506740EDCA1}"/>
    <cellStyle name="Millares 3 4 2 3 2 3" xfId="6907" xr:uid="{729BE686-B041-493B-AAA0-765AE025DB9A}"/>
    <cellStyle name="Millares 3 4 2 3 3" xfId="3921" xr:uid="{00000000-0005-0000-0000-00001D040000}"/>
    <cellStyle name="Millares 3 4 2 3 3 2" xfId="5619" xr:uid="{DAD400B8-07BF-4A67-9C03-054FFE9768BE}"/>
    <cellStyle name="Millares 3 4 2 3 3 3" xfId="7296" xr:uid="{5CACFFF6-922A-4D87-8D11-D138DBEAF3B9}"/>
    <cellStyle name="Millares 3 4 2 3 4" xfId="4428" xr:uid="{1C6EE6AE-AF73-4B73-AA97-0118232774E4}"/>
    <cellStyle name="Millares 3 4 2 3 4 2" xfId="6109" xr:uid="{B627649C-75E9-46BC-9FEA-086F03B41E90}"/>
    <cellStyle name="Millares 3 4 2 3 4 3" xfId="7786" xr:uid="{9EBAD75E-DDA9-4ECC-955D-74F3DEB0846B}"/>
    <cellStyle name="Millares 3 4 2 3 5" xfId="4842" xr:uid="{2727639A-E1E0-46F0-99E0-2126690015FC}"/>
    <cellStyle name="Millares 3 4 2 3 6" xfId="6519" xr:uid="{9C6D8B50-EB24-4AAF-B6C9-A86CFF292C97}"/>
    <cellStyle name="Millares 3 4 2 4" xfId="3332" xr:uid="{00000000-0005-0000-0000-00001E040000}"/>
    <cellStyle name="Millares 3 4 2 4 2" xfId="5036" xr:uid="{8AE4D8E0-903C-48B9-8C2E-35C443A68DBB}"/>
    <cellStyle name="Millares 3 4 2 4 3" xfId="6713" xr:uid="{F29CAFDA-7859-4947-A205-6C72D0E61592}"/>
    <cellStyle name="Millares 3 4 2 5" xfId="3727" xr:uid="{00000000-0005-0000-0000-00001F040000}"/>
    <cellStyle name="Millares 3 4 2 5 2" xfId="5425" xr:uid="{E6EBE778-CCA5-403A-AAC9-00D024D26286}"/>
    <cellStyle name="Millares 3 4 2 5 3" xfId="7102" xr:uid="{ECDEEC99-B1E5-4DC4-BE26-1C39DDCEC248}"/>
    <cellStyle name="Millares 3 4 2 6" xfId="4125" xr:uid="{00000000-0005-0000-0000-000020040000}"/>
    <cellStyle name="Millares 3 4 2 6 2" xfId="5817" xr:uid="{5E1B75B9-8C4E-4AAC-9104-0339FD26DEE2}"/>
    <cellStyle name="Millares 3 4 2 6 3" xfId="7494" xr:uid="{DFA6D0F9-4534-4AF9-9EC4-10F6DAA49A12}"/>
    <cellStyle name="Millares 3 4 2 7" xfId="4234" xr:uid="{33B1281F-323F-471C-806B-5D33E9B10BEA}"/>
    <cellStyle name="Millares 3 4 2 7 2" xfId="5915" xr:uid="{DBEB2FCB-CD63-4953-89A5-FB8A59AAF052}"/>
    <cellStyle name="Millares 3 4 2 7 3" xfId="7592" xr:uid="{4E14EC35-357E-4996-802A-FB1A68A06FCD}"/>
    <cellStyle name="Millares 3 4 2 8" xfId="4648" xr:uid="{4D03B8BD-DCB8-414E-9232-DCBA82A17601}"/>
    <cellStyle name="Millares 3 4 2 9" xfId="6325" xr:uid="{A4046006-DE97-499B-AEF5-B054E401C61E}"/>
    <cellStyle name="Millares 3 4 3" xfId="2978" xr:uid="{00000000-0005-0000-0000-000021040000}"/>
    <cellStyle name="Millares 3 4 3 2" xfId="3180" xr:uid="{00000000-0005-0000-0000-000022040000}"/>
    <cellStyle name="Millares 3 4 3 2 2" xfId="3573" xr:uid="{00000000-0005-0000-0000-000023040000}"/>
    <cellStyle name="Millares 3 4 3 2 2 2" xfId="5277" xr:uid="{3E279E41-5A5A-4F0F-B683-BFEF104403BA}"/>
    <cellStyle name="Millares 3 4 3 2 2 3" xfId="6954" xr:uid="{0E5EDC98-13BE-41EB-B31E-5E26DDE4C46B}"/>
    <cellStyle name="Millares 3 4 3 2 3" xfId="3968" xr:uid="{00000000-0005-0000-0000-000024040000}"/>
    <cellStyle name="Millares 3 4 3 2 3 2" xfId="5666" xr:uid="{43198E77-C0B1-4794-9D31-CC4803F66BFD}"/>
    <cellStyle name="Millares 3 4 3 2 3 3" xfId="7343" xr:uid="{3BA76556-FC50-47CC-9308-9056A5AB7E3C}"/>
    <cellStyle name="Millares 3 4 3 2 4" xfId="4475" xr:uid="{CE44B4F0-6420-4BD6-B849-28302A65D411}"/>
    <cellStyle name="Millares 3 4 3 2 4 2" xfId="6156" xr:uid="{CE6D35EF-FA7C-4CCE-808B-3445E59747B1}"/>
    <cellStyle name="Millares 3 4 3 2 4 3" xfId="7833" xr:uid="{E7A84011-7AEC-40F4-AA07-53C4235FCE9F}"/>
    <cellStyle name="Millares 3 4 3 2 5" xfId="4889" xr:uid="{BCB75399-4F33-4361-941F-2A6494E1F14B}"/>
    <cellStyle name="Millares 3 4 3 2 6" xfId="6566" xr:uid="{EA8969DC-5CF5-4F0A-81E0-E7FCB1B8FCCC}"/>
    <cellStyle name="Millares 3 4 3 3" xfId="3379" xr:uid="{00000000-0005-0000-0000-000025040000}"/>
    <cellStyle name="Millares 3 4 3 3 2" xfId="5083" xr:uid="{C4A9A4A4-8147-46D8-9B62-9D56B1DAA4D4}"/>
    <cellStyle name="Millares 3 4 3 3 3" xfId="6760" xr:uid="{C46EAB5D-FA04-4162-ADF0-46C099E41517}"/>
    <cellStyle name="Millares 3 4 3 4" xfId="3774" xr:uid="{00000000-0005-0000-0000-000026040000}"/>
    <cellStyle name="Millares 3 4 3 4 2" xfId="5472" xr:uid="{24FBDAB3-A2C8-41B3-AA11-F37F75E41298}"/>
    <cellStyle name="Millares 3 4 3 4 3" xfId="7149" xr:uid="{B5FC6478-ACFB-4299-8F95-F2F9DD37B0C3}"/>
    <cellStyle name="Millares 3 4 3 5" xfId="4281" xr:uid="{19C1B47E-6AD8-466C-A982-367C73DDBDC4}"/>
    <cellStyle name="Millares 3 4 3 5 2" xfId="5962" xr:uid="{5877B1AA-B59B-45A6-AC7A-9B91AB8F42EE}"/>
    <cellStyle name="Millares 3 4 3 5 3" xfId="7639" xr:uid="{F1B03DB4-B09B-45C8-8179-83C9441DB3A6}"/>
    <cellStyle name="Millares 3 4 3 6" xfId="4695" xr:uid="{09695461-8FED-47C1-94D0-6A154157AE84}"/>
    <cellStyle name="Millares 3 4 3 7" xfId="6372" xr:uid="{47793FF6-6FCD-4E65-8F2A-42DE6DA99399}"/>
    <cellStyle name="Millares 3 4 4" xfId="3084" xr:uid="{00000000-0005-0000-0000-000027040000}"/>
    <cellStyle name="Millares 3 4 4 2" xfId="3477" xr:uid="{00000000-0005-0000-0000-000028040000}"/>
    <cellStyle name="Millares 3 4 4 2 2" xfId="5181" xr:uid="{54650A91-AF70-4DBB-A42D-933DE55AA83A}"/>
    <cellStyle name="Millares 3 4 4 2 3" xfId="6858" xr:uid="{D7C808F1-064F-4636-9B06-4B9E450AC88E}"/>
    <cellStyle name="Millares 3 4 4 3" xfId="3872" xr:uid="{00000000-0005-0000-0000-000029040000}"/>
    <cellStyle name="Millares 3 4 4 3 2" xfId="5570" xr:uid="{975F0557-02D5-4C4E-960D-9DE7EE526268}"/>
    <cellStyle name="Millares 3 4 4 3 3" xfId="7247" xr:uid="{ED31F520-76EE-4A43-BC4E-CD62F46ECE8E}"/>
    <cellStyle name="Millares 3 4 4 4" xfId="4379" xr:uid="{BD5FC3C8-E859-4454-B8C4-F8CC761AE520}"/>
    <cellStyle name="Millares 3 4 4 4 2" xfId="6060" xr:uid="{3EB84B58-7F99-464E-BB12-20BDF07C3B92}"/>
    <cellStyle name="Millares 3 4 4 4 3" xfId="7737" xr:uid="{F6254DE4-0556-4316-BEFB-C8F6265DC734}"/>
    <cellStyle name="Millares 3 4 4 5" xfId="4793" xr:uid="{F5AA7A8E-AFC9-443B-9311-4C45AA3B2199}"/>
    <cellStyle name="Millares 3 4 4 6" xfId="6470" xr:uid="{2E0C95D0-2FA6-4E2A-AB43-9A1FD9D23C79}"/>
    <cellStyle name="Millares 3 4 5" xfId="3282" xr:uid="{00000000-0005-0000-0000-00002A040000}"/>
    <cellStyle name="Millares 3 4 5 2" xfId="4987" xr:uid="{AD0E0CC5-DA4B-4E5D-9E21-1BEB08D40BDF}"/>
    <cellStyle name="Millares 3 4 5 3" xfId="6664" xr:uid="{C6CD0BE3-0799-4F2A-A643-F47CCFF96626}"/>
    <cellStyle name="Millares 3 4 6" xfId="3676" xr:uid="{00000000-0005-0000-0000-00002B040000}"/>
    <cellStyle name="Millares 3 4 6 2" xfId="5375" xr:uid="{D3CF3F20-D221-4FF8-BB73-D98DE0F11120}"/>
    <cellStyle name="Millares 3 4 6 3" xfId="7052" xr:uid="{2770100B-DD8D-4632-A9BF-737822AA9C45}"/>
    <cellStyle name="Millares 3 4 7" xfId="4074" xr:uid="{00000000-0005-0000-0000-00002C040000}"/>
    <cellStyle name="Millares 3 4 7 2" xfId="5766" xr:uid="{C6485C19-F8D4-45DF-9B1B-6BF30C1913B7}"/>
    <cellStyle name="Millares 3 4 7 3" xfId="7443" xr:uid="{A8A36AD4-E7E1-4279-8480-048DEA3401B7}"/>
    <cellStyle name="Millares 3 4 8" xfId="4179" xr:uid="{D8BA7A88-34B0-4A26-BAC0-81071CB6AE57}"/>
    <cellStyle name="Millares 3 4 8 2" xfId="5864" xr:uid="{BABF28AE-523C-4FB4-AD36-BC634488345D}"/>
    <cellStyle name="Millares 3 4 8 3" xfId="7541" xr:uid="{D5250DA5-7425-4F4D-BF60-495F2FCACE87}"/>
    <cellStyle name="Millares 3 4 9" xfId="4596" xr:uid="{7F211BFD-46FF-45AA-8F5C-B993F649CE57}"/>
    <cellStyle name="Millares 3 5" xfId="4559" xr:uid="{15A3BBA9-3702-4D02-A2A9-EF7D2F6ACCE5}"/>
    <cellStyle name="Millares 30" xfId="4548" xr:uid="{A7890311-999E-4743-883F-542C9A46BE33}"/>
    <cellStyle name="Millares 31" xfId="4550" xr:uid="{666E314D-D41C-4D3A-8BA5-C6AB6FC32ED6}"/>
    <cellStyle name="Millares 32" xfId="4545" xr:uid="{4B654A33-3E91-467B-8F89-1CE7CA72467A}"/>
    <cellStyle name="Millares 33" xfId="4557" xr:uid="{0FE80A79-B538-47EA-883F-2A428D7883B6}"/>
    <cellStyle name="Millares 34" xfId="4556" xr:uid="{0CB08A85-D135-4FD1-867F-18D1E7E55D60}"/>
    <cellStyle name="Millares 35" xfId="4554" xr:uid="{D892D17D-5281-4D66-A3D7-71E16EAA5911}"/>
    <cellStyle name="Millares 36" xfId="4615" xr:uid="{84D5E9FF-2305-4195-8628-D1F95ED013E2}"/>
    <cellStyle name="Millares 37" xfId="4563" xr:uid="{43239060-AACF-4F73-A642-3F333A2FD9C5}"/>
    <cellStyle name="Millares 38" xfId="6233" xr:uid="{04A96F5A-BFC5-4B13-9980-5A48391C5027}"/>
    <cellStyle name="Millares 39" xfId="6228" xr:uid="{66DDB6AC-A70C-41B6-8DB4-C3ED69DD39C9}"/>
    <cellStyle name="Millares 4" xfId="8" xr:uid="{00000000-0005-0000-0000-00002D040000}"/>
    <cellStyle name="Millares 4 2" xfId="228" xr:uid="{00000000-0005-0000-0000-00002E040000}"/>
    <cellStyle name="Millares 40" xfId="6234" xr:uid="{73D3E5C4-35B6-43C7-9941-B8935E33131C}"/>
    <cellStyle name="Millares 41" xfId="6237" xr:uid="{4BD6C341-1F17-4319-80C4-27C8C2B5D42B}"/>
    <cellStyle name="Millares 42" xfId="6292" xr:uid="{98711423-A2D8-445D-B7F1-818C8678F29B}"/>
    <cellStyle name="Millares 43" xfId="6240" xr:uid="{3F00926D-1E7C-442D-8A76-4A58C2775D01}"/>
    <cellStyle name="Millares 44" xfId="7904" xr:uid="{88D072DA-18AD-456F-9EFE-BD5F1E25B91D}"/>
    <cellStyle name="Millares 5" xfId="229" xr:uid="{00000000-0005-0000-0000-00002F040000}"/>
    <cellStyle name="Millares 5 2" xfId="230" xr:uid="{00000000-0005-0000-0000-000030040000}"/>
    <cellStyle name="Millares 5 3" xfId="231" xr:uid="{00000000-0005-0000-0000-000031040000}"/>
    <cellStyle name="Millares 5 4" xfId="232" xr:uid="{00000000-0005-0000-0000-000032040000}"/>
    <cellStyle name="Millares 5 4 10" xfId="6274" xr:uid="{265744CC-0C2F-44F6-98E3-F97CDB508E16}"/>
    <cellStyle name="Millares 5 4 2" xfId="2902" xr:uid="{00000000-0005-0000-0000-000033040000}"/>
    <cellStyle name="Millares 5 4 2 2" xfId="3034" xr:uid="{00000000-0005-0000-0000-000034040000}"/>
    <cellStyle name="Millares 5 4 2 2 2" xfId="3232" xr:uid="{00000000-0005-0000-0000-000035040000}"/>
    <cellStyle name="Millares 5 4 2 2 2 2" xfId="3625" xr:uid="{00000000-0005-0000-0000-000036040000}"/>
    <cellStyle name="Millares 5 4 2 2 2 2 2" xfId="5329" xr:uid="{CE764C9B-C802-4541-A994-2DF4508CDC70}"/>
    <cellStyle name="Millares 5 4 2 2 2 2 3" xfId="7006" xr:uid="{40696A08-4372-410F-91D8-998125ECAB9D}"/>
    <cellStyle name="Millares 5 4 2 2 2 3" xfId="4020" xr:uid="{00000000-0005-0000-0000-000037040000}"/>
    <cellStyle name="Millares 5 4 2 2 2 3 2" xfId="5718" xr:uid="{607DFA68-27C0-4FF6-BBB5-3472C29A66A3}"/>
    <cellStyle name="Millares 5 4 2 2 2 3 3" xfId="7395" xr:uid="{FC10442E-20A7-433A-872B-85DAD6D87379}"/>
    <cellStyle name="Millares 5 4 2 2 2 4" xfId="4527" xr:uid="{3799E6C7-79B2-4BAF-9516-D54B1E6E5360}"/>
    <cellStyle name="Millares 5 4 2 2 2 4 2" xfId="6208" xr:uid="{BE563B6B-91AE-4A50-BD20-CC5943CC3B46}"/>
    <cellStyle name="Millares 5 4 2 2 2 4 3" xfId="7885" xr:uid="{C1A92FA3-FDB4-4DE9-9F78-94758F009593}"/>
    <cellStyle name="Millares 5 4 2 2 2 5" xfId="4941" xr:uid="{7A1F8BEF-A24F-471A-AE8F-4615854CB29B}"/>
    <cellStyle name="Millares 5 4 2 2 2 6" xfId="6618" xr:uid="{C2252861-537B-4531-A3D5-7904E1A9F0CD}"/>
    <cellStyle name="Millares 5 4 2 2 3" xfId="3431" xr:uid="{00000000-0005-0000-0000-000038040000}"/>
    <cellStyle name="Millares 5 4 2 2 3 2" xfId="5135" xr:uid="{8D039493-F9F0-418C-A437-C4FF2E2BE2EE}"/>
    <cellStyle name="Millares 5 4 2 2 3 3" xfId="6812" xr:uid="{99FACA55-7A99-4C5A-A6CB-9151CDC7C73B}"/>
    <cellStyle name="Millares 5 4 2 2 4" xfId="3826" xr:uid="{00000000-0005-0000-0000-000039040000}"/>
    <cellStyle name="Millares 5 4 2 2 4 2" xfId="5524" xr:uid="{BB02C910-1869-42B8-86D8-F15A883D4CBE}"/>
    <cellStyle name="Millares 5 4 2 2 4 3" xfId="7201" xr:uid="{59D8DA17-E9F5-45D1-8E51-69802D0A8615}"/>
    <cellStyle name="Millares 5 4 2 2 5" xfId="4333" xr:uid="{510241E5-DCDC-44DC-9D49-B8C5CA59CF2B}"/>
    <cellStyle name="Millares 5 4 2 2 5 2" xfId="6014" xr:uid="{A71B7429-4426-47F0-AFA9-900BC14CCFD0}"/>
    <cellStyle name="Millares 5 4 2 2 5 3" xfId="7691" xr:uid="{9AEB18EC-FAC6-4D76-8F88-3909913043FD}"/>
    <cellStyle name="Millares 5 4 2 2 6" xfId="4747" xr:uid="{0C7842A5-58B7-4E42-91D1-E87B74C7899E}"/>
    <cellStyle name="Millares 5 4 2 2 7" xfId="6424" xr:uid="{A522E7FB-0C9B-4C79-BE85-A39AA126903D}"/>
    <cellStyle name="Millares 5 4 2 3" xfId="3134" xr:uid="{00000000-0005-0000-0000-00003A040000}"/>
    <cellStyle name="Millares 5 4 2 3 2" xfId="3527" xr:uid="{00000000-0005-0000-0000-00003B040000}"/>
    <cellStyle name="Millares 5 4 2 3 2 2" xfId="5231" xr:uid="{7F46DCF8-3AE6-4062-A128-F0B4D1F2B396}"/>
    <cellStyle name="Millares 5 4 2 3 2 3" xfId="6908" xr:uid="{B9D8C48C-72E7-4F39-9C96-B5C75947D9AC}"/>
    <cellStyle name="Millares 5 4 2 3 3" xfId="3922" xr:uid="{00000000-0005-0000-0000-00003C040000}"/>
    <cellStyle name="Millares 5 4 2 3 3 2" xfId="5620" xr:uid="{F5F9BCBF-39B3-4674-BC39-2D3B56ED88D1}"/>
    <cellStyle name="Millares 5 4 2 3 3 3" xfId="7297" xr:uid="{3A70F6CD-58DE-48E8-8B31-06CE73B68002}"/>
    <cellStyle name="Millares 5 4 2 3 4" xfId="4429" xr:uid="{E4E0CFF4-E6B4-4AA5-AB5A-EF8D6D373EDF}"/>
    <cellStyle name="Millares 5 4 2 3 4 2" xfId="6110" xr:uid="{D01C2CAB-DE96-4BB4-905B-94DC9EC5A601}"/>
    <cellStyle name="Millares 5 4 2 3 4 3" xfId="7787" xr:uid="{AABA20B3-850C-4CEC-BBE5-B6E20FB8A727}"/>
    <cellStyle name="Millares 5 4 2 3 5" xfId="4843" xr:uid="{F9026682-35A3-40EE-BFB3-6A5AAC089222}"/>
    <cellStyle name="Millares 5 4 2 3 6" xfId="6520" xr:uid="{529BDF49-BA65-42C4-8C17-6ABF495A070F}"/>
    <cellStyle name="Millares 5 4 2 4" xfId="3333" xr:uid="{00000000-0005-0000-0000-00003D040000}"/>
    <cellStyle name="Millares 5 4 2 4 2" xfId="5037" xr:uid="{7FEF9289-689F-4839-9BAB-B423B52675C3}"/>
    <cellStyle name="Millares 5 4 2 4 3" xfId="6714" xr:uid="{D8EE9F74-4109-448D-86CC-F67B9C71D6F4}"/>
    <cellStyle name="Millares 5 4 2 5" xfId="3728" xr:uid="{00000000-0005-0000-0000-00003E040000}"/>
    <cellStyle name="Millares 5 4 2 5 2" xfId="5426" xr:uid="{65ED1B17-2936-4EDD-BC33-2523C73B7B61}"/>
    <cellStyle name="Millares 5 4 2 5 3" xfId="7103" xr:uid="{010D89F1-6942-42A3-80D8-DD53F5658CB3}"/>
    <cellStyle name="Millares 5 4 2 6" xfId="4126" xr:uid="{00000000-0005-0000-0000-00003F040000}"/>
    <cellStyle name="Millares 5 4 2 6 2" xfId="5818" xr:uid="{C4777EF7-F47B-4BC0-A79A-E45A8C587174}"/>
    <cellStyle name="Millares 5 4 2 6 3" xfId="7495" xr:uid="{04DF6098-DFAC-48C3-8EE4-FBB811D70876}"/>
    <cellStyle name="Millares 5 4 2 7" xfId="4235" xr:uid="{EA96A20B-2EF2-4C64-AFC1-D8A1CEB443A6}"/>
    <cellStyle name="Millares 5 4 2 7 2" xfId="5916" xr:uid="{45726EBB-9807-445A-A541-829DC88B71D0}"/>
    <cellStyle name="Millares 5 4 2 7 3" xfId="7593" xr:uid="{073F42FD-324F-438F-A4D8-135B8A469728}"/>
    <cellStyle name="Millares 5 4 2 8" xfId="4649" xr:uid="{E824636F-C391-4FA7-8D3C-F30DEF4C34B6}"/>
    <cellStyle name="Millares 5 4 2 9" xfId="6326" xr:uid="{35D2B8D7-E2B1-4B64-B6D6-8C997FBA8A47}"/>
    <cellStyle name="Millares 5 4 3" xfId="2979" xr:uid="{00000000-0005-0000-0000-000040040000}"/>
    <cellStyle name="Millares 5 4 3 2" xfId="3181" xr:uid="{00000000-0005-0000-0000-000041040000}"/>
    <cellStyle name="Millares 5 4 3 2 2" xfId="3574" xr:uid="{00000000-0005-0000-0000-000042040000}"/>
    <cellStyle name="Millares 5 4 3 2 2 2" xfId="5278" xr:uid="{A9A4F684-D9DA-488D-B913-41EA7F98DBF4}"/>
    <cellStyle name="Millares 5 4 3 2 2 3" xfId="6955" xr:uid="{7B971B79-FABF-4B59-BF6C-40F70C39E141}"/>
    <cellStyle name="Millares 5 4 3 2 3" xfId="3969" xr:uid="{00000000-0005-0000-0000-000043040000}"/>
    <cellStyle name="Millares 5 4 3 2 3 2" xfId="5667" xr:uid="{4E4F1EAF-06FD-4565-976E-30F2A57C8DD8}"/>
    <cellStyle name="Millares 5 4 3 2 3 3" xfId="7344" xr:uid="{D03622FC-1219-4BE8-9771-21C1BA5A172C}"/>
    <cellStyle name="Millares 5 4 3 2 4" xfId="4476" xr:uid="{9A4A41CD-B393-4626-AE8E-06956410DD0D}"/>
    <cellStyle name="Millares 5 4 3 2 4 2" xfId="6157" xr:uid="{AF8EBA2B-9DD0-44AE-920A-C32E252A2C35}"/>
    <cellStyle name="Millares 5 4 3 2 4 3" xfId="7834" xr:uid="{9853B8B4-D4E1-44C5-A690-30F1AC0C4D35}"/>
    <cellStyle name="Millares 5 4 3 2 5" xfId="4890" xr:uid="{0E775188-4021-4C60-82BF-0D2EDCA52393}"/>
    <cellStyle name="Millares 5 4 3 2 6" xfId="6567" xr:uid="{3956414F-FC5E-4EC4-B7C4-F01D1475D323}"/>
    <cellStyle name="Millares 5 4 3 3" xfId="3380" xr:uid="{00000000-0005-0000-0000-000044040000}"/>
    <cellStyle name="Millares 5 4 3 3 2" xfId="5084" xr:uid="{8C8A46EF-52F1-4E73-8FC7-FA911A8FD5C4}"/>
    <cellStyle name="Millares 5 4 3 3 3" xfId="6761" xr:uid="{1FF8F4F5-DDFF-4083-A853-F617172F17CB}"/>
    <cellStyle name="Millares 5 4 3 4" xfId="3775" xr:uid="{00000000-0005-0000-0000-000045040000}"/>
    <cellStyle name="Millares 5 4 3 4 2" xfId="5473" xr:uid="{E7A3D3E3-6F69-4BFC-BAC9-4B805ECB3003}"/>
    <cellStyle name="Millares 5 4 3 4 3" xfId="7150" xr:uid="{DB2DD9F6-0142-4277-A9FB-C51B24CCDAE1}"/>
    <cellStyle name="Millares 5 4 3 5" xfId="4282" xr:uid="{40E127FA-E928-492B-9C7D-E1FE4577BC0D}"/>
    <cellStyle name="Millares 5 4 3 5 2" xfId="5963" xr:uid="{27EC7AB7-509A-4D49-BA0B-4807B49E8BFC}"/>
    <cellStyle name="Millares 5 4 3 5 3" xfId="7640" xr:uid="{80651E2C-173B-462F-8943-4FC668E49BD3}"/>
    <cellStyle name="Millares 5 4 3 6" xfId="4696" xr:uid="{C7BC56DC-0015-47B5-8B42-C79158AB6238}"/>
    <cellStyle name="Millares 5 4 3 7" xfId="6373" xr:uid="{7B2F9C26-1DAF-4576-96F4-93306115194C}"/>
    <cellStyle name="Millares 5 4 4" xfId="3085" xr:uid="{00000000-0005-0000-0000-000046040000}"/>
    <cellStyle name="Millares 5 4 4 2" xfId="3478" xr:uid="{00000000-0005-0000-0000-000047040000}"/>
    <cellStyle name="Millares 5 4 4 2 2" xfId="5182" xr:uid="{11AB73C0-0A50-4942-9CDE-72BC04068751}"/>
    <cellStyle name="Millares 5 4 4 2 3" xfId="6859" xr:uid="{78215B4B-E113-4147-99AD-0B1104328BFA}"/>
    <cellStyle name="Millares 5 4 4 3" xfId="3873" xr:uid="{00000000-0005-0000-0000-000048040000}"/>
    <cellStyle name="Millares 5 4 4 3 2" xfId="5571" xr:uid="{1CE82872-50C7-41AD-98F9-9F24ADDBFE71}"/>
    <cellStyle name="Millares 5 4 4 3 3" xfId="7248" xr:uid="{85E41AE4-0726-45F5-844B-6CE1AD2E1BE3}"/>
    <cellStyle name="Millares 5 4 4 4" xfId="4380" xr:uid="{A9E88C7D-3959-4014-9EF3-BCEF3D122DE9}"/>
    <cellStyle name="Millares 5 4 4 4 2" xfId="6061" xr:uid="{B800FF7C-09CE-49DF-955A-249A4E39884D}"/>
    <cellStyle name="Millares 5 4 4 4 3" xfId="7738" xr:uid="{98B672F8-6A4F-48C9-921C-094652EDC2AE}"/>
    <cellStyle name="Millares 5 4 4 5" xfId="4794" xr:uid="{79EEB489-7F47-4EC2-9ECF-C5F8BCB54F51}"/>
    <cellStyle name="Millares 5 4 4 6" xfId="6471" xr:uid="{A7F2DCBE-7E3E-4CBB-9575-A727FC0C036B}"/>
    <cellStyle name="Millares 5 4 5" xfId="3283" xr:uid="{00000000-0005-0000-0000-000049040000}"/>
    <cellStyle name="Millares 5 4 5 2" xfId="4988" xr:uid="{FAFD62DE-90A4-4552-950B-BA4B77E9D185}"/>
    <cellStyle name="Millares 5 4 5 3" xfId="6665" xr:uid="{778AC33D-BC20-4B67-8455-27A27435CA77}"/>
    <cellStyle name="Millares 5 4 6" xfId="3677" xr:uid="{00000000-0005-0000-0000-00004A040000}"/>
    <cellStyle name="Millares 5 4 6 2" xfId="5376" xr:uid="{CD386BBD-406A-4712-B693-DBF6BE8D1069}"/>
    <cellStyle name="Millares 5 4 6 3" xfId="7053" xr:uid="{38282925-0D40-46E0-9FD5-F8A6B8121A56}"/>
    <cellStyle name="Millares 5 4 7" xfId="4075" xr:uid="{00000000-0005-0000-0000-00004B040000}"/>
    <cellStyle name="Millares 5 4 7 2" xfId="5767" xr:uid="{995FAAE3-F2E1-4653-A73B-6129557F2712}"/>
    <cellStyle name="Millares 5 4 7 3" xfId="7444" xr:uid="{605C3FE9-0996-48FE-BF29-B67EDCF268D3}"/>
    <cellStyle name="Millares 5 4 8" xfId="4180" xr:uid="{466D5A70-C524-47FD-9CE3-FC41D5E70A15}"/>
    <cellStyle name="Millares 5 4 8 2" xfId="5865" xr:uid="{064FB532-D60D-4074-8854-0D831A2ECFC7}"/>
    <cellStyle name="Millares 5 4 8 3" xfId="7542" xr:uid="{6B95F93C-DA43-44E2-B6ED-EE101A23DD8B}"/>
    <cellStyle name="Millares 5 4 9" xfId="4597" xr:uid="{12187CEE-05C2-4645-B494-113B3C4A95AB}"/>
    <cellStyle name="Millares 5 5" xfId="233" xr:uid="{00000000-0005-0000-0000-00004C040000}"/>
    <cellStyle name="Millares 5 5 10" xfId="6275" xr:uid="{A49AA15B-0192-4A6B-A919-1A1A62C19BBC}"/>
    <cellStyle name="Millares 5 5 2" xfId="2903" xr:uid="{00000000-0005-0000-0000-00004D040000}"/>
    <cellStyle name="Millares 5 5 2 2" xfId="3035" xr:uid="{00000000-0005-0000-0000-00004E040000}"/>
    <cellStyle name="Millares 5 5 2 2 2" xfId="3233" xr:uid="{00000000-0005-0000-0000-00004F040000}"/>
    <cellStyle name="Millares 5 5 2 2 2 2" xfId="3626" xr:uid="{00000000-0005-0000-0000-000050040000}"/>
    <cellStyle name="Millares 5 5 2 2 2 2 2" xfId="5330" xr:uid="{4AD4CBB7-09DB-48BE-805E-EC1177C41375}"/>
    <cellStyle name="Millares 5 5 2 2 2 2 3" xfId="7007" xr:uid="{9D9E2995-5822-4FB5-9D75-3250D30FABF5}"/>
    <cellStyle name="Millares 5 5 2 2 2 3" xfId="4021" xr:uid="{00000000-0005-0000-0000-000051040000}"/>
    <cellStyle name="Millares 5 5 2 2 2 3 2" xfId="5719" xr:uid="{62DBA77D-CE1D-4011-9604-68DC4969E74E}"/>
    <cellStyle name="Millares 5 5 2 2 2 3 3" xfId="7396" xr:uid="{00C558F1-4D1A-4662-B932-5B68F40BDA39}"/>
    <cellStyle name="Millares 5 5 2 2 2 4" xfId="4528" xr:uid="{7799EF86-CE1B-4641-91A7-4ABDDBC5442A}"/>
    <cellStyle name="Millares 5 5 2 2 2 4 2" xfId="6209" xr:uid="{6E32B2E4-CA72-4F45-8763-379E2BD28EA4}"/>
    <cellStyle name="Millares 5 5 2 2 2 4 3" xfId="7886" xr:uid="{2F1E94CD-487C-46E2-B00C-C176A7F4522A}"/>
    <cellStyle name="Millares 5 5 2 2 2 5" xfId="4942" xr:uid="{54671680-D27C-4364-8035-9C00C7D8AACA}"/>
    <cellStyle name="Millares 5 5 2 2 2 6" xfId="6619" xr:uid="{A1279E77-3EC1-41F1-A621-3620D48BE83D}"/>
    <cellStyle name="Millares 5 5 2 2 3" xfId="3432" xr:uid="{00000000-0005-0000-0000-000052040000}"/>
    <cellStyle name="Millares 5 5 2 2 3 2" xfId="5136" xr:uid="{6AE86951-F478-413B-9D79-9AADC4B71D7F}"/>
    <cellStyle name="Millares 5 5 2 2 3 3" xfId="6813" xr:uid="{508F16B8-389A-468D-9704-8B76DD0C9F9A}"/>
    <cellStyle name="Millares 5 5 2 2 4" xfId="3827" xr:uid="{00000000-0005-0000-0000-000053040000}"/>
    <cellStyle name="Millares 5 5 2 2 4 2" xfId="5525" xr:uid="{0F2CE926-9D7A-4B65-99D0-D34549D2F80D}"/>
    <cellStyle name="Millares 5 5 2 2 4 3" xfId="7202" xr:uid="{C4AB4DFB-1C4C-4898-A73C-3E64C2CB1C8D}"/>
    <cellStyle name="Millares 5 5 2 2 5" xfId="4334" xr:uid="{E6D7DDC6-437E-4646-9251-C6301D344630}"/>
    <cellStyle name="Millares 5 5 2 2 5 2" xfId="6015" xr:uid="{7D615DF8-E7C9-4A89-8ECD-E15C06D96F6E}"/>
    <cellStyle name="Millares 5 5 2 2 5 3" xfId="7692" xr:uid="{837B4086-98A6-4FF6-8DF6-891E607DDAA0}"/>
    <cellStyle name="Millares 5 5 2 2 6" xfId="4748" xr:uid="{7588210A-6D82-4AF7-AD7B-E28CF27C1FA2}"/>
    <cellStyle name="Millares 5 5 2 2 7" xfId="6425" xr:uid="{AA96E4DF-E1CD-4BE0-B62E-E57DE31F4457}"/>
    <cellStyle name="Millares 5 5 2 3" xfId="3135" xr:uid="{00000000-0005-0000-0000-000054040000}"/>
    <cellStyle name="Millares 5 5 2 3 2" xfId="3528" xr:uid="{00000000-0005-0000-0000-000055040000}"/>
    <cellStyle name="Millares 5 5 2 3 2 2" xfId="5232" xr:uid="{4B4E3EFB-D125-402A-B79D-14B72D646E9E}"/>
    <cellStyle name="Millares 5 5 2 3 2 3" xfId="6909" xr:uid="{02EC436D-9F9D-4953-92AD-3F15E646D986}"/>
    <cellStyle name="Millares 5 5 2 3 3" xfId="3923" xr:uid="{00000000-0005-0000-0000-000056040000}"/>
    <cellStyle name="Millares 5 5 2 3 3 2" xfId="5621" xr:uid="{FB028FB6-0DDA-4C1B-B1D9-BB6854EEE18B}"/>
    <cellStyle name="Millares 5 5 2 3 3 3" xfId="7298" xr:uid="{46B1965A-01C5-4A19-91C5-2BB7B8FD493A}"/>
    <cellStyle name="Millares 5 5 2 3 4" xfId="4430" xr:uid="{199CA495-040C-4565-AFB6-AE75B7D6333D}"/>
    <cellStyle name="Millares 5 5 2 3 4 2" xfId="6111" xr:uid="{A9F93B63-3C42-4B64-929A-250EEF743C31}"/>
    <cellStyle name="Millares 5 5 2 3 4 3" xfId="7788" xr:uid="{15CF0D3C-5DAC-4E59-BC78-036D256FBB11}"/>
    <cellStyle name="Millares 5 5 2 3 5" xfId="4844" xr:uid="{0F8A3C89-AD58-4999-B903-F5CB284DE1D1}"/>
    <cellStyle name="Millares 5 5 2 3 6" xfId="6521" xr:uid="{7AFD1C79-18E1-4D0F-8F30-43C8272CBCD0}"/>
    <cellStyle name="Millares 5 5 2 4" xfId="3334" xr:uid="{00000000-0005-0000-0000-000057040000}"/>
    <cellStyle name="Millares 5 5 2 4 2" xfId="5038" xr:uid="{E4488347-9B4E-48AC-8E73-B043B9535C99}"/>
    <cellStyle name="Millares 5 5 2 4 3" xfId="6715" xr:uid="{43E8E1F7-EAC2-4096-8F9E-F33055697671}"/>
    <cellStyle name="Millares 5 5 2 5" xfId="3729" xr:uid="{00000000-0005-0000-0000-000058040000}"/>
    <cellStyle name="Millares 5 5 2 5 2" xfId="5427" xr:uid="{F8B784FE-FDBF-46D2-87E6-10A4FD51D44B}"/>
    <cellStyle name="Millares 5 5 2 5 3" xfId="7104" xr:uid="{805BD251-6E2F-401A-A4A2-D1676ADCFD27}"/>
    <cellStyle name="Millares 5 5 2 6" xfId="4127" xr:uid="{00000000-0005-0000-0000-000059040000}"/>
    <cellStyle name="Millares 5 5 2 6 2" xfId="5819" xr:uid="{61F1A471-987F-4AFA-A656-E0106AA0D7B0}"/>
    <cellStyle name="Millares 5 5 2 6 3" xfId="7496" xr:uid="{4E84B7D4-FF9A-475E-A245-CB768E841E48}"/>
    <cellStyle name="Millares 5 5 2 7" xfId="4236" xr:uid="{C480046A-1A8E-49DE-B6DF-3F3962EB8714}"/>
    <cellStyle name="Millares 5 5 2 7 2" xfId="5917" xr:uid="{3FD9891F-0632-4FE1-8B26-6144BC442F8A}"/>
    <cellStyle name="Millares 5 5 2 7 3" xfId="7594" xr:uid="{AE2BC169-CAFA-45B8-A4CE-DB8582392820}"/>
    <cellStyle name="Millares 5 5 2 8" xfId="4650" xr:uid="{93A477BD-8D1E-40DA-80CD-8C796CE91152}"/>
    <cellStyle name="Millares 5 5 2 9" xfId="6327" xr:uid="{EC015EB7-BE92-449D-861D-835DC81FDADA}"/>
    <cellStyle name="Millares 5 5 3" xfId="2980" xr:uid="{00000000-0005-0000-0000-00005A040000}"/>
    <cellStyle name="Millares 5 5 3 2" xfId="3182" xr:uid="{00000000-0005-0000-0000-00005B040000}"/>
    <cellStyle name="Millares 5 5 3 2 2" xfId="3575" xr:uid="{00000000-0005-0000-0000-00005C040000}"/>
    <cellStyle name="Millares 5 5 3 2 2 2" xfId="5279" xr:uid="{B89FDD61-C6E8-4CD5-8851-F899E999742C}"/>
    <cellStyle name="Millares 5 5 3 2 2 3" xfId="6956" xr:uid="{51E29775-3440-46FF-945E-47BE6DFB1AAF}"/>
    <cellStyle name="Millares 5 5 3 2 3" xfId="3970" xr:uid="{00000000-0005-0000-0000-00005D040000}"/>
    <cellStyle name="Millares 5 5 3 2 3 2" xfId="5668" xr:uid="{67571E1C-BF3E-464A-B4F9-E3464A7059D0}"/>
    <cellStyle name="Millares 5 5 3 2 3 3" xfId="7345" xr:uid="{CDAF2CDD-CF00-4D33-B703-EA549A2E506F}"/>
    <cellStyle name="Millares 5 5 3 2 4" xfId="4477" xr:uid="{4C1C23AE-97C4-46C3-AA20-B37B9B30342B}"/>
    <cellStyle name="Millares 5 5 3 2 4 2" xfId="6158" xr:uid="{1CCE2C14-9924-41FB-BB9E-088289B2014C}"/>
    <cellStyle name="Millares 5 5 3 2 4 3" xfId="7835" xr:uid="{6F1301D3-D142-43A6-9D8C-27413A5059CC}"/>
    <cellStyle name="Millares 5 5 3 2 5" xfId="4891" xr:uid="{B4171FA8-BDC3-4E81-AFB5-97EF1DED6048}"/>
    <cellStyle name="Millares 5 5 3 2 6" xfId="6568" xr:uid="{7926BD78-48EB-4C69-9695-7B3DD7A25B36}"/>
    <cellStyle name="Millares 5 5 3 3" xfId="3381" xr:uid="{00000000-0005-0000-0000-00005E040000}"/>
    <cellStyle name="Millares 5 5 3 3 2" xfId="5085" xr:uid="{7C4BFAFD-BB5C-4C92-B932-41B9655174DC}"/>
    <cellStyle name="Millares 5 5 3 3 3" xfId="6762" xr:uid="{A1ACD4CA-6326-48D4-BDFF-6CC9ED7591E1}"/>
    <cellStyle name="Millares 5 5 3 4" xfId="3776" xr:uid="{00000000-0005-0000-0000-00005F040000}"/>
    <cellStyle name="Millares 5 5 3 4 2" xfId="5474" xr:uid="{349213D5-A08E-4A36-8A7D-ECBDCC4BB8F4}"/>
    <cellStyle name="Millares 5 5 3 4 3" xfId="7151" xr:uid="{10EEA2C6-3433-4C23-9D36-9EBC3EA4BCC5}"/>
    <cellStyle name="Millares 5 5 3 5" xfId="4283" xr:uid="{58A2FAC5-FE2D-49EC-AA10-785E59206553}"/>
    <cellStyle name="Millares 5 5 3 5 2" xfId="5964" xr:uid="{20585F5E-32D2-45DF-B272-588CDACEAAED}"/>
    <cellStyle name="Millares 5 5 3 5 3" xfId="7641" xr:uid="{C32719B3-95DD-4C00-8959-F2EC949D7BDA}"/>
    <cellStyle name="Millares 5 5 3 6" xfId="4697" xr:uid="{867DB846-356E-42E6-B4B8-1A2CC10A15E4}"/>
    <cellStyle name="Millares 5 5 3 7" xfId="6374" xr:uid="{1E386C68-B7EA-4052-AC8D-D88BD69D5EB4}"/>
    <cellStyle name="Millares 5 5 4" xfId="3086" xr:uid="{00000000-0005-0000-0000-000060040000}"/>
    <cellStyle name="Millares 5 5 4 2" xfId="3479" xr:uid="{00000000-0005-0000-0000-000061040000}"/>
    <cellStyle name="Millares 5 5 4 2 2" xfId="5183" xr:uid="{8E39B66B-B4EA-42DF-AFD7-E86C98C64FA6}"/>
    <cellStyle name="Millares 5 5 4 2 3" xfId="6860" xr:uid="{BE1B88B4-40BE-4955-BF1B-4D470C414467}"/>
    <cellStyle name="Millares 5 5 4 3" xfId="3874" xr:uid="{00000000-0005-0000-0000-000062040000}"/>
    <cellStyle name="Millares 5 5 4 3 2" xfId="5572" xr:uid="{C83276B3-DAF4-42E0-B817-C3C2B1559B0B}"/>
    <cellStyle name="Millares 5 5 4 3 3" xfId="7249" xr:uid="{E71B46AB-48B8-4947-AF60-44EAF5A281CB}"/>
    <cellStyle name="Millares 5 5 4 4" xfId="4381" xr:uid="{9CC72621-B882-4023-9066-98B1BB9F7CB8}"/>
    <cellStyle name="Millares 5 5 4 4 2" xfId="6062" xr:uid="{2DB87579-1595-4CBB-AA22-FD4B0F992F4B}"/>
    <cellStyle name="Millares 5 5 4 4 3" xfId="7739" xr:uid="{F38B8497-22A3-43CC-A084-3FAB8130F036}"/>
    <cellStyle name="Millares 5 5 4 5" xfId="4795" xr:uid="{066788D3-0EEF-4D56-A211-144A097DDCC8}"/>
    <cellStyle name="Millares 5 5 4 6" xfId="6472" xr:uid="{76B92B88-654F-4443-A854-B73632AC5BE2}"/>
    <cellStyle name="Millares 5 5 5" xfId="3284" xr:uid="{00000000-0005-0000-0000-000063040000}"/>
    <cellStyle name="Millares 5 5 5 2" xfId="4989" xr:uid="{85EE5347-D2C9-4745-B64B-8E1D8D2B44D0}"/>
    <cellStyle name="Millares 5 5 5 3" xfId="6666" xr:uid="{7A20647A-12FC-4A1F-9B5D-B350937E0A3C}"/>
    <cellStyle name="Millares 5 5 6" xfId="3678" xr:uid="{00000000-0005-0000-0000-000064040000}"/>
    <cellStyle name="Millares 5 5 6 2" xfId="5377" xr:uid="{D7906C27-7CA6-4806-9BAF-4CC1A542053F}"/>
    <cellStyle name="Millares 5 5 6 3" xfId="7054" xr:uid="{30857126-FD5B-4924-9B51-73CBA7770C0D}"/>
    <cellStyle name="Millares 5 5 7" xfId="4076" xr:uid="{00000000-0005-0000-0000-000065040000}"/>
    <cellStyle name="Millares 5 5 7 2" xfId="5768" xr:uid="{096FAFC3-D3A6-450F-A9D9-C1BF3FF5D3F0}"/>
    <cellStyle name="Millares 5 5 7 3" xfId="7445" xr:uid="{AE95121E-B69A-4E08-97E6-67C5BCF6318B}"/>
    <cellStyle name="Millares 5 5 8" xfId="4181" xr:uid="{7E361CF0-7529-4D07-8D36-3DC0710F7087}"/>
    <cellStyle name="Millares 5 5 8 2" xfId="5866" xr:uid="{3CB4D477-A9EB-4B99-AD4D-59E2230A31CD}"/>
    <cellStyle name="Millares 5 5 8 3" xfId="7543" xr:uid="{D16C6E19-80F5-43EB-8539-F89098C89D60}"/>
    <cellStyle name="Millares 5 5 9" xfId="4598" xr:uid="{4A3232A0-763F-4395-8028-C29E90A4168F}"/>
    <cellStyle name="Millares 6" xfId="234" xr:uid="{00000000-0005-0000-0000-000066040000}"/>
    <cellStyle name="Millares 6 10" xfId="4077" xr:uid="{00000000-0005-0000-0000-000067040000}"/>
    <cellStyle name="Millares 6 10 2" xfId="5769" xr:uid="{3CCD21A4-8121-43BD-BD5F-38909A3AC646}"/>
    <cellStyle name="Millares 6 10 3" xfId="7446" xr:uid="{8A3C917D-10AD-4A55-9E47-C197735853AB}"/>
    <cellStyle name="Millares 6 11" xfId="4182" xr:uid="{87276669-0C12-4EBB-9A97-1726736BBC5E}"/>
    <cellStyle name="Millares 6 11 2" xfId="5867" xr:uid="{C84DFB36-0510-49EE-9A11-C69BC20E8C00}"/>
    <cellStyle name="Millares 6 11 3" xfId="7544" xr:uid="{CAD0A6BB-70D3-4C97-85B5-B0F03D2C7F7E}"/>
    <cellStyle name="Millares 6 12" xfId="4599" xr:uid="{01A07EBE-7441-4023-A146-0644C8949719}"/>
    <cellStyle name="Millares 6 13" xfId="6276" xr:uid="{B482D5B5-FAF1-47FE-9F66-6E9BD50E9ADB}"/>
    <cellStyle name="Millares 6 2" xfId="235" xr:uid="{00000000-0005-0000-0000-000068040000}"/>
    <cellStyle name="Millares 6 2 10" xfId="4600" xr:uid="{0ACA9C0E-FD2F-4897-92C3-7B6FF537CCE5}"/>
    <cellStyle name="Millares 6 2 11" xfId="6277" xr:uid="{1A08DDF8-B620-40CA-A0B5-0D31C60A642B}"/>
    <cellStyle name="Millares 6 2 2" xfId="236" xr:uid="{00000000-0005-0000-0000-000069040000}"/>
    <cellStyle name="Millares 6 2 2 10" xfId="6278" xr:uid="{10411243-759E-4E90-A6A2-1C286AE580EF}"/>
    <cellStyle name="Millares 6 2 2 2" xfId="2906" xr:uid="{00000000-0005-0000-0000-00006A040000}"/>
    <cellStyle name="Millares 6 2 2 2 2" xfId="3038" xr:uid="{00000000-0005-0000-0000-00006B040000}"/>
    <cellStyle name="Millares 6 2 2 2 2 2" xfId="3236" xr:uid="{00000000-0005-0000-0000-00006C040000}"/>
    <cellStyle name="Millares 6 2 2 2 2 2 2" xfId="3629" xr:uid="{00000000-0005-0000-0000-00006D040000}"/>
    <cellStyle name="Millares 6 2 2 2 2 2 2 2" xfId="5333" xr:uid="{5A8A116C-3C14-4D18-BD8D-20047F0305E3}"/>
    <cellStyle name="Millares 6 2 2 2 2 2 2 3" xfId="7010" xr:uid="{AF357040-8C6E-43CF-83C1-A0C93E5D1344}"/>
    <cellStyle name="Millares 6 2 2 2 2 2 3" xfId="4024" xr:uid="{00000000-0005-0000-0000-00006E040000}"/>
    <cellStyle name="Millares 6 2 2 2 2 2 3 2" xfId="5722" xr:uid="{2437E81F-E1A1-4654-A193-148A1857DA90}"/>
    <cellStyle name="Millares 6 2 2 2 2 2 3 3" xfId="7399" xr:uid="{033C2A23-DD8F-4507-B92F-8673A25B4F60}"/>
    <cellStyle name="Millares 6 2 2 2 2 2 4" xfId="4531" xr:uid="{0907B48D-BDD4-41E5-8C03-774D9DA65DCE}"/>
    <cellStyle name="Millares 6 2 2 2 2 2 4 2" xfId="6212" xr:uid="{FA8E8CA0-4AC1-4D35-B9CB-2D60235E584B}"/>
    <cellStyle name="Millares 6 2 2 2 2 2 4 3" xfId="7889" xr:uid="{EF049A9B-272F-4CB6-B05E-F13AC928B055}"/>
    <cellStyle name="Millares 6 2 2 2 2 2 5" xfId="4945" xr:uid="{5B6265D6-7A03-4825-98FC-C8B7CD4B3868}"/>
    <cellStyle name="Millares 6 2 2 2 2 2 6" xfId="6622" xr:uid="{3DF169AF-CE13-441A-91A8-771609C166A8}"/>
    <cellStyle name="Millares 6 2 2 2 2 3" xfId="3435" xr:uid="{00000000-0005-0000-0000-00006F040000}"/>
    <cellStyle name="Millares 6 2 2 2 2 3 2" xfId="5139" xr:uid="{3CA666B7-AFFA-4426-B962-1B84D0962168}"/>
    <cellStyle name="Millares 6 2 2 2 2 3 3" xfId="6816" xr:uid="{27FDFC0D-E9A5-4DC1-8BED-BC5EF09DA54C}"/>
    <cellStyle name="Millares 6 2 2 2 2 4" xfId="3830" xr:uid="{00000000-0005-0000-0000-000070040000}"/>
    <cellStyle name="Millares 6 2 2 2 2 4 2" xfId="5528" xr:uid="{AD87EBC1-E9FB-49AE-8AE4-ACC59C9A9DC6}"/>
    <cellStyle name="Millares 6 2 2 2 2 4 3" xfId="7205" xr:uid="{20B62D6F-1287-4CF8-8DD0-DCE876781D53}"/>
    <cellStyle name="Millares 6 2 2 2 2 5" xfId="4337" xr:uid="{300F8381-F1F8-44B6-BE52-02ECC16E5C5C}"/>
    <cellStyle name="Millares 6 2 2 2 2 5 2" xfId="6018" xr:uid="{8E9C8911-E96F-4B43-AE58-4A56C3FA9665}"/>
    <cellStyle name="Millares 6 2 2 2 2 5 3" xfId="7695" xr:uid="{AE8DD853-5930-4619-B66D-5DEA5F2FB821}"/>
    <cellStyle name="Millares 6 2 2 2 2 6" xfId="4751" xr:uid="{0B0774EE-AA9B-4177-B3AD-CDB60771C77D}"/>
    <cellStyle name="Millares 6 2 2 2 2 7" xfId="6428" xr:uid="{340E6EAC-00D3-49FE-890E-BCD51D4F2146}"/>
    <cellStyle name="Millares 6 2 2 2 3" xfId="3138" xr:uid="{00000000-0005-0000-0000-000071040000}"/>
    <cellStyle name="Millares 6 2 2 2 3 2" xfId="3531" xr:uid="{00000000-0005-0000-0000-000072040000}"/>
    <cellStyle name="Millares 6 2 2 2 3 2 2" xfId="5235" xr:uid="{938D575B-D1A6-4E70-B891-42255FE8C545}"/>
    <cellStyle name="Millares 6 2 2 2 3 2 3" xfId="6912" xr:uid="{8B302130-EA21-4527-B6B5-367DA6F1DF9B}"/>
    <cellStyle name="Millares 6 2 2 2 3 3" xfId="3926" xr:uid="{00000000-0005-0000-0000-000073040000}"/>
    <cellStyle name="Millares 6 2 2 2 3 3 2" xfId="5624" xr:uid="{E90D12A9-26DE-4A73-9732-97B23F5611C2}"/>
    <cellStyle name="Millares 6 2 2 2 3 3 3" xfId="7301" xr:uid="{23F36123-1502-4474-B364-E5A58AB5E8D4}"/>
    <cellStyle name="Millares 6 2 2 2 3 4" xfId="4433" xr:uid="{D8C4D264-9B12-4422-9D7A-91518FB266E7}"/>
    <cellStyle name="Millares 6 2 2 2 3 4 2" xfId="6114" xr:uid="{0E67A8B9-6F47-4BED-A3F0-B07C130A12A1}"/>
    <cellStyle name="Millares 6 2 2 2 3 4 3" xfId="7791" xr:uid="{2782CC1A-70DF-4C7D-8BAE-1D6091308C21}"/>
    <cellStyle name="Millares 6 2 2 2 3 5" xfId="4847" xr:uid="{9B6F3C9C-026E-426A-A134-53D52F330F74}"/>
    <cellStyle name="Millares 6 2 2 2 3 6" xfId="6524" xr:uid="{B68E1E71-A61C-4363-B1B5-437FCA247B52}"/>
    <cellStyle name="Millares 6 2 2 2 4" xfId="3337" xr:uid="{00000000-0005-0000-0000-000074040000}"/>
    <cellStyle name="Millares 6 2 2 2 4 2" xfId="5041" xr:uid="{B7374DB3-DEE9-47DC-A352-74E797DF8A8F}"/>
    <cellStyle name="Millares 6 2 2 2 4 3" xfId="6718" xr:uid="{C7AB8718-467A-41B9-82A8-C2698D16C912}"/>
    <cellStyle name="Millares 6 2 2 2 5" xfId="3732" xr:uid="{00000000-0005-0000-0000-000075040000}"/>
    <cellStyle name="Millares 6 2 2 2 5 2" xfId="5430" xr:uid="{72C47B8E-A6D4-4561-88B3-0ED78164415A}"/>
    <cellStyle name="Millares 6 2 2 2 5 3" xfId="7107" xr:uid="{DB92A252-6785-4D36-BD3F-9C839397C00F}"/>
    <cellStyle name="Millares 6 2 2 2 6" xfId="4130" xr:uid="{00000000-0005-0000-0000-000076040000}"/>
    <cellStyle name="Millares 6 2 2 2 6 2" xfId="5822" xr:uid="{0AF12833-8551-48F6-8380-73B6DEBBB782}"/>
    <cellStyle name="Millares 6 2 2 2 6 3" xfId="7499" xr:uid="{78D312B9-36AE-4C71-A942-B9D845791437}"/>
    <cellStyle name="Millares 6 2 2 2 7" xfId="4239" xr:uid="{7E0310B9-7190-4E26-B875-BE5080C580E6}"/>
    <cellStyle name="Millares 6 2 2 2 7 2" xfId="5920" xr:uid="{753A5B8F-C788-4360-9F16-9943109F02CB}"/>
    <cellStyle name="Millares 6 2 2 2 7 3" xfId="7597" xr:uid="{E46BF6DE-0547-4DBF-8242-83E5CE5F5766}"/>
    <cellStyle name="Millares 6 2 2 2 8" xfId="4653" xr:uid="{A2BCD06A-0521-44AE-8E20-A56DF198E99A}"/>
    <cellStyle name="Millares 6 2 2 2 9" xfId="6330" xr:uid="{F522120B-A440-4479-B16B-FDF412E935C7}"/>
    <cellStyle name="Millares 6 2 2 3" xfId="2983" xr:uid="{00000000-0005-0000-0000-000077040000}"/>
    <cellStyle name="Millares 6 2 2 3 2" xfId="3185" xr:uid="{00000000-0005-0000-0000-000078040000}"/>
    <cellStyle name="Millares 6 2 2 3 2 2" xfId="3578" xr:uid="{00000000-0005-0000-0000-000079040000}"/>
    <cellStyle name="Millares 6 2 2 3 2 2 2" xfId="5282" xr:uid="{846DECBC-7DBF-4FA8-95EA-25859C3AF2E5}"/>
    <cellStyle name="Millares 6 2 2 3 2 2 3" xfId="6959" xr:uid="{54CDEBB5-2A73-4521-9606-20957C730DD1}"/>
    <cellStyle name="Millares 6 2 2 3 2 3" xfId="3973" xr:uid="{00000000-0005-0000-0000-00007A040000}"/>
    <cellStyle name="Millares 6 2 2 3 2 3 2" xfId="5671" xr:uid="{BC18EAC9-E5AB-450F-B20B-853F1D689021}"/>
    <cellStyle name="Millares 6 2 2 3 2 3 3" xfId="7348" xr:uid="{B8E47149-CEE6-46E3-8715-5266201B68F3}"/>
    <cellStyle name="Millares 6 2 2 3 2 4" xfId="4480" xr:uid="{4E6DCDFF-767A-4515-93BB-2D6ED2A0CDC6}"/>
    <cellStyle name="Millares 6 2 2 3 2 4 2" xfId="6161" xr:uid="{E1AF1A0C-8FC8-45A5-B5A6-C60F13527A6F}"/>
    <cellStyle name="Millares 6 2 2 3 2 4 3" xfId="7838" xr:uid="{ADC39BDC-D1CC-4F42-A9D0-2D52E19B8147}"/>
    <cellStyle name="Millares 6 2 2 3 2 5" xfId="4894" xr:uid="{7F46A838-3038-448B-B083-CC5788E96E0E}"/>
    <cellStyle name="Millares 6 2 2 3 2 6" xfId="6571" xr:uid="{AF78A91B-EE95-40FB-82D1-C3B358378589}"/>
    <cellStyle name="Millares 6 2 2 3 3" xfId="3384" xr:uid="{00000000-0005-0000-0000-00007B040000}"/>
    <cellStyle name="Millares 6 2 2 3 3 2" xfId="5088" xr:uid="{F07D12BB-362F-4246-8745-8115AB2E2879}"/>
    <cellStyle name="Millares 6 2 2 3 3 3" xfId="6765" xr:uid="{FFD060EB-118F-4C15-83D7-F041E747D9A9}"/>
    <cellStyle name="Millares 6 2 2 3 4" xfId="3779" xr:uid="{00000000-0005-0000-0000-00007C040000}"/>
    <cellStyle name="Millares 6 2 2 3 4 2" xfId="5477" xr:uid="{EA3065D1-A274-41BE-9559-216F183B576D}"/>
    <cellStyle name="Millares 6 2 2 3 4 3" xfId="7154" xr:uid="{916BC4CD-EEEA-4072-BED2-5AF36BFDAE43}"/>
    <cellStyle name="Millares 6 2 2 3 5" xfId="4286" xr:uid="{5B5F4ACA-F706-4EF6-BF5C-ED8AF84CCC11}"/>
    <cellStyle name="Millares 6 2 2 3 5 2" xfId="5967" xr:uid="{0424B596-FA7A-4E60-9563-C862943DC7F8}"/>
    <cellStyle name="Millares 6 2 2 3 5 3" xfId="7644" xr:uid="{A3EBA3D1-714F-4E15-8A42-74F9B27A0F30}"/>
    <cellStyle name="Millares 6 2 2 3 6" xfId="4700" xr:uid="{BCA1EEA7-F746-4F5C-BF8F-4B6BDDED641A}"/>
    <cellStyle name="Millares 6 2 2 3 7" xfId="6377" xr:uid="{F40365D1-5F27-4952-BEAE-708670384B9C}"/>
    <cellStyle name="Millares 6 2 2 4" xfId="3089" xr:uid="{00000000-0005-0000-0000-00007D040000}"/>
    <cellStyle name="Millares 6 2 2 4 2" xfId="3482" xr:uid="{00000000-0005-0000-0000-00007E040000}"/>
    <cellStyle name="Millares 6 2 2 4 2 2" xfId="5186" xr:uid="{3660AB5B-7142-42ED-AF5B-A8B524769EA3}"/>
    <cellStyle name="Millares 6 2 2 4 2 3" xfId="6863" xr:uid="{FFEF1ABA-BF3B-41CD-A516-7F24B3B62D8D}"/>
    <cellStyle name="Millares 6 2 2 4 3" xfId="3877" xr:uid="{00000000-0005-0000-0000-00007F040000}"/>
    <cellStyle name="Millares 6 2 2 4 3 2" xfId="5575" xr:uid="{CAAB8754-1F51-4226-A852-0E86FA4D17A3}"/>
    <cellStyle name="Millares 6 2 2 4 3 3" xfId="7252" xr:uid="{22101E1B-9B7B-42C6-9D37-74A7DEC42817}"/>
    <cellStyle name="Millares 6 2 2 4 4" xfId="4384" xr:uid="{17F5D275-534F-4D5D-8DC0-7FB0AFD4A162}"/>
    <cellStyle name="Millares 6 2 2 4 4 2" xfId="6065" xr:uid="{B4AAEE67-0270-49CA-AA72-DB4B9288BBF1}"/>
    <cellStyle name="Millares 6 2 2 4 4 3" xfId="7742" xr:uid="{51B967F6-F092-4E1D-9627-43CDC9D4F439}"/>
    <cellStyle name="Millares 6 2 2 4 5" xfId="4798" xr:uid="{88C2B9C7-B4EC-4EF2-AD25-A43988FF902F}"/>
    <cellStyle name="Millares 6 2 2 4 6" xfId="6475" xr:uid="{85C885E6-894C-471F-8110-0F0A90FD6957}"/>
    <cellStyle name="Millares 6 2 2 5" xfId="3287" xr:uid="{00000000-0005-0000-0000-000080040000}"/>
    <cellStyle name="Millares 6 2 2 5 2" xfId="4992" xr:uid="{97792671-899D-44EB-B599-8B6CD3FB7ED9}"/>
    <cellStyle name="Millares 6 2 2 5 3" xfId="6669" xr:uid="{F3240F82-A8F3-494B-B763-619E9589BE4D}"/>
    <cellStyle name="Millares 6 2 2 6" xfId="3681" xr:uid="{00000000-0005-0000-0000-000081040000}"/>
    <cellStyle name="Millares 6 2 2 6 2" xfId="5380" xr:uid="{BC0DFFA3-B9AC-4F87-A252-BF9AFE993169}"/>
    <cellStyle name="Millares 6 2 2 6 3" xfId="7057" xr:uid="{C75280C9-850B-4F1C-A0C7-FB02DB49DDDE}"/>
    <cellStyle name="Millares 6 2 2 7" xfId="4079" xr:uid="{00000000-0005-0000-0000-000082040000}"/>
    <cellStyle name="Millares 6 2 2 7 2" xfId="5771" xr:uid="{2FA8CB1A-50BD-40FC-87D3-B51789EE8539}"/>
    <cellStyle name="Millares 6 2 2 7 3" xfId="7448" xr:uid="{8B61BF4B-3401-4A2E-AB2F-3740E4677304}"/>
    <cellStyle name="Millares 6 2 2 8" xfId="4184" xr:uid="{B4F42B73-87B4-4E5F-9174-DFEC5B8267BC}"/>
    <cellStyle name="Millares 6 2 2 8 2" xfId="5869" xr:uid="{2FA15734-06F3-41A5-9EF4-E988E2116E44}"/>
    <cellStyle name="Millares 6 2 2 8 3" xfId="7546" xr:uid="{519D63C0-E6DA-4EBC-8884-F837F42D3253}"/>
    <cellStyle name="Millares 6 2 2 9" xfId="4601" xr:uid="{351603EA-C5A2-429A-9AF1-A4FF4D167AE2}"/>
    <cellStyle name="Millares 6 2 3" xfId="2905" xr:uid="{00000000-0005-0000-0000-000083040000}"/>
    <cellStyle name="Millares 6 2 3 2" xfId="3037" xr:uid="{00000000-0005-0000-0000-000084040000}"/>
    <cellStyle name="Millares 6 2 3 2 2" xfId="3235" xr:uid="{00000000-0005-0000-0000-000085040000}"/>
    <cellStyle name="Millares 6 2 3 2 2 2" xfId="3628" xr:uid="{00000000-0005-0000-0000-000086040000}"/>
    <cellStyle name="Millares 6 2 3 2 2 2 2" xfId="5332" xr:uid="{842DE817-949C-485F-9297-A463D61681CE}"/>
    <cellStyle name="Millares 6 2 3 2 2 2 3" xfId="7009" xr:uid="{89C6C425-D4D9-4D45-A994-EB663A8F4D35}"/>
    <cellStyle name="Millares 6 2 3 2 2 3" xfId="4023" xr:uid="{00000000-0005-0000-0000-000087040000}"/>
    <cellStyle name="Millares 6 2 3 2 2 3 2" xfId="5721" xr:uid="{9A101E09-CAF1-4CD6-BAC0-3027DE24E53B}"/>
    <cellStyle name="Millares 6 2 3 2 2 3 3" xfId="7398" xr:uid="{AB6FFEE0-4305-4D22-A680-56BFC8E150C9}"/>
    <cellStyle name="Millares 6 2 3 2 2 4" xfId="4530" xr:uid="{D2FB6315-2003-417B-94DA-FDF8ED534507}"/>
    <cellStyle name="Millares 6 2 3 2 2 4 2" xfId="6211" xr:uid="{66D7A34F-BDDD-4761-A34E-57E13FCE2188}"/>
    <cellStyle name="Millares 6 2 3 2 2 4 3" xfId="7888" xr:uid="{4584565C-E922-4204-BDB7-7D4F1CB8413F}"/>
    <cellStyle name="Millares 6 2 3 2 2 5" xfId="4944" xr:uid="{2CD93B6E-CDC2-4477-B5F1-956E3A1DEA30}"/>
    <cellStyle name="Millares 6 2 3 2 2 6" xfId="6621" xr:uid="{C5254F57-BA53-46C1-B55C-9BCF7B2676BF}"/>
    <cellStyle name="Millares 6 2 3 2 3" xfId="3434" xr:uid="{00000000-0005-0000-0000-000088040000}"/>
    <cellStyle name="Millares 6 2 3 2 3 2" xfId="5138" xr:uid="{26BF47A6-6B61-4A79-8E25-D17E587B8AFD}"/>
    <cellStyle name="Millares 6 2 3 2 3 3" xfId="6815" xr:uid="{A3BF804C-AAFA-42A3-84B7-82B7FDA0A0C6}"/>
    <cellStyle name="Millares 6 2 3 2 4" xfId="3829" xr:uid="{00000000-0005-0000-0000-000089040000}"/>
    <cellStyle name="Millares 6 2 3 2 4 2" xfId="5527" xr:uid="{E6EA6500-85C7-4677-8D19-F2EAEE8715A6}"/>
    <cellStyle name="Millares 6 2 3 2 4 3" xfId="7204" xr:uid="{9B5B81B3-9750-4358-9A93-E2D6D339FDE5}"/>
    <cellStyle name="Millares 6 2 3 2 5" xfId="4336" xr:uid="{28C1630C-7DD6-4F71-925B-164B341763D3}"/>
    <cellStyle name="Millares 6 2 3 2 5 2" xfId="6017" xr:uid="{89C255AA-1B7E-44B5-9B57-70752005F8DC}"/>
    <cellStyle name="Millares 6 2 3 2 5 3" xfId="7694" xr:uid="{79564CCF-2D32-4D19-8BCB-82D591A9CE3A}"/>
    <cellStyle name="Millares 6 2 3 2 6" xfId="4750" xr:uid="{3230C1B9-C9A2-4BD3-A580-AD11AB43C986}"/>
    <cellStyle name="Millares 6 2 3 2 7" xfId="6427" xr:uid="{094CF54B-2E91-43F0-8DB2-C9BC9B4F555E}"/>
    <cellStyle name="Millares 6 2 3 3" xfId="3137" xr:uid="{00000000-0005-0000-0000-00008A040000}"/>
    <cellStyle name="Millares 6 2 3 3 2" xfId="3530" xr:uid="{00000000-0005-0000-0000-00008B040000}"/>
    <cellStyle name="Millares 6 2 3 3 2 2" xfId="5234" xr:uid="{A10D1592-685E-4B6D-B9DD-031915860EEB}"/>
    <cellStyle name="Millares 6 2 3 3 2 3" xfId="6911" xr:uid="{0C1EE324-CC46-4C60-B4EF-BDD3037B61A1}"/>
    <cellStyle name="Millares 6 2 3 3 3" xfId="3925" xr:uid="{00000000-0005-0000-0000-00008C040000}"/>
    <cellStyle name="Millares 6 2 3 3 3 2" xfId="5623" xr:uid="{980C4DC3-3089-4479-A102-A5935A9BE6D6}"/>
    <cellStyle name="Millares 6 2 3 3 3 3" xfId="7300" xr:uid="{0ECFD323-171C-4DCA-B300-20AA3191A5FA}"/>
    <cellStyle name="Millares 6 2 3 3 4" xfId="4432" xr:uid="{58882D6D-2DA4-4C8B-A217-1A8E1E3DE3D5}"/>
    <cellStyle name="Millares 6 2 3 3 4 2" xfId="6113" xr:uid="{CE450CBC-4476-40D8-BABC-039568BA91C6}"/>
    <cellStyle name="Millares 6 2 3 3 4 3" xfId="7790" xr:uid="{44BEA014-D0FC-4D40-99DB-AC46EA0269FD}"/>
    <cellStyle name="Millares 6 2 3 3 5" xfId="4846" xr:uid="{165277E3-7428-4F7D-9E76-6AEE229E1D4D}"/>
    <cellStyle name="Millares 6 2 3 3 6" xfId="6523" xr:uid="{02D08322-A53D-46C2-96BE-5ADC4BFF24F7}"/>
    <cellStyle name="Millares 6 2 3 4" xfId="3336" xr:uid="{00000000-0005-0000-0000-00008D040000}"/>
    <cellStyle name="Millares 6 2 3 4 2" xfId="5040" xr:uid="{AB3ADA83-2EE0-424B-93F8-6E334B8C721F}"/>
    <cellStyle name="Millares 6 2 3 4 3" xfId="6717" xr:uid="{C58C1717-D5E9-415C-A02E-A7181C6C2E06}"/>
    <cellStyle name="Millares 6 2 3 5" xfId="3731" xr:uid="{00000000-0005-0000-0000-00008E040000}"/>
    <cellStyle name="Millares 6 2 3 5 2" xfId="5429" xr:uid="{5AD6F15B-C986-4E68-9096-9FA6C1179353}"/>
    <cellStyle name="Millares 6 2 3 5 3" xfId="7106" xr:uid="{823A1537-AD44-43F1-BBF3-58B22BB5D4E6}"/>
    <cellStyle name="Millares 6 2 3 6" xfId="4129" xr:uid="{00000000-0005-0000-0000-00008F040000}"/>
    <cellStyle name="Millares 6 2 3 6 2" xfId="5821" xr:uid="{90F22E2B-48FA-4F89-9FD3-D1A2D7705D94}"/>
    <cellStyle name="Millares 6 2 3 6 3" xfId="7498" xr:uid="{E51C32F6-30DD-409B-B4A9-541ED0002573}"/>
    <cellStyle name="Millares 6 2 3 7" xfId="4238" xr:uid="{D4E02353-6EE7-4BF1-B490-5423D28950D9}"/>
    <cellStyle name="Millares 6 2 3 7 2" xfId="5919" xr:uid="{297F030A-73D6-47D7-8157-336C3B30C2A6}"/>
    <cellStyle name="Millares 6 2 3 7 3" xfId="7596" xr:uid="{F8CA5C35-3777-47B5-87D4-D541D871C1D8}"/>
    <cellStyle name="Millares 6 2 3 8" xfId="4652" xr:uid="{A4CF5DE4-68A2-4953-98E2-56FA55458F1E}"/>
    <cellStyle name="Millares 6 2 3 9" xfId="6329" xr:uid="{AB445DA5-6684-416F-A437-F4C25329BE51}"/>
    <cellStyle name="Millares 6 2 4" xfId="2982" xr:uid="{00000000-0005-0000-0000-000090040000}"/>
    <cellStyle name="Millares 6 2 4 2" xfId="3184" xr:uid="{00000000-0005-0000-0000-000091040000}"/>
    <cellStyle name="Millares 6 2 4 2 2" xfId="3577" xr:uid="{00000000-0005-0000-0000-000092040000}"/>
    <cellStyle name="Millares 6 2 4 2 2 2" xfId="5281" xr:uid="{CC63FB09-5A12-48F1-90C1-D311B7EE1846}"/>
    <cellStyle name="Millares 6 2 4 2 2 3" xfId="6958" xr:uid="{517D61F6-B1C6-415A-A1F9-013CF90C6E1F}"/>
    <cellStyle name="Millares 6 2 4 2 3" xfId="3972" xr:uid="{00000000-0005-0000-0000-000093040000}"/>
    <cellStyle name="Millares 6 2 4 2 3 2" xfId="5670" xr:uid="{0C7FE42F-1D3D-4493-A203-DAE32C8C0877}"/>
    <cellStyle name="Millares 6 2 4 2 3 3" xfId="7347" xr:uid="{BECE87A6-C216-4DCE-AC85-8E360469F645}"/>
    <cellStyle name="Millares 6 2 4 2 4" xfId="4479" xr:uid="{C9EED7DE-6B44-4E09-B2D6-722BC7832122}"/>
    <cellStyle name="Millares 6 2 4 2 4 2" xfId="6160" xr:uid="{99A0626B-732D-4FAA-88F9-65A5EE9FB14B}"/>
    <cellStyle name="Millares 6 2 4 2 4 3" xfId="7837" xr:uid="{4FA15D56-5F92-4967-B32E-DEA50F980B55}"/>
    <cellStyle name="Millares 6 2 4 2 5" xfId="4893" xr:uid="{0A37D5A8-5B15-4E08-B90E-00D5804B8179}"/>
    <cellStyle name="Millares 6 2 4 2 6" xfId="6570" xr:uid="{DB1689BB-A460-409A-B146-AD63F0E0BC46}"/>
    <cellStyle name="Millares 6 2 4 3" xfId="3383" xr:uid="{00000000-0005-0000-0000-000094040000}"/>
    <cellStyle name="Millares 6 2 4 3 2" xfId="5087" xr:uid="{F81D37F1-82DC-41D7-B884-29296598573C}"/>
    <cellStyle name="Millares 6 2 4 3 3" xfId="6764" xr:uid="{0285EB8E-3BFE-40B6-86D2-A23FF657CB1D}"/>
    <cellStyle name="Millares 6 2 4 4" xfId="3778" xr:uid="{00000000-0005-0000-0000-000095040000}"/>
    <cellStyle name="Millares 6 2 4 4 2" xfId="5476" xr:uid="{C5FBE64A-9589-42A4-A6B4-02AF276AB565}"/>
    <cellStyle name="Millares 6 2 4 4 3" xfId="7153" xr:uid="{F0BC19DB-3E35-45A2-B041-145B492E6094}"/>
    <cellStyle name="Millares 6 2 4 5" xfId="4285" xr:uid="{8EE3549D-54E2-4FEB-9A6D-1235E1A5B38D}"/>
    <cellStyle name="Millares 6 2 4 5 2" xfId="5966" xr:uid="{478C0C82-6AD1-4C17-9366-B2EFC327B360}"/>
    <cellStyle name="Millares 6 2 4 5 3" xfId="7643" xr:uid="{0F14C23A-072C-49F1-84FD-7B7570437CB8}"/>
    <cellStyle name="Millares 6 2 4 6" xfId="4699" xr:uid="{05581AFC-AB31-427C-A914-C991CED752A1}"/>
    <cellStyle name="Millares 6 2 4 7" xfId="6376" xr:uid="{93B24D6A-E4AE-4E56-98E3-12A4656BDEFE}"/>
    <cellStyle name="Millares 6 2 5" xfId="3088" xr:uid="{00000000-0005-0000-0000-000096040000}"/>
    <cellStyle name="Millares 6 2 5 2" xfId="3481" xr:uid="{00000000-0005-0000-0000-000097040000}"/>
    <cellStyle name="Millares 6 2 5 2 2" xfId="5185" xr:uid="{675FFFD5-4F4F-404C-9024-4C9C42E4B8DF}"/>
    <cellStyle name="Millares 6 2 5 2 3" xfId="6862" xr:uid="{8AAC1A61-2039-459B-8669-74AF207A3DC2}"/>
    <cellStyle name="Millares 6 2 5 3" xfId="3876" xr:uid="{00000000-0005-0000-0000-000098040000}"/>
    <cellStyle name="Millares 6 2 5 3 2" xfId="5574" xr:uid="{406A8606-9C4C-4D6E-860A-E2335D4ABC98}"/>
    <cellStyle name="Millares 6 2 5 3 3" xfId="7251" xr:uid="{D7D0CFFD-0EF1-4A90-8D8E-77BC197E31E0}"/>
    <cellStyle name="Millares 6 2 5 4" xfId="4383" xr:uid="{A9743EBF-BDBD-4D0A-B80A-CAC70E34F4B6}"/>
    <cellStyle name="Millares 6 2 5 4 2" xfId="6064" xr:uid="{56D7420A-A29F-4AD7-A6E5-10E6BDB60B54}"/>
    <cellStyle name="Millares 6 2 5 4 3" xfId="7741" xr:uid="{06EC8DC5-42B2-4B09-817C-73544C7D9B65}"/>
    <cellStyle name="Millares 6 2 5 5" xfId="4797" xr:uid="{F47FC601-F39B-4DE5-9FC8-ED94C8D038C3}"/>
    <cellStyle name="Millares 6 2 5 6" xfId="6474" xr:uid="{A0FA549F-3EE7-40DB-975A-B9747FCBC595}"/>
    <cellStyle name="Millares 6 2 6" xfId="3286" xr:uid="{00000000-0005-0000-0000-000099040000}"/>
    <cellStyle name="Millares 6 2 6 2" xfId="4991" xr:uid="{321709F0-9C21-40C2-93DC-7E018AF049B1}"/>
    <cellStyle name="Millares 6 2 6 3" xfId="6668" xr:uid="{C0C7E345-A5A9-4253-9687-BBA8315B49D2}"/>
    <cellStyle name="Millares 6 2 7" xfId="3680" xr:uid="{00000000-0005-0000-0000-00009A040000}"/>
    <cellStyle name="Millares 6 2 7 2" xfId="5379" xr:uid="{2E7A0A16-B254-4853-9B11-137FDCDB0E7C}"/>
    <cellStyle name="Millares 6 2 7 3" xfId="7056" xr:uid="{D1F95F67-3A93-46E4-961A-78B968DDF158}"/>
    <cellStyle name="Millares 6 2 8" xfId="4078" xr:uid="{00000000-0005-0000-0000-00009B040000}"/>
    <cellStyle name="Millares 6 2 8 2" xfId="5770" xr:uid="{A5D6EFA7-80B5-4F7B-BD61-46F488B92790}"/>
    <cellStyle name="Millares 6 2 8 3" xfId="7447" xr:uid="{5C87DE4D-701C-4BFD-9100-AFE5B6AD4EF6}"/>
    <cellStyle name="Millares 6 2 9" xfId="4183" xr:uid="{636A6B2A-B74C-4F80-A34D-2BFCB1FFA665}"/>
    <cellStyle name="Millares 6 2 9 2" xfId="5868" xr:uid="{04A0C2AD-C2E1-4700-AC7D-DCC561C82AA1}"/>
    <cellStyle name="Millares 6 2 9 3" xfId="7545" xr:uid="{CE3494E3-9622-4BD0-8F33-E3CC25DA2EF7}"/>
    <cellStyle name="Millares 6 3" xfId="237" xr:uid="{00000000-0005-0000-0000-00009C040000}"/>
    <cellStyle name="Millares 6 3 10" xfId="4602" xr:uid="{0F2B29D3-6573-4AED-B588-B7647255004F}"/>
    <cellStyle name="Millares 6 3 11" xfId="6279" xr:uid="{F4AAF21F-2790-4B9B-8C5C-D3D793FD8427}"/>
    <cellStyle name="Millares 6 3 2" xfId="238" xr:uid="{00000000-0005-0000-0000-00009D040000}"/>
    <cellStyle name="Millares 6 3 2 10" xfId="6280" xr:uid="{F46A571D-745D-493D-9FE9-94D997FE9910}"/>
    <cellStyle name="Millares 6 3 2 2" xfId="2908" xr:uid="{00000000-0005-0000-0000-00009E040000}"/>
    <cellStyle name="Millares 6 3 2 2 2" xfId="3040" xr:uid="{00000000-0005-0000-0000-00009F040000}"/>
    <cellStyle name="Millares 6 3 2 2 2 2" xfId="3238" xr:uid="{00000000-0005-0000-0000-0000A0040000}"/>
    <cellStyle name="Millares 6 3 2 2 2 2 2" xfId="3631" xr:uid="{00000000-0005-0000-0000-0000A1040000}"/>
    <cellStyle name="Millares 6 3 2 2 2 2 2 2" xfId="5335" xr:uid="{A0211946-367A-481A-9C85-6ACA4DB68D28}"/>
    <cellStyle name="Millares 6 3 2 2 2 2 2 3" xfId="7012" xr:uid="{8C65274A-BF3E-4343-9A8E-E866F6531A88}"/>
    <cellStyle name="Millares 6 3 2 2 2 2 3" xfId="4026" xr:uid="{00000000-0005-0000-0000-0000A2040000}"/>
    <cellStyle name="Millares 6 3 2 2 2 2 3 2" xfId="5724" xr:uid="{EEB648CE-73D4-4ADF-9069-6DD6F03EBBB8}"/>
    <cellStyle name="Millares 6 3 2 2 2 2 3 3" xfId="7401" xr:uid="{F3BBC5A8-15D5-40F8-A274-539369D7784A}"/>
    <cellStyle name="Millares 6 3 2 2 2 2 4" xfId="4533" xr:uid="{33C1DAB2-3268-4DD6-8E61-F043F6B67883}"/>
    <cellStyle name="Millares 6 3 2 2 2 2 4 2" xfId="6214" xr:uid="{C2692EC5-E7BA-47F1-B25B-78F0B15D6108}"/>
    <cellStyle name="Millares 6 3 2 2 2 2 4 3" xfId="7891" xr:uid="{519E9467-DACD-4F06-994E-1EB04D36C58F}"/>
    <cellStyle name="Millares 6 3 2 2 2 2 5" xfId="4947" xr:uid="{635D2DCC-B1E3-4B90-A079-FE575501B3D8}"/>
    <cellStyle name="Millares 6 3 2 2 2 2 6" xfId="6624" xr:uid="{42B714EE-9A74-425E-BA1D-1EDAC00EFE6B}"/>
    <cellStyle name="Millares 6 3 2 2 2 3" xfId="3437" xr:uid="{00000000-0005-0000-0000-0000A3040000}"/>
    <cellStyle name="Millares 6 3 2 2 2 3 2" xfId="5141" xr:uid="{474B3AA9-BCBC-4024-9434-F483A815CDFF}"/>
    <cellStyle name="Millares 6 3 2 2 2 3 3" xfId="6818" xr:uid="{C2CFE661-C980-4FB9-9A5F-D94576C3A06A}"/>
    <cellStyle name="Millares 6 3 2 2 2 4" xfId="3832" xr:uid="{00000000-0005-0000-0000-0000A4040000}"/>
    <cellStyle name="Millares 6 3 2 2 2 4 2" xfId="5530" xr:uid="{B18D60F5-AF02-4124-8F45-A894E761950A}"/>
    <cellStyle name="Millares 6 3 2 2 2 4 3" xfId="7207" xr:uid="{3078DB3D-F3D4-4F78-A846-5100B2AB3FE8}"/>
    <cellStyle name="Millares 6 3 2 2 2 5" xfId="4339" xr:uid="{FC676D9D-44B6-4F96-8E0A-841592F7D556}"/>
    <cellStyle name="Millares 6 3 2 2 2 5 2" xfId="6020" xr:uid="{7143085D-C81A-4EC8-93B3-34F855B59D74}"/>
    <cellStyle name="Millares 6 3 2 2 2 5 3" xfId="7697" xr:uid="{4BDA3D33-2EA4-40FD-8B79-E1D494CDCF9B}"/>
    <cellStyle name="Millares 6 3 2 2 2 6" xfId="4753" xr:uid="{A318653B-7CAD-4C42-99ED-462A1260C71D}"/>
    <cellStyle name="Millares 6 3 2 2 2 7" xfId="6430" xr:uid="{95C21D79-4856-4701-8C36-23E453E70637}"/>
    <cellStyle name="Millares 6 3 2 2 3" xfId="3140" xr:uid="{00000000-0005-0000-0000-0000A5040000}"/>
    <cellStyle name="Millares 6 3 2 2 3 2" xfId="3533" xr:uid="{00000000-0005-0000-0000-0000A6040000}"/>
    <cellStyle name="Millares 6 3 2 2 3 2 2" xfId="5237" xr:uid="{10553654-84CA-4B10-911E-51D1E7BD288F}"/>
    <cellStyle name="Millares 6 3 2 2 3 2 3" xfId="6914" xr:uid="{361F8966-C5BB-48C8-B713-05D711F9C08C}"/>
    <cellStyle name="Millares 6 3 2 2 3 3" xfId="3928" xr:uid="{00000000-0005-0000-0000-0000A7040000}"/>
    <cellStyle name="Millares 6 3 2 2 3 3 2" xfId="5626" xr:uid="{9D3D95FE-1A0A-4C9F-B702-E5E89F3FD047}"/>
    <cellStyle name="Millares 6 3 2 2 3 3 3" xfId="7303" xr:uid="{DCF81FEC-59D8-4BBD-8F01-85A1F9BAF876}"/>
    <cellStyle name="Millares 6 3 2 2 3 4" xfId="4435" xr:uid="{D37FF66E-E080-4D2C-8966-83701618DD8D}"/>
    <cellStyle name="Millares 6 3 2 2 3 4 2" xfId="6116" xr:uid="{A54442CE-04CC-4D00-B42A-C023344A9D4B}"/>
    <cellStyle name="Millares 6 3 2 2 3 4 3" xfId="7793" xr:uid="{0731A981-03F1-420B-9418-74AE36161638}"/>
    <cellStyle name="Millares 6 3 2 2 3 5" xfId="4849" xr:uid="{E07E8B10-4377-463A-970A-84CE19E96D15}"/>
    <cellStyle name="Millares 6 3 2 2 3 6" xfId="6526" xr:uid="{EFC0DB4E-29F9-4C11-B693-F4656EC9E79C}"/>
    <cellStyle name="Millares 6 3 2 2 4" xfId="3339" xr:uid="{00000000-0005-0000-0000-0000A8040000}"/>
    <cellStyle name="Millares 6 3 2 2 4 2" xfId="5043" xr:uid="{CFE7EA5D-7FF6-4105-9A06-DE6A227A801C}"/>
    <cellStyle name="Millares 6 3 2 2 4 3" xfId="6720" xr:uid="{42DC853E-F979-4CCF-BBAF-E91DE5B88911}"/>
    <cellStyle name="Millares 6 3 2 2 5" xfId="3734" xr:uid="{00000000-0005-0000-0000-0000A9040000}"/>
    <cellStyle name="Millares 6 3 2 2 5 2" xfId="5432" xr:uid="{1F9719BB-3412-4457-83D5-CF8B421CB6F2}"/>
    <cellStyle name="Millares 6 3 2 2 5 3" xfId="7109" xr:uid="{015212BF-13F5-4FF4-AB32-AA1BD5D7BD69}"/>
    <cellStyle name="Millares 6 3 2 2 6" xfId="4132" xr:uid="{00000000-0005-0000-0000-0000AA040000}"/>
    <cellStyle name="Millares 6 3 2 2 6 2" xfId="5824" xr:uid="{5E46CCFF-DC3C-4D0D-A4AF-F19BED0B009C}"/>
    <cellStyle name="Millares 6 3 2 2 6 3" xfId="7501" xr:uid="{57202A00-E838-497C-9A8D-3A167A50A97C}"/>
    <cellStyle name="Millares 6 3 2 2 7" xfId="4241" xr:uid="{972BB3C7-5F84-42A3-A2EC-13013D368B49}"/>
    <cellStyle name="Millares 6 3 2 2 7 2" xfId="5922" xr:uid="{DD564A04-AA15-4C99-8FEE-A1C5F842058F}"/>
    <cellStyle name="Millares 6 3 2 2 7 3" xfId="7599" xr:uid="{71A564D0-5A88-4C77-8451-4D71B1343E93}"/>
    <cellStyle name="Millares 6 3 2 2 8" xfId="4655" xr:uid="{4894045E-2231-4BF1-BB43-875188641A06}"/>
    <cellStyle name="Millares 6 3 2 2 9" xfId="6332" xr:uid="{1095F3DE-2C26-4DCA-A0CE-E3DABA1A6F0C}"/>
    <cellStyle name="Millares 6 3 2 3" xfId="2985" xr:uid="{00000000-0005-0000-0000-0000AB040000}"/>
    <cellStyle name="Millares 6 3 2 3 2" xfId="3187" xr:uid="{00000000-0005-0000-0000-0000AC040000}"/>
    <cellStyle name="Millares 6 3 2 3 2 2" xfId="3580" xr:uid="{00000000-0005-0000-0000-0000AD040000}"/>
    <cellStyle name="Millares 6 3 2 3 2 2 2" xfId="5284" xr:uid="{0B2DC583-1EF8-40C9-A642-35B5915A9626}"/>
    <cellStyle name="Millares 6 3 2 3 2 2 3" xfId="6961" xr:uid="{2E1B8DBA-EE62-4FFD-A5D8-9986E41E740E}"/>
    <cellStyle name="Millares 6 3 2 3 2 3" xfId="3975" xr:uid="{00000000-0005-0000-0000-0000AE040000}"/>
    <cellStyle name="Millares 6 3 2 3 2 3 2" xfId="5673" xr:uid="{50A056F4-BF3C-4969-8E76-FF912102B7AA}"/>
    <cellStyle name="Millares 6 3 2 3 2 3 3" xfId="7350" xr:uid="{9059BF6E-88C9-4ED8-B95B-89F13AB4C7D8}"/>
    <cellStyle name="Millares 6 3 2 3 2 4" xfId="4482" xr:uid="{B642C347-DCD1-4ADD-9405-4E24EC4C6AC8}"/>
    <cellStyle name="Millares 6 3 2 3 2 4 2" xfId="6163" xr:uid="{D302CEA1-423F-432F-8618-60F227013B0E}"/>
    <cellStyle name="Millares 6 3 2 3 2 4 3" xfId="7840" xr:uid="{04AEAE89-1163-484E-B6C6-C6831E4EBE2C}"/>
    <cellStyle name="Millares 6 3 2 3 2 5" xfId="4896" xr:uid="{21ED05FB-38BC-4234-A6DE-1063FB73DBC7}"/>
    <cellStyle name="Millares 6 3 2 3 2 6" xfId="6573" xr:uid="{1B23450D-5FA3-488C-91EE-D0913E47D4D0}"/>
    <cellStyle name="Millares 6 3 2 3 3" xfId="3386" xr:uid="{00000000-0005-0000-0000-0000AF040000}"/>
    <cellStyle name="Millares 6 3 2 3 3 2" xfId="5090" xr:uid="{48382AC1-71FF-4E91-8A86-90998E449133}"/>
    <cellStyle name="Millares 6 3 2 3 3 3" xfId="6767" xr:uid="{2B26308F-4DFF-4A74-A0CB-AA78DEDA3A76}"/>
    <cellStyle name="Millares 6 3 2 3 4" xfId="3781" xr:uid="{00000000-0005-0000-0000-0000B0040000}"/>
    <cellStyle name="Millares 6 3 2 3 4 2" xfId="5479" xr:uid="{E83AA604-EA8F-405C-811C-915B88CD1138}"/>
    <cellStyle name="Millares 6 3 2 3 4 3" xfId="7156" xr:uid="{36B8CDA6-CDB3-4C81-A4A2-5EE5FF492967}"/>
    <cellStyle name="Millares 6 3 2 3 5" xfId="4288" xr:uid="{415CAF94-1B43-4661-9744-7686D97E2B5B}"/>
    <cellStyle name="Millares 6 3 2 3 5 2" xfId="5969" xr:uid="{EFAA02FB-29D9-4A53-BF6B-B1538CC09A18}"/>
    <cellStyle name="Millares 6 3 2 3 5 3" xfId="7646" xr:uid="{E4977FB5-5685-4EE2-99A0-AD8564F74E86}"/>
    <cellStyle name="Millares 6 3 2 3 6" xfId="4702" xr:uid="{00D7FECD-6709-4DC0-A59A-D615485E8CA4}"/>
    <cellStyle name="Millares 6 3 2 3 7" xfId="6379" xr:uid="{8D9DF3EB-6853-4711-A5A7-602FCCE8DF8B}"/>
    <cellStyle name="Millares 6 3 2 4" xfId="3091" xr:uid="{00000000-0005-0000-0000-0000B1040000}"/>
    <cellStyle name="Millares 6 3 2 4 2" xfId="3484" xr:uid="{00000000-0005-0000-0000-0000B2040000}"/>
    <cellStyle name="Millares 6 3 2 4 2 2" xfId="5188" xr:uid="{A8521418-780F-4A7E-9C7A-C0BB7754ACB3}"/>
    <cellStyle name="Millares 6 3 2 4 2 3" xfId="6865" xr:uid="{244893B6-B255-47A8-AEF6-F7332663078A}"/>
    <cellStyle name="Millares 6 3 2 4 3" xfId="3879" xr:uid="{00000000-0005-0000-0000-0000B3040000}"/>
    <cellStyle name="Millares 6 3 2 4 3 2" xfId="5577" xr:uid="{79962F44-7049-40BC-8B5B-05B58D463EC4}"/>
    <cellStyle name="Millares 6 3 2 4 3 3" xfId="7254" xr:uid="{05FB3C4C-17A5-46A5-88FB-1E77599E7F48}"/>
    <cellStyle name="Millares 6 3 2 4 4" xfId="4386" xr:uid="{762B1035-717C-4FE8-A124-09DB52E546F3}"/>
    <cellStyle name="Millares 6 3 2 4 4 2" xfId="6067" xr:uid="{8AD228C9-81E5-4B63-B552-0C9A2D2DDA6E}"/>
    <cellStyle name="Millares 6 3 2 4 4 3" xfId="7744" xr:uid="{391B795A-0C07-4069-B469-B127F1D4ABBE}"/>
    <cellStyle name="Millares 6 3 2 4 5" xfId="4800" xr:uid="{6A83681B-FD46-4BD7-90D2-A1DC1E02A006}"/>
    <cellStyle name="Millares 6 3 2 4 6" xfId="6477" xr:uid="{1786E064-0975-4127-A956-037FFDFDADB6}"/>
    <cellStyle name="Millares 6 3 2 5" xfId="3289" xr:uid="{00000000-0005-0000-0000-0000B4040000}"/>
    <cellStyle name="Millares 6 3 2 5 2" xfId="4994" xr:uid="{994907B5-A4C2-4E32-B249-F12135652679}"/>
    <cellStyle name="Millares 6 3 2 5 3" xfId="6671" xr:uid="{0F2895A2-0066-4DDF-967D-4493973B9E67}"/>
    <cellStyle name="Millares 6 3 2 6" xfId="3683" xr:uid="{00000000-0005-0000-0000-0000B5040000}"/>
    <cellStyle name="Millares 6 3 2 6 2" xfId="5382" xr:uid="{CE324791-8087-4580-A1B5-C673105949B8}"/>
    <cellStyle name="Millares 6 3 2 6 3" xfId="7059" xr:uid="{9DB9E537-F434-4102-8026-4D7DA45827BD}"/>
    <cellStyle name="Millares 6 3 2 7" xfId="4081" xr:uid="{00000000-0005-0000-0000-0000B6040000}"/>
    <cellStyle name="Millares 6 3 2 7 2" xfId="5773" xr:uid="{031C7FBB-D275-4C4A-90F6-509F9857E484}"/>
    <cellStyle name="Millares 6 3 2 7 3" xfId="7450" xr:uid="{05FA49E6-E8FA-4E0A-9182-9C61255086B9}"/>
    <cellStyle name="Millares 6 3 2 8" xfId="4186" xr:uid="{477F29FD-62C5-48F6-AE6E-443CB1CECF4F}"/>
    <cellStyle name="Millares 6 3 2 8 2" xfId="5871" xr:uid="{81CDE1A7-A796-488B-8541-14D1444E7C53}"/>
    <cellStyle name="Millares 6 3 2 8 3" xfId="7548" xr:uid="{9D2B2DBF-4A77-4943-AF2E-A09AC0AFC01A}"/>
    <cellStyle name="Millares 6 3 2 9" xfId="4603" xr:uid="{AF949F25-731B-46B6-ABFF-6203BBB5B3ED}"/>
    <cellStyle name="Millares 6 3 3" xfId="2907" xr:uid="{00000000-0005-0000-0000-0000B7040000}"/>
    <cellStyle name="Millares 6 3 3 2" xfId="3039" xr:uid="{00000000-0005-0000-0000-0000B8040000}"/>
    <cellStyle name="Millares 6 3 3 2 2" xfId="3237" xr:uid="{00000000-0005-0000-0000-0000B9040000}"/>
    <cellStyle name="Millares 6 3 3 2 2 2" xfId="3630" xr:uid="{00000000-0005-0000-0000-0000BA040000}"/>
    <cellStyle name="Millares 6 3 3 2 2 2 2" xfId="5334" xr:uid="{B30885C3-2DCA-42B3-B165-F328B8B558C8}"/>
    <cellStyle name="Millares 6 3 3 2 2 2 3" xfId="7011" xr:uid="{5D5FE115-105A-4E44-BE65-D3344FF01E4E}"/>
    <cellStyle name="Millares 6 3 3 2 2 3" xfId="4025" xr:uid="{00000000-0005-0000-0000-0000BB040000}"/>
    <cellStyle name="Millares 6 3 3 2 2 3 2" xfId="5723" xr:uid="{4A8A6551-985E-4F6E-B139-4D64BE79D559}"/>
    <cellStyle name="Millares 6 3 3 2 2 3 3" xfId="7400" xr:uid="{1715D7FC-E9A2-4F60-8B72-91EEC142D411}"/>
    <cellStyle name="Millares 6 3 3 2 2 4" xfId="4532" xr:uid="{E5E09F24-0574-4355-B826-A3338E87AED5}"/>
    <cellStyle name="Millares 6 3 3 2 2 4 2" xfId="6213" xr:uid="{CF2DD3D3-E3DB-42AB-B69B-D8A00CF17A35}"/>
    <cellStyle name="Millares 6 3 3 2 2 4 3" xfId="7890" xr:uid="{56C0918A-05E5-47E1-9CDD-BA2C1E95E627}"/>
    <cellStyle name="Millares 6 3 3 2 2 5" xfId="4946" xr:uid="{5D96F646-117B-477D-B20B-57719857D4E0}"/>
    <cellStyle name="Millares 6 3 3 2 2 6" xfId="6623" xr:uid="{41577B17-D224-4F7E-B89A-BE9CBD17AF40}"/>
    <cellStyle name="Millares 6 3 3 2 3" xfId="3436" xr:uid="{00000000-0005-0000-0000-0000BC040000}"/>
    <cellStyle name="Millares 6 3 3 2 3 2" xfId="5140" xr:uid="{9D1F4223-8C9D-4502-95F1-66E5DCCA096F}"/>
    <cellStyle name="Millares 6 3 3 2 3 3" xfId="6817" xr:uid="{9310EAB5-5C68-4ABF-8020-9615E79019F6}"/>
    <cellStyle name="Millares 6 3 3 2 4" xfId="3831" xr:uid="{00000000-0005-0000-0000-0000BD040000}"/>
    <cellStyle name="Millares 6 3 3 2 4 2" xfId="5529" xr:uid="{300E58BC-29AE-4BED-8851-29E3D0BB79BB}"/>
    <cellStyle name="Millares 6 3 3 2 4 3" xfId="7206" xr:uid="{57AC9DA2-FCAB-44EE-81F3-E71CAFF36283}"/>
    <cellStyle name="Millares 6 3 3 2 5" xfId="4338" xr:uid="{FE417023-EE14-46F5-8A07-A5907EE522FF}"/>
    <cellStyle name="Millares 6 3 3 2 5 2" xfId="6019" xr:uid="{695E8C6A-FD0B-4C5A-AAC3-4B23DC9ED9B0}"/>
    <cellStyle name="Millares 6 3 3 2 5 3" xfId="7696" xr:uid="{F669F307-F034-4866-8CE1-1AF70B4B0163}"/>
    <cellStyle name="Millares 6 3 3 2 6" xfId="4752" xr:uid="{42F88805-4019-4154-8536-6C5EA0D13D09}"/>
    <cellStyle name="Millares 6 3 3 2 7" xfId="6429" xr:uid="{B2386DA4-00B2-4BB7-BF6C-9A06292419F5}"/>
    <cellStyle name="Millares 6 3 3 3" xfId="3139" xr:uid="{00000000-0005-0000-0000-0000BE040000}"/>
    <cellStyle name="Millares 6 3 3 3 2" xfId="3532" xr:uid="{00000000-0005-0000-0000-0000BF040000}"/>
    <cellStyle name="Millares 6 3 3 3 2 2" xfId="5236" xr:uid="{58AC42CA-AC6F-4DF0-A643-93B455464EA8}"/>
    <cellStyle name="Millares 6 3 3 3 2 3" xfId="6913" xr:uid="{96967D84-70EE-43C1-984C-12F351E79F6D}"/>
    <cellStyle name="Millares 6 3 3 3 3" xfId="3927" xr:uid="{00000000-0005-0000-0000-0000C0040000}"/>
    <cellStyle name="Millares 6 3 3 3 3 2" xfId="5625" xr:uid="{2F86DB9E-0316-4DA2-801A-698F5F5EBD02}"/>
    <cellStyle name="Millares 6 3 3 3 3 3" xfId="7302" xr:uid="{7D41D043-6F27-496F-85EE-9FF75AE13E49}"/>
    <cellStyle name="Millares 6 3 3 3 4" xfId="4434" xr:uid="{444AA3FD-94C0-4750-B479-9A72ECEA377F}"/>
    <cellStyle name="Millares 6 3 3 3 4 2" xfId="6115" xr:uid="{4E78B9D5-BCB1-4920-BCA6-4531E7AF4B81}"/>
    <cellStyle name="Millares 6 3 3 3 4 3" xfId="7792" xr:uid="{BC230920-1D3C-4D9D-B228-D5EDF091A78E}"/>
    <cellStyle name="Millares 6 3 3 3 5" xfId="4848" xr:uid="{3B16A3B8-58E4-4A1F-84B9-22F8CA00044B}"/>
    <cellStyle name="Millares 6 3 3 3 6" xfId="6525" xr:uid="{CB33AF6C-C8F5-4FDE-BDF6-BFEEC019C57C}"/>
    <cellStyle name="Millares 6 3 3 4" xfId="3338" xr:uid="{00000000-0005-0000-0000-0000C1040000}"/>
    <cellStyle name="Millares 6 3 3 4 2" xfId="5042" xr:uid="{58AF0B4E-8255-47EA-AE73-422E18A46BE9}"/>
    <cellStyle name="Millares 6 3 3 4 3" xfId="6719" xr:uid="{209D93D2-C738-4F85-BAAC-6013B5C7F65A}"/>
    <cellStyle name="Millares 6 3 3 5" xfId="3733" xr:uid="{00000000-0005-0000-0000-0000C2040000}"/>
    <cellStyle name="Millares 6 3 3 5 2" xfId="5431" xr:uid="{8694D2E1-B9F0-4B9D-88B4-6ECB64FBC422}"/>
    <cellStyle name="Millares 6 3 3 5 3" xfId="7108" xr:uid="{16537EF2-C8DF-4FE1-A852-45BBF5643D36}"/>
    <cellStyle name="Millares 6 3 3 6" xfId="4131" xr:uid="{00000000-0005-0000-0000-0000C3040000}"/>
    <cellStyle name="Millares 6 3 3 6 2" xfId="5823" xr:uid="{B1BB34C6-54FC-40AB-B4D1-EDF260E30AF6}"/>
    <cellStyle name="Millares 6 3 3 6 3" xfId="7500" xr:uid="{5CAA9044-62EE-49F7-804E-D88DF28EC2DE}"/>
    <cellStyle name="Millares 6 3 3 7" xfId="4240" xr:uid="{FA3B4B0D-A27D-4EA6-BBBB-32C186C29A57}"/>
    <cellStyle name="Millares 6 3 3 7 2" xfId="5921" xr:uid="{FB0A7E1F-7E8A-4B6D-97AD-CABA1853931C}"/>
    <cellStyle name="Millares 6 3 3 7 3" xfId="7598" xr:uid="{AF39D011-1606-497F-BAB2-1D1790B1C525}"/>
    <cellStyle name="Millares 6 3 3 8" xfId="4654" xr:uid="{64B58D3C-4BC7-42D7-940C-E0AD01CF28C3}"/>
    <cellStyle name="Millares 6 3 3 9" xfId="6331" xr:uid="{F85BE66B-DBA1-4641-9166-B95255ACC18D}"/>
    <cellStyle name="Millares 6 3 4" xfId="2984" xr:uid="{00000000-0005-0000-0000-0000C4040000}"/>
    <cellStyle name="Millares 6 3 4 2" xfId="3186" xr:uid="{00000000-0005-0000-0000-0000C5040000}"/>
    <cellStyle name="Millares 6 3 4 2 2" xfId="3579" xr:uid="{00000000-0005-0000-0000-0000C6040000}"/>
    <cellStyle name="Millares 6 3 4 2 2 2" xfId="5283" xr:uid="{280A4E39-8F94-4C50-8E49-2001F7FD08C7}"/>
    <cellStyle name="Millares 6 3 4 2 2 3" xfId="6960" xr:uid="{5B511790-2738-4A42-BF1F-1E5B621C0A81}"/>
    <cellStyle name="Millares 6 3 4 2 3" xfId="3974" xr:uid="{00000000-0005-0000-0000-0000C7040000}"/>
    <cellStyle name="Millares 6 3 4 2 3 2" xfId="5672" xr:uid="{3099E94B-8465-4E6D-87AC-FC44D4CCC6A8}"/>
    <cellStyle name="Millares 6 3 4 2 3 3" xfId="7349" xr:uid="{1267DB22-6B4B-4DD1-B5C0-B32068EB0B2A}"/>
    <cellStyle name="Millares 6 3 4 2 4" xfId="4481" xr:uid="{34010988-622B-4677-A6ED-947FEE20F501}"/>
    <cellStyle name="Millares 6 3 4 2 4 2" xfId="6162" xr:uid="{F9CEAC3A-0056-4D2E-884D-44EB2D6A4367}"/>
    <cellStyle name="Millares 6 3 4 2 4 3" xfId="7839" xr:uid="{93E8ECEF-C100-4DE4-B799-3E8D404F7167}"/>
    <cellStyle name="Millares 6 3 4 2 5" xfId="4895" xr:uid="{FF3FCB4A-BC69-4853-88C0-6BB1FED1EAFF}"/>
    <cellStyle name="Millares 6 3 4 2 6" xfId="6572" xr:uid="{EA02B206-EE0B-463D-9684-7BA8BEB76EA4}"/>
    <cellStyle name="Millares 6 3 4 3" xfId="3385" xr:uid="{00000000-0005-0000-0000-0000C8040000}"/>
    <cellStyle name="Millares 6 3 4 3 2" xfId="5089" xr:uid="{618E8939-F4D2-40C0-9BFB-EF3B555884BE}"/>
    <cellStyle name="Millares 6 3 4 3 3" xfId="6766" xr:uid="{E8874D2C-E91D-4CC0-B351-C31E603D4ABB}"/>
    <cellStyle name="Millares 6 3 4 4" xfId="3780" xr:uid="{00000000-0005-0000-0000-0000C9040000}"/>
    <cellStyle name="Millares 6 3 4 4 2" xfId="5478" xr:uid="{03F6F082-934E-47BF-B1A2-3A2D5EA0A431}"/>
    <cellStyle name="Millares 6 3 4 4 3" xfId="7155" xr:uid="{0616D5F0-EAF7-438F-8E9A-89201603BE4D}"/>
    <cellStyle name="Millares 6 3 4 5" xfId="4287" xr:uid="{06C06337-C3B5-456A-9ED8-8DC8BA4CD251}"/>
    <cellStyle name="Millares 6 3 4 5 2" xfId="5968" xr:uid="{BD31582A-30FD-4586-BE7F-8A6EEF3CC81D}"/>
    <cellStyle name="Millares 6 3 4 5 3" xfId="7645" xr:uid="{4398C805-02A6-44D4-870A-3DEFF21FBA26}"/>
    <cellStyle name="Millares 6 3 4 6" xfId="4701" xr:uid="{107EA992-D687-4A89-9D18-2E60862DD5D6}"/>
    <cellStyle name="Millares 6 3 4 7" xfId="6378" xr:uid="{1B90EF45-3F0F-4716-A6B5-A290800005FD}"/>
    <cellStyle name="Millares 6 3 5" xfId="3090" xr:uid="{00000000-0005-0000-0000-0000CA040000}"/>
    <cellStyle name="Millares 6 3 5 2" xfId="3483" xr:uid="{00000000-0005-0000-0000-0000CB040000}"/>
    <cellStyle name="Millares 6 3 5 2 2" xfId="5187" xr:uid="{4C935BAD-DC89-45FC-913C-514E121F6BA2}"/>
    <cellStyle name="Millares 6 3 5 2 3" xfId="6864" xr:uid="{50785FD2-3C3E-417F-87D1-E4A9A86F1E8B}"/>
    <cellStyle name="Millares 6 3 5 3" xfId="3878" xr:uid="{00000000-0005-0000-0000-0000CC040000}"/>
    <cellStyle name="Millares 6 3 5 3 2" xfId="5576" xr:uid="{C4E1F460-1A00-4B92-9E19-C5A2B866A2CA}"/>
    <cellStyle name="Millares 6 3 5 3 3" xfId="7253" xr:uid="{951F1020-E052-453D-9D2F-F4A91835615F}"/>
    <cellStyle name="Millares 6 3 5 4" xfId="4385" xr:uid="{545CB40B-3452-4C74-AD91-38A1C345F3F1}"/>
    <cellStyle name="Millares 6 3 5 4 2" xfId="6066" xr:uid="{9E1D5D65-87C9-476B-A203-3861FD2FD680}"/>
    <cellStyle name="Millares 6 3 5 4 3" xfId="7743" xr:uid="{5DD19853-D61E-4EB7-A5E9-42AE153984BC}"/>
    <cellStyle name="Millares 6 3 5 5" xfId="4799" xr:uid="{0333A94A-C1A6-4900-A3F7-0A08A13C8B60}"/>
    <cellStyle name="Millares 6 3 5 6" xfId="6476" xr:uid="{3B42C7B9-456C-4789-A5AA-583A35CDEB8B}"/>
    <cellStyle name="Millares 6 3 6" xfId="3288" xr:uid="{00000000-0005-0000-0000-0000CD040000}"/>
    <cellStyle name="Millares 6 3 6 2" xfId="4993" xr:uid="{DB3E0249-41D7-4DE5-AEA8-24120934B139}"/>
    <cellStyle name="Millares 6 3 6 3" xfId="6670" xr:uid="{94B50B61-75F7-4828-B862-F9A2B5CA7443}"/>
    <cellStyle name="Millares 6 3 7" xfId="3682" xr:uid="{00000000-0005-0000-0000-0000CE040000}"/>
    <cellStyle name="Millares 6 3 7 2" xfId="5381" xr:uid="{63934295-6EC3-4C24-9F99-A92EEFEE17BD}"/>
    <cellStyle name="Millares 6 3 7 3" xfId="7058" xr:uid="{1554AC99-3A60-4C7D-B661-9E4EDB329688}"/>
    <cellStyle name="Millares 6 3 8" xfId="4080" xr:uid="{00000000-0005-0000-0000-0000CF040000}"/>
    <cellStyle name="Millares 6 3 8 2" xfId="5772" xr:uid="{74E08497-3C03-40B7-8109-C262FF3BAFEF}"/>
    <cellStyle name="Millares 6 3 8 3" xfId="7449" xr:uid="{686C1712-AAD4-4729-BE5F-9010075C2AC4}"/>
    <cellStyle name="Millares 6 3 9" xfId="4185" xr:uid="{7CDCBC82-DB6F-406B-B721-0A6F4CD3314B}"/>
    <cellStyle name="Millares 6 3 9 2" xfId="5870" xr:uid="{D57C534E-77A4-4A8C-B0F5-B489E506040E}"/>
    <cellStyle name="Millares 6 3 9 3" xfId="7547" xr:uid="{3E838E4A-8599-4974-83CF-FF35E8EAD396}"/>
    <cellStyle name="Millares 6 4" xfId="239" xr:uid="{00000000-0005-0000-0000-0000D0040000}"/>
    <cellStyle name="Millares 6 5" xfId="2904" xr:uid="{00000000-0005-0000-0000-0000D1040000}"/>
    <cellStyle name="Millares 6 5 2" xfId="3036" xr:uid="{00000000-0005-0000-0000-0000D2040000}"/>
    <cellStyle name="Millares 6 5 2 2" xfId="3234" xr:uid="{00000000-0005-0000-0000-0000D3040000}"/>
    <cellStyle name="Millares 6 5 2 2 2" xfId="3627" xr:uid="{00000000-0005-0000-0000-0000D4040000}"/>
    <cellStyle name="Millares 6 5 2 2 2 2" xfId="5331" xr:uid="{FCF9B746-954C-4F96-AE49-9CA27E7CF961}"/>
    <cellStyle name="Millares 6 5 2 2 2 3" xfId="7008" xr:uid="{72682079-C886-4EEE-B3C4-933E81F47FF1}"/>
    <cellStyle name="Millares 6 5 2 2 3" xfId="4022" xr:uid="{00000000-0005-0000-0000-0000D5040000}"/>
    <cellStyle name="Millares 6 5 2 2 3 2" xfId="5720" xr:uid="{530F26E5-74FB-4273-B3D6-F5CF79E941EA}"/>
    <cellStyle name="Millares 6 5 2 2 3 3" xfId="7397" xr:uid="{6EFCB0EC-0A9B-4D30-963F-EB750AAAF13B}"/>
    <cellStyle name="Millares 6 5 2 2 4" xfId="4529" xr:uid="{ACB7EC49-E940-4186-A5F0-51D6984E39BB}"/>
    <cellStyle name="Millares 6 5 2 2 4 2" xfId="6210" xr:uid="{C2EBD93C-BF93-4E72-AC25-20A6C6C8E082}"/>
    <cellStyle name="Millares 6 5 2 2 4 3" xfId="7887" xr:uid="{CCEBDAC0-60A6-4245-9ADF-1B010755B8B7}"/>
    <cellStyle name="Millares 6 5 2 2 5" xfId="4943" xr:uid="{6F2EC6D4-FF3C-4297-9F7F-E73763AB792D}"/>
    <cellStyle name="Millares 6 5 2 2 6" xfId="6620" xr:uid="{E04EDB6D-5158-4593-890C-6F2965504EFC}"/>
    <cellStyle name="Millares 6 5 2 3" xfId="3433" xr:uid="{00000000-0005-0000-0000-0000D6040000}"/>
    <cellStyle name="Millares 6 5 2 3 2" xfId="5137" xr:uid="{FDD54E69-B895-4ABF-94E8-ED59DF465D0A}"/>
    <cellStyle name="Millares 6 5 2 3 3" xfId="6814" xr:uid="{F4D22480-984C-4346-BF4D-F843C735F795}"/>
    <cellStyle name="Millares 6 5 2 4" xfId="3828" xr:uid="{00000000-0005-0000-0000-0000D7040000}"/>
    <cellStyle name="Millares 6 5 2 4 2" xfId="5526" xr:uid="{55E8F1C4-ED70-45B9-B4C7-A8F1EDC0EAC6}"/>
    <cellStyle name="Millares 6 5 2 4 3" xfId="7203" xr:uid="{5890F07F-3DC0-416A-9786-F8745A4670B8}"/>
    <cellStyle name="Millares 6 5 2 5" xfId="4335" xr:uid="{50C436E4-35D7-4E23-B798-ECD526A070DD}"/>
    <cellStyle name="Millares 6 5 2 5 2" xfId="6016" xr:uid="{EB2E68E5-D965-42F9-9FB9-7FAA597C4EA4}"/>
    <cellStyle name="Millares 6 5 2 5 3" xfId="7693" xr:uid="{4D545E3F-387C-4324-9362-307FAEFA3CE5}"/>
    <cellStyle name="Millares 6 5 2 6" xfId="4749" xr:uid="{4D110A5B-E282-4503-8306-0BFC14679AD9}"/>
    <cellStyle name="Millares 6 5 2 7" xfId="6426" xr:uid="{BFDFD275-CE08-49FC-873E-2B001EE03D68}"/>
    <cellStyle name="Millares 6 5 3" xfId="3136" xr:uid="{00000000-0005-0000-0000-0000D8040000}"/>
    <cellStyle name="Millares 6 5 3 2" xfId="3529" xr:uid="{00000000-0005-0000-0000-0000D9040000}"/>
    <cellStyle name="Millares 6 5 3 2 2" xfId="5233" xr:uid="{A5ACB554-E6EB-4D1F-940C-00C61ACAA48B}"/>
    <cellStyle name="Millares 6 5 3 2 3" xfId="6910" xr:uid="{925C86B5-042E-4927-A01B-9207D00364E4}"/>
    <cellStyle name="Millares 6 5 3 3" xfId="3924" xr:uid="{00000000-0005-0000-0000-0000DA040000}"/>
    <cellStyle name="Millares 6 5 3 3 2" xfId="5622" xr:uid="{A7CC7F7F-A3E7-4EC6-8E25-624223B703F6}"/>
    <cellStyle name="Millares 6 5 3 3 3" xfId="7299" xr:uid="{EF69E611-4EAA-4DAA-B4C6-C68C5B8DACC7}"/>
    <cellStyle name="Millares 6 5 3 4" xfId="4431" xr:uid="{F677118B-ABFE-4551-B58C-6B0AFDFE802F}"/>
    <cellStyle name="Millares 6 5 3 4 2" xfId="6112" xr:uid="{964DB48F-E8C4-4175-8640-58413EDB1B95}"/>
    <cellStyle name="Millares 6 5 3 4 3" xfId="7789" xr:uid="{8852DB5B-3723-4BFD-A345-08DA06700AFD}"/>
    <cellStyle name="Millares 6 5 3 5" xfId="4845" xr:uid="{082E12E5-D4AB-4A7A-B8A4-03DC2064C045}"/>
    <cellStyle name="Millares 6 5 3 6" xfId="6522" xr:uid="{6B56BE7E-E554-4C16-80BC-BC2505506AC7}"/>
    <cellStyle name="Millares 6 5 4" xfId="3335" xr:uid="{00000000-0005-0000-0000-0000DB040000}"/>
    <cellStyle name="Millares 6 5 4 2" xfId="5039" xr:uid="{1CE488F7-B447-4024-A2E5-C5DCDDA49FA8}"/>
    <cellStyle name="Millares 6 5 4 3" xfId="6716" xr:uid="{D7FB7BDB-7E99-4C24-BCB6-272FF2BCD527}"/>
    <cellStyle name="Millares 6 5 5" xfId="3730" xr:uid="{00000000-0005-0000-0000-0000DC040000}"/>
    <cellStyle name="Millares 6 5 5 2" xfId="5428" xr:uid="{FF92FE51-F528-4384-8814-1E4DAFB324D4}"/>
    <cellStyle name="Millares 6 5 5 3" xfId="7105" xr:uid="{F49F15C9-71D4-4396-8F54-3AABC55B6ADE}"/>
    <cellStyle name="Millares 6 5 6" xfId="4128" xr:uid="{00000000-0005-0000-0000-0000DD040000}"/>
    <cellStyle name="Millares 6 5 6 2" xfId="5820" xr:uid="{14F9F287-CD0B-4BB5-AD3D-9BE78097ECBA}"/>
    <cellStyle name="Millares 6 5 6 3" xfId="7497" xr:uid="{48A8E61B-04AF-4FD6-B8C6-F6BA62F5E0E0}"/>
    <cellStyle name="Millares 6 5 7" xfId="4237" xr:uid="{476E37A9-C257-48F5-B99D-AA2C71AE2B6A}"/>
    <cellStyle name="Millares 6 5 7 2" xfId="5918" xr:uid="{8391A728-12E2-407F-9BCF-4AE70EBFC5E5}"/>
    <cellStyle name="Millares 6 5 7 3" xfId="7595" xr:uid="{D2F1D44D-7282-4904-ADCB-4F2B25ABE7A1}"/>
    <cellStyle name="Millares 6 5 8" xfId="4651" xr:uid="{72AAE8D9-6F61-48FE-A9C9-CA91AD1163FF}"/>
    <cellStyle name="Millares 6 5 9" xfId="6328" xr:uid="{BC71BC16-168C-4759-831A-DD313217F9E5}"/>
    <cellStyle name="Millares 6 6" xfId="2981" xr:uid="{00000000-0005-0000-0000-0000DE040000}"/>
    <cellStyle name="Millares 6 6 2" xfId="3183" xr:uid="{00000000-0005-0000-0000-0000DF040000}"/>
    <cellStyle name="Millares 6 6 2 2" xfId="3576" xr:uid="{00000000-0005-0000-0000-0000E0040000}"/>
    <cellStyle name="Millares 6 6 2 2 2" xfId="5280" xr:uid="{2E4B1837-C07F-41B9-A503-C17219A400E1}"/>
    <cellStyle name="Millares 6 6 2 2 3" xfId="6957" xr:uid="{63159DF9-5898-4876-B05B-1644F20FA008}"/>
    <cellStyle name="Millares 6 6 2 3" xfId="3971" xr:uid="{00000000-0005-0000-0000-0000E1040000}"/>
    <cellStyle name="Millares 6 6 2 3 2" xfId="5669" xr:uid="{04998562-0185-4045-A609-A6173739F504}"/>
    <cellStyle name="Millares 6 6 2 3 3" xfId="7346" xr:uid="{4EC43AE7-5D63-4EFF-A0FF-978D61EE8090}"/>
    <cellStyle name="Millares 6 6 2 4" xfId="4478" xr:uid="{78B643E4-5633-432C-BFC2-A5FBD7BFB17B}"/>
    <cellStyle name="Millares 6 6 2 4 2" xfId="6159" xr:uid="{C2B00140-3D2A-4B62-9004-1A275772D026}"/>
    <cellStyle name="Millares 6 6 2 4 3" xfId="7836" xr:uid="{053E1CEC-AD0C-4B0A-8DBA-1D93686FFA0F}"/>
    <cellStyle name="Millares 6 6 2 5" xfId="4892" xr:uid="{E3480153-CBFC-4B7E-A496-D0DE4B8E1B2F}"/>
    <cellStyle name="Millares 6 6 2 6" xfId="6569" xr:uid="{444143C7-BC3E-4052-BE8B-3017321A9BDD}"/>
    <cellStyle name="Millares 6 6 3" xfId="3382" xr:uid="{00000000-0005-0000-0000-0000E2040000}"/>
    <cellStyle name="Millares 6 6 3 2" xfId="5086" xr:uid="{19C25638-C9B2-4513-AFB1-B5BCD6DE0545}"/>
    <cellStyle name="Millares 6 6 3 3" xfId="6763" xr:uid="{405864A3-EF8D-4FA2-982D-44540F537CDB}"/>
    <cellStyle name="Millares 6 6 4" xfId="3777" xr:uid="{00000000-0005-0000-0000-0000E3040000}"/>
    <cellStyle name="Millares 6 6 4 2" xfId="5475" xr:uid="{43BD2651-F7C5-4FDF-83E7-5EB123378706}"/>
    <cellStyle name="Millares 6 6 4 3" xfId="7152" xr:uid="{97DA76AB-54BD-41DD-86AE-BF17C8179A8F}"/>
    <cellStyle name="Millares 6 6 5" xfId="4284" xr:uid="{730B0491-33AB-454B-AC67-1644F7A9FA3D}"/>
    <cellStyle name="Millares 6 6 5 2" xfId="5965" xr:uid="{58A8B7BE-057B-4750-AE0D-30A7A4D05578}"/>
    <cellStyle name="Millares 6 6 5 3" xfId="7642" xr:uid="{83A0FB80-2B28-4156-B5A0-D124F9B43FA2}"/>
    <cellStyle name="Millares 6 6 6" xfId="4698" xr:uid="{8632ECDA-D768-4FD6-9DB2-F43F9B55C1C3}"/>
    <cellStyle name="Millares 6 6 7" xfId="6375" xr:uid="{E686F9B3-5AD4-4BF1-943C-E244521FFC9F}"/>
    <cellStyle name="Millares 6 7" xfId="3087" xr:uid="{00000000-0005-0000-0000-0000E4040000}"/>
    <cellStyle name="Millares 6 7 2" xfId="3480" xr:uid="{00000000-0005-0000-0000-0000E5040000}"/>
    <cellStyle name="Millares 6 7 2 2" xfId="5184" xr:uid="{00775A14-AA20-40BB-AF07-E45C76C2F065}"/>
    <cellStyle name="Millares 6 7 2 3" xfId="6861" xr:uid="{F34DA9C2-8C5A-4714-8ED1-88E8E27D346D}"/>
    <cellStyle name="Millares 6 7 3" xfId="3875" xr:uid="{00000000-0005-0000-0000-0000E6040000}"/>
    <cellStyle name="Millares 6 7 3 2" xfId="5573" xr:uid="{B1F4666A-9D77-45DC-BC6B-2E0901ABA01C}"/>
    <cellStyle name="Millares 6 7 3 3" xfId="7250" xr:uid="{E646ECF0-B7BC-46F2-882B-A02F75A73B61}"/>
    <cellStyle name="Millares 6 7 4" xfId="4382" xr:uid="{0438A979-AD44-491C-8EBF-95184EB4A1C2}"/>
    <cellStyle name="Millares 6 7 4 2" xfId="6063" xr:uid="{56334CDA-0520-44D2-8A60-ADBFD9783112}"/>
    <cellStyle name="Millares 6 7 4 3" xfId="7740" xr:uid="{CF0FDD4D-BA5F-4762-9DD2-7FE4B9BFCD49}"/>
    <cellStyle name="Millares 6 7 5" xfId="4796" xr:uid="{607D4A59-A0B0-4F90-AED2-493D2FECC48F}"/>
    <cellStyle name="Millares 6 7 6" xfId="6473" xr:uid="{27977228-D92F-4CBB-A68D-C9BFC856A6F0}"/>
    <cellStyle name="Millares 6 8" xfId="3285" xr:uid="{00000000-0005-0000-0000-0000E7040000}"/>
    <cellStyle name="Millares 6 8 2" xfId="4990" xr:uid="{19F24740-E845-4030-ADF1-03F5231EDC22}"/>
    <cellStyle name="Millares 6 8 3" xfId="6667" xr:uid="{E4F6168C-1728-4DC7-BAA8-5A7AB0E9CE6A}"/>
    <cellStyle name="Millares 6 9" xfId="3679" xr:uid="{00000000-0005-0000-0000-0000E8040000}"/>
    <cellStyle name="Millares 6 9 2" xfId="5378" xr:uid="{D97BC6A0-EEBE-4C68-A192-0385DD0B1170}"/>
    <cellStyle name="Millares 6 9 3" xfId="7055" xr:uid="{EF53EC09-96D8-45F2-9C72-07AC1C0032EE}"/>
    <cellStyle name="Millares 7" xfId="240" xr:uid="{00000000-0005-0000-0000-0000E9040000}"/>
    <cellStyle name="Millares 7 10" xfId="4604" xr:uid="{C731E1B1-7A63-4942-AB01-AF7DBD9838AA}"/>
    <cellStyle name="Millares 7 11" xfId="6281" xr:uid="{53FC8010-F51E-4556-94D0-BABBCB820FB9}"/>
    <cellStyle name="Millares 7 2" xfId="241" xr:uid="{00000000-0005-0000-0000-0000EA040000}"/>
    <cellStyle name="Millares 7 2 10" xfId="6282" xr:uid="{4BDFADF8-B76F-4DD5-8777-E44F7913BDE2}"/>
    <cellStyle name="Millares 7 2 2" xfId="2910" xr:uid="{00000000-0005-0000-0000-0000EB040000}"/>
    <cellStyle name="Millares 7 2 2 2" xfId="3042" xr:uid="{00000000-0005-0000-0000-0000EC040000}"/>
    <cellStyle name="Millares 7 2 2 2 2" xfId="3240" xr:uid="{00000000-0005-0000-0000-0000ED040000}"/>
    <cellStyle name="Millares 7 2 2 2 2 2" xfId="3633" xr:uid="{00000000-0005-0000-0000-0000EE040000}"/>
    <cellStyle name="Millares 7 2 2 2 2 2 2" xfId="5337" xr:uid="{A17ECB21-BA6A-41DE-A2CB-34ECFC139797}"/>
    <cellStyle name="Millares 7 2 2 2 2 2 3" xfId="7014" xr:uid="{F43293F1-4979-4719-BB01-5B826AEA47FF}"/>
    <cellStyle name="Millares 7 2 2 2 2 3" xfId="4028" xr:uid="{00000000-0005-0000-0000-0000EF040000}"/>
    <cellStyle name="Millares 7 2 2 2 2 3 2" xfId="5726" xr:uid="{D2D2C726-D70A-4958-8EEA-9B8FA8D54780}"/>
    <cellStyle name="Millares 7 2 2 2 2 3 3" xfId="7403" xr:uid="{EDE7734E-6B49-43BF-BAFB-CACAC3CCA9D2}"/>
    <cellStyle name="Millares 7 2 2 2 2 4" xfId="4535" xr:uid="{8EB9B19C-F84D-4D14-85D3-DB656463894A}"/>
    <cellStyle name="Millares 7 2 2 2 2 4 2" xfId="6216" xr:uid="{58A9A5D5-525B-419A-A2AE-D549ECDD210B}"/>
    <cellStyle name="Millares 7 2 2 2 2 4 3" xfId="7893" xr:uid="{88345F40-3CF8-47E7-825A-5FC1B9CB807A}"/>
    <cellStyle name="Millares 7 2 2 2 2 5" xfId="4949" xr:uid="{FC316763-A3DE-4F77-AF5E-FCEC0D237F48}"/>
    <cellStyle name="Millares 7 2 2 2 2 6" xfId="6626" xr:uid="{6566F64E-4163-4F03-A7CF-1C96DC0471DD}"/>
    <cellStyle name="Millares 7 2 2 2 3" xfId="3439" xr:uid="{00000000-0005-0000-0000-0000F0040000}"/>
    <cellStyle name="Millares 7 2 2 2 3 2" xfId="5143" xr:uid="{3A8AC8AC-B3EE-42D2-8EE7-D4B0334AD724}"/>
    <cellStyle name="Millares 7 2 2 2 3 3" xfId="6820" xr:uid="{41073CDD-FBA5-461B-B93B-7FAFD6BCEDEA}"/>
    <cellStyle name="Millares 7 2 2 2 4" xfId="3834" xr:uid="{00000000-0005-0000-0000-0000F1040000}"/>
    <cellStyle name="Millares 7 2 2 2 4 2" xfId="5532" xr:uid="{CBD99662-732F-4973-B898-0E4162C402EE}"/>
    <cellStyle name="Millares 7 2 2 2 4 3" xfId="7209" xr:uid="{9F0B9892-A2FF-4050-B5FF-520548C9C498}"/>
    <cellStyle name="Millares 7 2 2 2 5" xfId="4341" xr:uid="{1311C1B0-0BCC-454C-89AC-E413BA259B88}"/>
    <cellStyle name="Millares 7 2 2 2 5 2" xfId="6022" xr:uid="{31846FAD-8D2F-4D81-8CF4-14AF2A1513B2}"/>
    <cellStyle name="Millares 7 2 2 2 5 3" xfId="7699" xr:uid="{624BEA77-247D-400E-96ED-080EF047E0C9}"/>
    <cellStyle name="Millares 7 2 2 2 6" xfId="4755" xr:uid="{18C7F0EC-FDFF-4427-812A-71FBE1BEF5DB}"/>
    <cellStyle name="Millares 7 2 2 2 7" xfId="6432" xr:uid="{D3F8177C-AA06-4DC0-B83C-A8BBF7E3C76C}"/>
    <cellStyle name="Millares 7 2 2 3" xfId="3142" xr:uid="{00000000-0005-0000-0000-0000F2040000}"/>
    <cellStyle name="Millares 7 2 2 3 2" xfId="3535" xr:uid="{00000000-0005-0000-0000-0000F3040000}"/>
    <cellStyle name="Millares 7 2 2 3 2 2" xfId="5239" xr:uid="{BC9B68E3-8E50-48D7-9DF3-9100172D3D70}"/>
    <cellStyle name="Millares 7 2 2 3 2 3" xfId="6916" xr:uid="{C745AB3C-7298-41C9-883E-B9A881A21D75}"/>
    <cellStyle name="Millares 7 2 2 3 3" xfId="3930" xr:uid="{00000000-0005-0000-0000-0000F4040000}"/>
    <cellStyle name="Millares 7 2 2 3 3 2" xfId="5628" xr:uid="{F0772E7B-5807-4826-9920-C91214C13E20}"/>
    <cellStyle name="Millares 7 2 2 3 3 3" xfId="7305" xr:uid="{8F71A8EF-76E5-4C98-9802-77CDD44A0711}"/>
    <cellStyle name="Millares 7 2 2 3 4" xfId="4437" xr:uid="{D2B7E742-3CA9-4016-8D65-0C06E081A47B}"/>
    <cellStyle name="Millares 7 2 2 3 4 2" xfId="6118" xr:uid="{981BDB31-4588-4896-A34B-5B1D4E442628}"/>
    <cellStyle name="Millares 7 2 2 3 4 3" xfId="7795" xr:uid="{AC29AD0B-A0A1-4FA3-854F-1025CDDE75DE}"/>
    <cellStyle name="Millares 7 2 2 3 5" xfId="4851" xr:uid="{7C7B4517-9895-4DA7-A4CB-42518216A1E8}"/>
    <cellStyle name="Millares 7 2 2 3 6" xfId="6528" xr:uid="{4F6CBE1D-9A1F-4EFB-82ED-73FBF0878237}"/>
    <cellStyle name="Millares 7 2 2 4" xfId="3341" xr:uid="{00000000-0005-0000-0000-0000F5040000}"/>
    <cellStyle name="Millares 7 2 2 4 2" xfId="5045" xr:uid="{58305F1D-60DD-43FC-988A-5B0D5A9C8FE3}"/>
    <cellStyle name="Millares 7 2 2 4 3" xfId="6722" xr:uid="{28AD3227-E598-485C-B1B9-D2227F3B2A58}"/>
    <cellStyle name="Millares 7 2 2 5" xfId="3736" xr:uid="{00000000-0005-0000-0000-0000F6040000}"/>
    <cellStyle name="Millares 7 2 2 5 2" xfId="5434" xr:uid="{1661EDFC-4683-44AF-AF64-3787C87C69D2}"/>
    <cellStyle name="Millares 7 2 2 5 3" xfId="7111" xr:uid="{28C6FF40-5321-49FD-98DF-C980384ACE92}"/>
    <cellStyle name="Millares 7 2 2 6" xfId="4134" xr:uid="{00000000-0005-0000-0000-0000F7040000}"/>
    <cellStyle name="Millares 7 2 2 6 2" xfId="5826" xr:uid="{C8C79EDC-BBC4-44E2-ABF5-C0854C1A474C}"/>
    <cellStyle name="Millares 7 2 2 6 3" xfId="7503" xr:uid="{93EF453C-31F0-466E-9F4C-D2F5B248BBB3}"/>
    <cellStyle name="Millares 7 2 2 7" xfId="4243" xr:uid="{76B38F85-9E88-44BE-8D30-D5E3DC405BBC}"/>
    <cellStyle name="Millares 7 2 2 7 2" xfId="5924" xr:uid="{D145497D-6374-4744-88FC-A4243B693F72}"/>
    <cellStyle name="Millares 7 2 2 7 3" xfId="7601" xr:uid="{C5CEA9A3-C71C-4C19-B4DA-D673D1B08BBD}"/>
    <cellStyle name="Millares 7 2 2 8" xfId="4657" xr:uid="{333D11B8-1AAC-414C-ABB5-2DBE72DCF6E0}"/>
    <cellStyle name="Millares 7 2 2 9" xfId="6334" xr:uid="{47466029-2CB0-4A71-AD00-597862B0F14E}"/>
    <cellStyle name="Millares 7 2 3" xfId="2987" xr:uid="{00000000-0005-0000-0000-0000F8040000}"/>
    <cellStyle name="Millares 7 2 3 2" xfId="3189" xr:uid="{00000000-0005-0000-0000-0000F9040000}"/>
    <cellStyle name="Millares 7 2 3 2 2" xfId="3582" xr:uid="{00000000-0005-0000-0000-0000FA040000}"/>
    <cellStyle name="Millares 7 2 3 2 2 2" xfId="5286" xr:uid="{76CE7016-9F25-4990-9DBB-BA230D544F50}"/>
    <cellStyle name="Millares 7 2 3 2 2 3" xfId="6963" xr:uid="{33A6C76E-1CDB-466A-957D-804938F9EAAB}"/>
    <cellStyle name="Millares 7 2 3 2 3" xfId="3977" xr:uid="{00000000-0005-0000-0000-0000FB040000}"/>
    <cellStyle name="Millares 7 2 3 2 3 2" xfId="5675" xr:uid="{59A02C70-C3D7-4DD3-8B54-D6516D2ECC23}"/>
    <cellStyle name="Millares 7 2 3 2 3 3" xfId="7352" xr:uid="{5B8BD496-C0F9-492B-9F13-5EB77F0AAEDD}"/>
    <cellStyle name="Millares 7 2 3 2 4" xfId="4484" xr:uid="{B6C3A081-CC12-4447-ADB4-1E4668BE5939}"/>
    <cellStyle name="Millares 7 2 3 2 4 2" xfId="6165" xr:uid="{0AC0DC99-2313-4E5B-A648-6C8F0A34920D}"/>
    <cellStyle name="Millares 7 2 3 2 4 3" xfId="7842" xr:uid="{0DCB3F92-6DD6-4D37-B70E-5BABB0089884}"/>
    <cellStyle name="Millares 7 2 3 2 5" xfId="4898" xr:uid="{1D8ABA3F-0214-4C19-9A08-95203B986CE7}"/>
    <cellStyle name="Millares 7 2 3 2 6" xfId="6575" xr:uid="{E4AADD86-6055-4A74-8939-2EEA938EDA78}"/>
    <cellStyle name="Millares 7 2 3 3" xfId="3388" xr:uid="{00000000-0005-0000-0000-0000FC040000}"/>
    <cellStyle name="Millares 7 2 3 3 2" xfId="5092" xr:uid="{4CE2B773-B67B-4B4E-88A9-3490181D29E8}"/>
    <cellStyle name="Millares 7 2 3 3 3" xfId="6769" xr:uid="{A46CC0B4-5043-4C5C-A9F6-C436E2A09AEA}"/>
    <cellStyle name="Millares 7 2 3 4" xfId="3783" xr:uid="{00000000-0005-0000-0000-0000FD040000}"/>
    <cellStyle name="Millares 7 2 3 4 2" xfId="5481" xr:uid="{8E81ADF5-1781-48C6-8E8C-851C926D8445}"/>
    <cellStyle name="Millares 7 2 3 4 3" xfId="7158" xr:uid="{3DD27C07-25FF-4BFF-9F4A-FB4CB8E4986F}"/>
    <cellStyle name="Millares 7 2 3 5" xfId="4290" xr:uid="{3F2557C1-97FA-49FC-9D31-9519C89DDDF9}"/>
    <cellStyle name="Millares 7 2 3 5 2" xfId="5971" xr:uid="{780160A5-B173-4312-93FF-0235374A2EE3}"/>
    <cellStyle name="Millares 7 2 3 5 3" xfId="7648" xr:uid="{448F04C8-DD70-4C78-AE9B-1DABF18EDA18}"/>
    <cellStyle name="Millares 7 2 3 6" xfId="4704" xr:uid="{E9869BDC-30A4-4BCB-8CC3-E4BDF5A2C0F3}"/>
    <cellStyle name="Millares 7 2 3 7" xfId="6381" xr:uid="{EF463C95-F7FD-472C-8EBA-5755BB7EC771}"/>
    <cellStyle name="Millares 7 2 4" xfId="3093" xr:uid="{00000000-0005-0000-0000-0000FE040000}"/>
    <cellStyle name="Millares 7 2 4 2" xfId="3486" xr:uid="{00000000-0005-0000-0000-0000FF040000}"/>
    <cellStyle name="Millares 7 2 4 2 2" xfId="5190" xr:uid="{4A099385-B168-439E-9B7D-401631F1387B}"/>
    <cellStyle name="Millares 7 2 4 2 3" xfId="6867" xr:uid="{2F7EC787-6170-4CD1-B0E2-CC4B3BF6B03F}"/>
    <cellStyle name="Millares 7 2 4 3" xfId="3881" xr:uid="{00000000-0005-0000-0000-000000050000}"/>
    <cellStyle name="Millares 7 2 4 3 2" xfId="5579" xr:uid="{FDB6A141-EBDF-4E40-A22E-B2F7519BAEF2}"/>
    <cellStyle name="Millares 7 2 4 3 3" xfId="7256" xr:uid="{E3ED8E1E-0AAC-45C6-9661-0BA3AF7FDD3C}"/>
    <cellStyle name="Millares 7 2 4 4" xfId="4388" xr:uid="{3BCDF05B-BDA4-4B56-998A-FF22AD40D1A8}"/>
    <cellStyle name="Millares 7 2 4 4 2" xfId="6069" xr:uid="{F1DC19AC-7DDA-4035-9D18-33108087D764}"/>
    <cellStyle name="Millares 7 2 4 4 3" xfId="7746" xr:uid="{6337275D-87B2-4FE9-9EF4-5DE022D3AF4C}"/>
    <cellStyle name="Millares 7 2 4 5" xfId="4802" xr:uid="{EF1D3E7E-0DA6-4BCC-9D25-EAD1A0751AE3}"/>
    <cellStyle name="Millares 7 2 4 6" xfId="6479" xr:uid="{070C48FB-AB85-471C-903C-E0C4DDA89A65}"/>
    <cellStyle name="Millares 7 2 5" xfId="3291" xr:uid="{00000000-0005-0000-0000-000001050000}"/>
    <cellStyle name="Millares 7 2 5 2" xfId="4996" xr:uid="{AFB6BAFA-AEBD-4043-BD30-E0B179B28C50}"/>
    <cellStyle name="Millares 7 2 5 3" xfId="6673" xr:uid="{EF2C925C-E4FB-4233-BED2-23E0835F8EA2}"/>
    <cellStyle name="Millares 7 2 6" xfId="3685" xr:uid="{00000000-0005-0000-0000-000002050000}"/>
    <cellStyle name="Millares 7 2 6 2" xfId="5384" xr:uid="{CF488AC3-3CC2-417E-A128-4C982A4486EA}"/>
    <cellStyle name="Millares 7 2 6 3" xfId="7061" xr:uid="{33D137B7-D14C-4116-8C91-22BAB9C17A1B}"/>
    <cellStyle name="Millares 7 2 7" xfId="4083" xr:uid="{00000000-0005-0000-0000-000003050000}"/>
    <cellStyle name="Millares 7 2 7 2" xfId="5775" xr:uid="{B04A2CBC-98EF-4401-AA0A-5BB965358579}"/>
    <cellStyle name="Millares 7 2 7 3" xfId="7452" xr:uid="{440440D2-9A86-40FB-92D8-5AF30DA08A79}"/>
    <cellStyle name="Millares 7 2 8" xfId="4188" xr:uid="{69B8F9D3-013C-46A9-B798-BAFBC69674C8}"/>
    <cellStyle name="Millares 7 2 8 2" xfId="5873" xr:uid="{FF8A5D08-347D-42C9-BF3B-40A9D345E9F8}"/>
    <cellStyle name="Millares 7 2 8 3" xfId="7550" xr:uid="{8F2DAE8F-CFC1-4534-88E1-B223798FB4C1}"/>
    <cellStyle name="Millares 7 2 9" xfId="4605" xr:uid="{6851EE4F-FECC-44B9-8AF9-6C0C592893D9}"/>
    <cellStyle name="Millares 7 3" xfId="2909" xr:uid="{00000000-0005-0000-0000-000004050000}"/>
    <cellStyle name="Millares 7 3 2" xfId="3041" xr:uid="{00000000-0005-0000-0000-000005050000}"/>
    <cellStyle name="Millares 7 3 2 2" xfId="3239" xr:uid="{00000000-0005-0000-0000-000006050000}"/>
    <cellStyle name="Millares 7 3 2 2 2" xfId="3632" xr:uid="{00000000-0005-0000-0000-000007050000}"/>
    <cellStyle name="Millares 7 3 2 2 2 2" xfId="5336" xr:uid="{02E1A449-40B7-414C-BE72-E4741DA948EB}"/>
    <cellStyle name="Millares 7 3 2 2 2 3" xfId="7013" xr:uid="{6E45A54F-AAB8-4667-9AC0-9CAF28C8C888}"/>
    <cellStyle name="Millares 7 3 2 2 3" xfId="4027" xr:uid="{00000000-0005-0000-0000-000008050000}"/>
    <cellStyle name="Millares 7 3 2 2 3 2" xfId="5725" xr:uid="{BACFA0CD-0F20-4B42-A960-15D0ED7CD2BA}"/>
    <cellStyle name="Millares 7 3 2 2 3 3" xfId="7402" xr:uid="{2FA5430E-D22B-4813-9558-B718BEEC01DD}"/>
    <cellStyle name="Millares 7 3 2 2 4" xfId="4534" xr:uid="{A0489CD9-2D40-4A14-99DA-56E9A9F68AC4}"/>
    <cellStyle name="Millares 7 3 2 2 4 2" xfId="6215" xr:uid="{97302F89-A6D0-4F41-9262-A196E7BFF104}"/>
    <cellStyle name="Millares 7 3 2 2 4 3" xfId="7892" xr:uid="{4B5BB545-5F21-4E31-82B0-FF17E67E2BC2}"/>
    <cellStyle name="Millares 7 3 2 2 5" xfId="4948" xr:uid="{90B5855C-24F5-4EB5-81DE-3BC34FCECC72}"/>
    <cellStyle name="Millares 7 3 2 2 6" xfId="6625" xr:uid="{86022D08-CC44-4F39-9774-B61872DCC458}"/>
    <cellStyle name="Millares 7 3 2 3" xfId="3438" xr:uid="{00000000-0005-0000-0000-000009050000}"/>
    <cellStyle name="Millares 7 3 2 3 2" xfId="5142" xr:uid="{4CBAD385-2CE2-4B96-8B02-E06DB48DE2EA}"/>
    <cellStyle name="Millares 7 3 2 3 3" xfId="6819" xr:uid="{B60B48E8-F436-488A-B1C2-30429B3B2929}"/>
    <cellStyle name="Millares 7 3 2 4" xfId="3833" xr:uid="{00000000-0005-0000-0000-00000A050000}"/>
    <cellStyle name="Millares 7 3 2 4 2" xfId="5531" xr:uid="{ADFE7604-12EB-455E-898D-30FCA9F6AEB9}"/>
    <cellStyle name="Millares 7 3 2 4 3" xfId="7208" xr:uid="{A32544F8-5062-492D-850A-E7C5450BCC3A}"/>
    <cellStyle name="Millares 7 3 2 5" xfId="4340" xr:uid="{5A6F3667-80EA-4E82-B701-72F1F9B07D94}"/>
    <cellStyle name="Millares 7 3 2 5 2" xfId="6021" xr:uid="{D0E30AA9-CE97-4381-9ABD-DA1A5B543F78}"/>
    <cellStyle name="Millares 7 3 2 5 3" xfId="7698" xr:uid="{17664718-43C9-4A31-B60B-C189D1437648}"/>
    <cellStyle name="Millares 7 3 2 6" xfId="4754" xr:uid="{FF9F30EA-FD0F-4296-8D97-39C5F2FA8BF6}"/>
    <cellStyle name="Millares 7 3 2 7" xfId="6431" xr:uid="{2E654E5F-2C4B-4499-9A1B-D307170656AE}"/>
    <cellStyle name="Millares 7 3 3" xfId="3141" xr:uid="{00000000-0005-0000-0000-00000B050000}"/>
    <cellStyle name="Millares 7 3 3 2" xfId="3534" xr:uid="{00000000-0005-0000-0000-00000C050000}"/>
    <cellStyle name="Millares 7 3 3 2 2" xfId="5238" xr:uid="{00ABD3BE-7EAF-4F3D-B926-EBFB42114D9F}"/>
    <cellStyle name="Millares 7 3 3 2 3" xfId="6915" xr:uid="{170EDD15-1F68-4F05-9CF9-0667104D64C0}"/>
    <cellStyle name="Millares 7 3 3 3" xfId="3929" xr:uid="{00000000-0005-0000-0000-00000D050000}"/>
    <cellStyle name="Millares 7 3 3 3 2" xfId="5627" xr:uid="{471CEF02-4118-40AB-AD5F-12CD88911C87}"/>
    <cellStyle name="Millares 7 3 3 3 3" xfId="7304" xr:uid="{9327CB99-6222-497C-A968-AF3D84762849}"/>
    <cellStyle name="Millares 7 3 3 4" xfId="4436" xr:uid="{CC9BFC46-EFCB-4DDA-A651-87D42FF6FD92}"/>
    <cellStyle name="Millares 7 3 3 4 2" xfId="6117" xr:uid="{8A832C22-BB0B-4CCC-9F4D-2185FC54068E}"/>
    <cellStyle name="Millares 7 3 3 4 3" xfId="7794" xr:uid="{39B79795-7D8C-47C3-B941-ECD5C2D0D043}"/>
    <cellStyle name="Millares 7 3 3 5" xfId="4850" xr:uid="{B48F0CD0-78C8-4284-BB0B-09CFC005AAD1}"/>
    <cellStyle name="Millares 7 3 3 6" xfId="6527" xr:uid="{CDD9C9FB-1736-4C53-BC1E-02759F3D2A94}"/>
    <cellStyle name="Millares 7 3 4" xfId="3340" xr:uid="{00000000-0005-0000-0000-00000E050000}"/>
    <cellStyle name="Millares 7 3 4 2" xfId="5044" xr:uid="{A470A1AB-9846-43F9-B6FC-BE68ECA5352D}"/>
    <cellStyle name="Millares 7 3 4 3" xfId="6721" xr:uid="{6FEADCD2-01C7-4FC9-AC9F-6F3B5871FEE6}"/>
    <cellStyle name="Millares 7 3 5" xfId="3735" xr:uid="{00000000-0005-0000-0000-00000F050000}"/>
    <cellStyle name="Millares 7 3 5 2" xfId="5433" xr:uid="{E506F448-E029-4CDC-872F-C3CD5040F7DD}"/>
    <cellStyle name="Millares 7 3 5 3" xfId="7110" xr:uid="{C0F3773E-6D88-4FAF-836A-C0425189F0B7}"/>
    <cellStyle name="Millares 7 3 6" xfId="4133" xr:uid="{00000000-0005-0000-0000-000010050000}"/>
    <cellStyle name="Millares 7 3 6 2" xfId="5825" xr:uid="{0A461031-1B69-446D-8FD7-BA4CE232A120}"/>
    <cellStyle name="Millares 7 3 6 3" xfId="7502" xr:uid="{1B3A51E7-E1DE-412D-9221-03CD88506995}"/>
    <cellStyle name="Millares 7 3 7" xfId="4242" xr:uid="{149FAFCC-44E5-4101-A7F5-C5941BBB36E2}"/>
    <cellStyle name="Millares 7 3 7 2" xfId="5923" xr:uid="{599B73B2-E4E4-4B16-BB75-BFFDAA877BB8}"/>
    <cellStyle name="Millares 7 3 7 3" xfId="7600" xr:uid="{FBA80574-DD89-4731-848C-9D9E502550BA}"/>
    <cellStyle name="Millares 7 3 8" xfId="4656" xr:uid="{A15C6D1D-DEF5-446C-A799-04F18382351C}"/>
    <cellStyle name="Millares 7 3 9" xfId="6333" xr:uid="{559AA760-701D-4F37-A9C7-495AE25402A8}"/>
    <cellStyle name="Millares 7 4" xfId="2986" xr:uid="{00000000-0005-0000-0000-000011050000}"/>
    <cellStyle name="Millares 7 4 2" xfId="3188" xr:uid="{00000000-0005-0000-0000-000012050000}"/>
    <cellStyle name="Millares 7 4 2 2" xfId="3581" xr:uid="{00000000-0005-0000-0000-000013050000}"/>
    <cellStyle name="Millares 7 4 2 2 2" xfId="5285" xr:uid="{0EB1D468-FE0D-42BF-8953-01429200DDF4}"/>
    <cellStyle name="Millares 7 4 2 2 3" xfId="6962" xr:uid="{83D9AC49-3C73-4AB6-AF91-98D2A77B67BA}"/>
    <cellStyle name="Millares 7 4 2 3" xfId="3976" xr:uid="{00000000-0005-0000-0000-000014050000}"/>
    <cellStyle name="Millares 7 4 2 3 2" xfId="5674" xr:uid="{E9F8DA9B-18B3-4B1C-9EB2-79434F325B57}"/>
    <cellStyle name="Millares 7 4 2 3 3" xfId="7351" xr:uid="{0B939640-014F-4638-8B93-E9C744149337}"/>
    <cellStyle name="Millares 7 4 2 4" xfId="4483" xr:uid="{D8221167-3242-4ED6-A347-CF6802AAFCF6}"/>
    <cellStyle name="Millares 7 4 2 4 2" xfId="6164" xr:uid="{2418B72F-057F-4A5C-BDBE-AF77B5F18599}"/>
    <cellStyle name="Millares 7 4 2 4 3" xfId="7841" xr:uid="{B47C5A57-2E87-4A76-8261-DBAF5AB908BE}"/>
    <cellStyle name="Millares 7 4 2 5" xfId="4897" xr:uid="{A64DB921-D261-4274-A58E-61DC931A32FD}"/>
    <cellStyle name="Millares 7 4 2 6" xfId="6574" xr:uid="{71E405C0-7084-498E-AAF0-0C532D53D685}"/>
    <cellStyle name="Millares 7 4 3" xfId="3387" xr:uid="{00000000-0005-0000-0000-000015050000}"/>
    <cellStyle name="Millares 7 4 3 2" xfId="5091" xr:uid="{A8D2D9F4-067C-4609-85A9-E299CB337509}"/>
    <cellStyle name="Millares 7 4 3 3" xfId="6768" xr:uid="{CB4A0D1B-CBC7-411C-85CA-BE344C61E965}"/>
    <cellStyle name="Millares 7 4 4" xfId="3782" xr:uid="{00000000-0005-0000-0000-000016050000}"/>
    <cellStyle name="Millares 7 4 4 2" xfId="5480" xr:uid="{4316B15F-EE27-435E-8603-8165E7D37F84}"/>
    <cellStyle name="Millares 7 4 4 3" xfId="7157" xr:uid="{CD0A3AC2-CAC8-4A27-A575-67A5860ED033}"/>
    <cellStyle name="Millares 7 4 5" xfId="4289" xr:uid="{E8CFF0F2-67AD-4031-82B6-B244D5FCACB9}"/>
    <cellStyle name="Millares 7 4 5 2" xfId="5970" xr:uid="{13C52D3F-63E5-4CF7-8E26-F8BB344E3F08}"/>
    <cellStyle name="Millares 7 4 5 3" xfId="7647" xr:uid="{B39942E5-34C8-4F2F-9ABD-7AEE4C6AFDF5}"/>
    <cellStyle name="Millares 7 4 6" xfId="4703" xr:uid="{C0BBDB9A-B847-41F1-B78A-28B6517B257B}"/>
    <cellStyle name="Millares 7 4 7" xfId="6380" xr:uid="{C1311A79-7085-4DF2-B812-A33E96B3E635}"/>
    <cellStyle name="Millares 7 5" xfId="3092" xr:uid="{00000000-0005-0000-0000-000017050000}"/>
    <cellStyle name="Millares 7 5 2" xfId="3485" xr:uid="{00000000-0005-0000-0000-000018050000}"/>
    <cellStyle name="Millares 7 5 2 2" xfId="5189" xr:uid="{6E745508-461B-42C4-99A9-5E31C332ADF2}"/>
    <cellStyle name="Millares 7 5 2 3" xfId="6866" xr:uid="{1983AA00-93ED-4B14-9764-22A49D43AB12}"/>
    <cellStyle name="Millares 7 5 3" xfId="3880" xr:uid="{00000000-0005-0000-0000-000019050000}"/>
    <cellStyle name="Millares 7 5 3 2" xfId="5578" xr:uid="{FDD4C14E-3950-42A7-9034-245C654EAD61}"/>
    <cellStyle name="Millares 7 5 3 3" xfId="7255" xr:uid="{D015216D-7B05-4477-8B04-C77A08464DEE}"/>
    <cellStyle name="Millares 7 5 4" xfId="4387" xr:uid="{A8137B11-1CFA-4B48-B59F-1D96F27D9396}"/>
    <cellStyle name="Millares 7 5 4 2" xfId="6068" xr:uid="{1ABBD3D0-412A-443C-8632-87C6828D7210}"/>
    <cellStyle name="Millares 7 5 4 3" xfId="7745" xr:uid="{57FD8A68-99AE-492B-81AF-93E682854DF4}"/>
    <cellStyle name="Millares 7 5 5" xfId="4801" xr:uid="{361BE4A1-148D-45CE-B203-B70F0D62ACF3}"/>
    <cellStyle name="Millares 7 5 6" xfId="6478" xr:uid="{FFA0510D-7A1A-4178-A855-8FA6E0FC8F1C}"/>
    <cellStyle name="Millares 7 6" xfId="3290" xr:uid="{00000000-0005-0000-0000-00001A050000}"/>
    <cellStyle name="Millares 7 6 2" xfId="4995" xr:uid="{AF7B6B65-2DE4-49C8-A75E-DF13C53D6104}"/>
    <cellStyle name="Millares 7 6 3" xfId="6672" xr:uid="{2EC078E4-2B11-4EEA-BBA4-87DDD746CA57}"/>
    <cellStyle name="Millares 7 7" xfId="3684" xr:uid="{00000000-0005-0000-0000-00001B050000}"/>
    <cellStyle name="Millares 7 7 2" xfId="5383" xr:uid="{7A6F67AC-3FA1-4F17-8744-DA110ADCB518}"/>
    <cellStyle name="Millares 7 7 3" xfId="7060" xr:uid="{303BC571-E062-4B67-B5A0-31BCFF29FD74}"/>
    <cellStyle name="Millares 7 8" xfId="4082" xr:uid="{00000000-0005-0000-0000-00001C050000}"/>
    <cellStyle name="Millares 7 8 2" xfId="5774" xr:uid="{DF47848A-82C0-4C16-80FF-6A4B0D89243B}"/>
    <cellStyle name="Millares 7 8 3" xfId="7451" xr:uid="{D1956F8F-DF42-40E4-BD19-13329F1FEC75}"/>
    <cellStyle name="Millares 7 9" xfId="4187" xr:uid="{55BE3765-5BB9-4B00-955D-930CB405D39C}"/>
    <cellStyle name="Millares 7 9 2" xfId="5872" xr:uid="{D40E0A05-0F75-4C9C-B581-21E9E8F5F606}"/>
    <cellStyle name="Millares 7 9 3" xfId="7549" xr:uid="{05B09017-8B10-4029-BE26-DDE86CF25813}"/>
    <cellStyle name="Millares 8" xfId="242" xr:uid="{00000000-0005-0000-0000-00001D050000}"/>
    <cellStyle name="Millares 8 10" xfId="4606" xr:uid="{6B6E30ED-D8F6-4A8B-8BE2-13E0A934A645}"/>
    <cellStyle name="Millares 8 11" xfId="6283" xr:uid="{BB045C23-3D3D-43D0-BB7D-7C50EF287FE1}"/>
    <cellStyle name="Millares 8 2" xfId="243" xr:uid="{00000000-0005-0000-0000-00001E050000}"/>
    <cellStyle name="Millares 8 2 10" xfId="6284" xr:uid="{2F5F51B2-8487-4744-B79E-B7746B97A356}"/>
    <cellStyle name="Millares 8 2 2" xfId="2912" xr:uid="{00000000-0005-0000-0000-00001F050000}"/>
    <cellStyle name="Millares 8 2 2 2" xfId="3044" xr:uid="{00000000-0005-0000-0000-000020050000}"/>
    <cellStyle name="Millares 8 2 2 2 2" xfId="3242" xr:uid="{00000000-0005-0000-0000-000021050000}"/>
    <cellStyle name="Millares 8 2 2 2 2 2" xfId="3635" xr:uid="{00000000-0005-0000-0000-000022050000}"/>
    <cellStyle name="Millares 8 2 2 2 2 2 2" xfId="5339" xr:uid="{628E966D-7D3F-4E89-9D4B-06A7BC0A1034}"/>
    <cellStyle name="Millares 8 2 2 2 2 2 3" xfId="7016" xr:uid="{9965F2CA-A1A2-4DC6-A814-9EF660790F4A}"/>
    <cellStyle name="Millares 8 2 2 2 2 3" xfId="4030" xr:uid="{00000000-0005-0000-0000-000023050000}"/>
    <cellStyle name="Millares 8 2 2 2 2 3 2" xfId="5728" xr:uid="{119C9A37-40E7-4F03-9F02-A010415F3D5B}"/>
    <cellStyle name="Millares 8 2 2 2 2 3 3" xfId="7405" xr:uid="{F79B46DD-BB65-4CA1-8E52-111BCEAAFB9A}"/>
    <cellStyle name="Millares 8 2 2 2 2 4" xfId="4537" xr:uid="{3590EE23-C5F7-41B9-BFCB-F49B3F033C1C}"/>
    <cellStyle name="Millares 8 2 2 2 2 4 2" xfId="6218" xr:uid="{7D5647AB-FF78-4712-9042-BDBC78300490}"/>
    <cellStyle name="Millares 8 2 2 2 2 4 3" xfId="7895" xr:uid="{AAB7EDB1-207E-4843-ABCB-36E0D0AE5B14}"/>
    <cellStyle name="Millares 8 2 2 2 2 5" xfId="4951" xr:uid="{05607C2F-DC78-48D0-859A-4DC131EEBB4A}"/>
    <cellStyle name="Millares 8 2 2 2 2 6" xfId="6628" xr:uid="{B1E9C312-DB75-4571-AFCC-9BBBCF6576DA}"/>
    <cellStyle name="Millares 8 2 2 2 3" xfId="3441" xr:uid="{00000000-0005-0000-0000-000024050000}"/>
    <cellStyle name="Millares 8 2 2 2 3 2" xfId="5145" xr:uid="{6417E704-BB16-4D3D-8DA8-5BA2280DDFEA}"/>
    <cellStyle name="Millares 8 2 2 2 3 3" xfId="6822" xr:uid="{2A3402E3-E8AA-4303-AE68-0D5299EB834A}"/>
    <cellStyle name="Millares 8 2 2 2 4" xfId="3836" xr:uid="{00000000-0005-0000-0000-000025050000}"/>
    <cellStyle name="Millares 8 2 2 2 4 2" xfId="5534" xr:uid="{20750915-B76F-4F25-BD2D-D5B287226F41}"/>
    <cellStyle name="Millares 8 2 2 2 4 3" xfId="7211" xr:uid="{642348F9-A788-4631-A3BF-C1B7452AC4DA}"/>
    <cellStyle name="Millares 8 2 2 2 5" xfId="4343" xr:uid="{D8E5CA29-1D9B-4A6B-A62A-A07063CB16DB}"/>
    <cellStyle name="Millares 8 2 2 2 5 2" xfId="6024" xr:uid="{1BD9FF94-7904-4A58-92C1-48128A71D92A}"/>
    <cellStyle name="Millares 8 2 2 2 5 3" xfId="7701" xr:uid="{9A4C9572-4A1B-4E01-BAC7-B0B78E0ED729}"/>
    <cellStyle name="Millares 8 2 2 2 6" xfId="4757" xr:uid="{73D346B4-75B7-477E-A200-52CE997AE941}"/>
    <cellStyle name="Millares 8 2 2 2 7" xfId="6434" xr:uid="{484ED7B6-32D5-4EE7-900F-50047192EF96}"/>
    <cellStyle name="Millares 8 2 2 3" xfId="3144" xr:uid="{00000000-0005-0000-0000-000026050000}"/>
    <cellStyle name="Millares 8 2 2 3 2" xfId="3537" xr:uid="{00000000-0005-0000-0000-000027050000}"/>
    <cellStyle name="Millares 8 2 2 3 2 2" xfId="5241" xr:uid="{2AA58B99-2D31-4CFE-9473-E019EA9BB599}"/>
    <cellStyle name="Millares 8 2 2 3 2 3" xfId="6918" xr:uid="{D5215765-9909-48AA-8F54-91B8387AAD78}"/>
    <cellStyle name="Millares 8 2 2 3 3" xfId="3932" xr:uid="{00000000-0005-0000-0000-000028050000}"/>
    <cellStyle name="Millares 8 2 2 3 3 2" xfId="5630" xr:uid="{996F772F-8918-4C4F-AFE1-CA662C83D62F}"/>
    <cellStyle name="Millares 8 2 2 3 3 3" xfId="7307" xr:uid="{E6B6AE8A-12A4-4AA5-A9BE-D3E14C030516}"/>
    <cellStyle name="Millares 8 2 2 3 4" xfId="4439" xr:uid="{D90ED38D-125E-49E8-B7FB-178E9FB53B9D}"/>
    <cellStyle name="Millares 8 2 2 3 4 2" xfId="6120" xr:uid="{739FFE11-8FB4-48CB-A28B-E70B305A90D3}"/>
    <cellStyle name="Millares 8 2 2 3 4 3" xfId="7797" xr:uid="{260AE6D0-7B82-43F6-B97B-EFC2C18E405D}"/>
    <cellStyle name="Millares 8 2 2 3 5" xfId="4853" xr:uid="{AC4BF349-896C-47A1-8C40-06BD13C16DB7}"/>
    <cellStyle name="Millares 8 2 2 3 6" xfId="6530" xr:uid="{59B9352D-22DA-45D8-B1FE-2199E230D517}"/>
    <cellStyle name="Millares 8 2 2 4" xfId="3343" xr:uid="{00000000-0005-0000-0000-000029050000}"/>
    <cellStyle name="Millares 8 2 2 4 2" xfId="5047" xr:uid="{83E4EB1F-1CFE-40F0-99BD-A9E9A687CED6}"/>
    <cellStyle name="Millares 8 2 2 4 3" xfId="6724" xr:uid="{17003573-13A5-4407-93DA-EBE075F5E508}"/>
    <cellStyle name="Millares 8 2 2 5" xfId="3738" xr:uid="{00000000-0005-0000-0000-00002A050000}"/>
    <cellStyle name="Millares 8 2 2 5 2" xfId="5436" xr:uid="{0F132A64-E491-4093-9B08-0405176F7760}"/>
    <cellStyle name="Millares 8 2 2 5 3" xfId="7113" xr:uid="{4ADFDFFB-18B2-4766-BFBD-C02A13E22DFF}"/>
    <cellStyle name="Millares 8 2 2 6" xfId="4136" xr:uid="{00000000-0005-0000-0000-00002B050000}"/>
    <cellStyle name="Millares 8 2 2 6 2" xfId="5828" xr:uid="{7063D148-9E8F-4160-B35A-D1AB1C2A09EB}"/>
    <cellStyle name="Millares 8 2 2 6 3" xfId="7505" xr:uid="{98729EA6-C717-4D08-8547-84C57209EE8F}"/>
    <cellStyle name="Millares 8 2 2 7" xfId="4245" xr:uid="{FD419556-AF21-4823-9581-B19700001E1A}"/>
    <cellStyle name="Millares 8 2 2 7 2" xfId="5926" xr:uid="{00805BD6-5601-4D64-B186-D21F1EBAC2BA}"/>
    <cellStyle name="Millares 8 2 2 7 3" xfId="7603" xr:uid="{A4069B93-C215-4ECC-BB0E-16FE86CFE155}"/>
    <cellStyle name="Millares 8 2 2 8" xfId="4659" xr:uid="{035D48AB-AED7-4AA5-9A48-61E95C096FA6}"/>
    <cellStyle name="Millares 8 2 2 9" xfId="6336" xr:uid="{DAE36DF5-7FAE-48A8-8CF1-3DB07B5844B6}"/>
    <cellStyle name="Millares 8 2 3" xfId="2989" xr:uid="{00000000-0005-0000-0000-00002C050000}"/>
    <cellStyle name="Millares 8 2 3 2" xfId="3191" xr:uid="{00000000-0005-0000-0000-00002D050000}"/>
    <cellStyle name="Millares 8 2 3 2 2" xfId="3584" xr:uid="{00000000-0005-0000-0000-00002E050000}"/>
    <cellStyle name="Millares 8 2 3 2 2 2" xfId="5288" xr:uid="{578156DB-1B10-4A0C-8E17-EA1F5B94FB94}"/>
    <cellStyle name="Millares 8 2 3 2 2 3" xfId="6965" xr:uid="{1AE82152-DB6E-4D7E-B38F-0F73A6321A45}"/>
    <cellStyle name="Millares 8 2 3 2 3" xfId="3979" xr:uid="{00000000-0005-0000-0000-00002F050000}"/>
    <cellStyle name="Millares 8 2 3 2 3 2" xfId="5677" xr:uid="{C6B080EA-91CD-4587-97C7-C914416D4263}"/>
    <cellStyle name="Millares 8 2 3 2 3 3" xfId="7354" xr:uid="{D4CD356D-8B6D-48BE-8E4C-1B87A6A3934C}"/>
    <cellStyle name="Millares 8 2 3 2 4" xfId="4486" xr:uid="{0C7CD257-13EB-47F5-A3F4-76EE6B095D3E}"/>
    <cellStyle name="Millares 8 2 3 2 4 2" xfId="6167" xr:uid="{FD85E859-5A13-4D3E-AB4C-88B8FD3DA7CC}"/>
    <cellStyle name="Millares 8 2 3 2 4 3" xfId="7844" xr:uid="{33A8E483-FC56-4BBA-A4E8-DACEDE359981}"/>
    <cellStyle name="Millares 8 2 3 2 5" xfId="4900" xr:uid="{D9C3E529-660B-4B06-A540-D645EC5AC10D}"/>
    <cellStyle name="Millares 8 2 3 2 6" xfId="6577" xr:uid="{57436F26-F995-4B8B-AFFB-6E3503D60E3C}"/>
    <cellStyle name="Millares 8 2 3 3" xfId="3390" xr:uid="{00000000-0005-0000-0000-000030050000}"/>
    <cellStyle name="Millares 8 2 3 3 2" xfId="5094" xr:uid="{2B5015B6-F665-45F1-9491-3348099A7BF6}"/>
    <cellStyle name="Millares 8 2 3 3 3" xfId="6771" xr:uid="{877D292F-CBB7-498D-86E9-3878C6ACF0AA}"/>
    <cellStyle name="Millares 8 2 3 4" xfId="3785" xr:uid="{00000000-0005-0000-0000-000031050000}"/>
    <cellStyle name="Millares 8 2 3 4 2" xfId="5483" xr:uid="{58553B07-DB2E-48E2-9366-36A7A8A346E3}"/>
    <cellStyle name="Millares 8 2 3 4 3" xfId="7160" xr:uid="{85BF376F-781F-4B50-A55B-8FC2A66E86CC}"/>
    <cellStyle name="Millares 8 2 3 5" xfId="4292" xr:uid="{DAAB24EA-9B08-49BC-A8D0-9EC4195F67F6}"/>
    <cellStyle name="Millares 8 2 3 5 2" xfId="5973" xr:uid="{CCCD6700-99F6-488C-A107-1FE1113349D4}"/>
    <cellStyle name="Millares 8 2 3 5 3" xfId="7650" xr:uid="{E23222BF-6AC5-4994-8566-2590B4D40881}"/>
    <cellStyle name="Millares 8 2 3 6" xfId="4706" xr:uid="{67E01539-2C45-4EFD-83D6-C81DCA8843D5}"/>
    <cellStyle name="Millares 8 2 3 7" xfId="6383" xr:uid="{5C150E15-C1D4-4C70-925B-65706090BAE4}"/>
    <cellStyle name="Millares 8 2 4" xfId="3095" xr:uid="{00000000-0005-0000-0000-000032050000}"/>
    <cellStyle name="Millares 8 2 4 2" xfId="3488" xr:uid="{00000000-0005-0000-0000-000033050000}"/>
    <cellStyle name="Millares 8 2 4 2 2" xfId="5192" xr:uid="{CD28C920-476C-4EDD-85B0-F21E24F64425}"/>
    <cellStyle name="Millares 8 2 4 2 3" xfId="6869" xr:uid="{AAE2A050-D876-4359-99BB-A68577138386}"/>
    <cellStyle name="Millares 8 2 4 3" xfId="3883" xr:uid="{00000000-0005-0000-0000-000034050000}"/>
    <cellStyle name="Millares 8 2 4 3 2" xfId="5581" xr:uid="{E0EB2592-019F-4311-A5E8-4FED6BC4A168}"/>
    <cellStyle name="Millares 8 2 4 3 3" xfId="7258" xr:uid="{22C3B681-91BF-483B-82FA-991DB570CB3C}"/>
    <cellStyle name="Millares 8 2 4 4" xfId="4390" xr:uid="{C0325573-FDD7-44A0-A417-033F5786C94B}"/>
    <cellStyle name="Millares 8 2 4 4 2" xfId="6071" xr:uid="{288B219D-9B3D-4DF7-9732-35DD012D6988}"/>
    <cellStyle name="Millares 8 2 4 4 3" xfId="7748" xr:uid="{AF8DC78E-4FAA-4099-A46D-AD69BB18013B}"/>
    <cellStyle name="Millares 8 2 4 5" xfId="4804" xr:uid="{BA06371F-A6BF-4FF1-B86C-24C248232AAD}"/>
    <cellStyle name="Millares 8 2 4 6" xfId="6481" xr:uid="{3AEF1781-68B5-4FCD-8A12-C75686BFDF09}"/>
    <cellStyle name="Millares 8 2 5" xfId="3293" xr:uid="{00000000-0005-0000-0000-000035050000}"/>
    <cellStyle name="Millares 8 2 5 2" xfId="4998" xr:uid="{2544F91C-19DA-43DA-B889-499AB02FFAC6}"/>
    <cellStyle name="Millares 8 2 5 3" xfId="6675" xr:uid="{FDE16BB1-199A-47C6-8DF0-D0663BD72F0D}"/>
    <cellStyle name="Millares 8 2 6" xfId="3687" xr:uid="{00000000-0005-0000-0000-000036050000}"/>
    <cellStyle name="Millares 8 2 6 2" xfId="5386" xr:uid="{AAB81408-665B-4587-A282-687869F983B9}"/>
    <cellStyle name="Millares 8 2 6 3" xfId="7063" xr:uid="{B09E95AD-FB64-4CC1-A4DF-CEDE49545F59}"/>
    <cellStyle name="Millares 8 2 7" xfId="4085" xr:uid="{00000000-0005-0000-0000-000037050000}"/>
    <cellStyle name="Millares 8 2 7 2" xfId="5777" xr:uid="{265371A9-EBF6-4C92-BC78-03EC5E600ABA}"/>
    <cellStyle name="Millares 8 2 7 3" xfId="7454" xr:uid="{339BCDA5-2587-47B2-B2AC-BE4A0A6832BA}"/>
    <cellStyle name="Millares 8 2 8" xfId="4190" xr:uid="{B3241534-8B4F-41FA-A10D-BA380BC8CC2E}"/>
    <cellStyle name="Millares 8 2 8 2" xfId="5875" xr:uid="{C79D6EA7-2F2C-4FC7-AD4B-FB29E6D0EFC3}"/>
    <cellStyle name="Millares 8 2 8 3" xfId="7552" xr:uid="{7F53E022-A8BC-47C3-805B-7A7850A43829}"/>
    <cellStyle name="Millares 8 2 9" xfId="4607" xr:uid="{7022117A-2EBD-46B8-985E-789A7DC27335}"/>
    <cellStyle name="Millares 8 3" xfId="2911" xr:uid="{00000000-0005-0000-0000-000038050000}"/>
    <cellStyle name="Millares 8 3 2" xfId="3043" xr:uid="{00000000-0005-0000-0000-000039050000}"/>
    <cellStyle name="Millares 8 3 2 2" xfId="3241" xr:uid="{00000000-0005-0000-0000-00003A050000}"/>
    <cellStyle name="Millares 8 3 2 2 2" xfId="3634" xr:uid="{00000000-0005-0000-0000-00003B050000}"/>
    <cellStyle name="Millares 8 3 2 2 2 2" xfId="5338" xr:uid="{08EC6AE1-6CB2-4398-A2DD-4555EC4E6973}"/>
    <cellStyle name="Millares 8 3 2 2 2 3" xfId="7015" xr:uid="{1192FFA1-E201-4A16-9874-EF27AA2B9200}"/>
    <cellStyle name="Millares 8 3 2 2 3" xfId="4029" xr:uid="{00000000-0005-0000-0000-00003C050000}"/>
    <cellStyle name="Millares 8 3 2 2 3 2" xfId="5727" xr:uid="{8F320BCC-80C2-4BB2-A2B2-0F9ED9E9D907}"/>
    <cellStyle name="Millares 8 3 2 2 3 3" xfId="7404" xr:uid="{FF070373-FFCB-4A10-898E-638A6FB4FA8A}"/>
    <cellStyle name="Millares 8 3 2 2 4" xfId="4536" xr:uid="{AED652F4-714D-4187-8D8B-3EDFCA5D54C3}"/>
    <cellStyle name="Millares 8 3 2 2 4 2" xfId="6217" xr:uid="{CE55E69E-3BF4-4B69-9DF2-3864FED42B25}"/>
    <cellStyle name="Millares 8 3 2 2 4 3" xfId="7894" xr:uid="{9B6D4A3B-1A81-43E3-B82A-852F4947C361}"/>
    <cellStyle name="Millares 8 3 2 2 5" xfId="4950" xr:uid="{25FA48AE-5AAC-4B2D-A69C-F7E75A61910F}"/>
    <cellStyle name="Millares 8 3 2 2 6" xfId="6627" xr:uid="{3D94682E-DBBA-4C58-A91E-BCDE63046889}"/>
    <cellStyle name="Millares 8 3 2 3" xfId="3440" xr:uid="{00000000-0005-0000-0000-00003D050000}"/>
    <cellStyle name="Millares 8 3 2 3 2" xfId="5144" xr:uid="{A792A768-547A-4DF3-A5BB-5B64492EE918}"/>
    <cellStyle name="Millares 8 3 2 3 3" xfId="6821" xr:uid="{4405C8E4-C19E-4812-9503-67A1FCE3A5BF}"/>
    <cellStyle name="Millares 8 3 2 4" xfId="3835" xr:uid="{00000000-0005-0000-0000-00003E050000}"/>
    <cellStyle name="Millares 8 3 2 4 2" xfId="5533" xr:uid="{2317AA64-95F7-4FAD-B3A2-16EDAE0FDD1A}"/>
    <cellStyle name="Millares 8 3 2 4 3" xfId="7210" xr:uid="{1A67E230-C54F-4F9B-B8FB-B3A088F1179E}"/>
    <cellStyle name="Millares 8 3 2 5" xfId="4342" xr:uid="{0140E5FF-489B-45B0-A4FC-B2446E8878AC}"/>
    <cellStyle name="Millares 8 3 2 5 2" xfId="6023" xr:uid="{2AA9AE8F-04A4-4CA2-BD36-FD25494562B9}"/>
    <cellStyle name="Millares 8 3 2 5 3" xfId="7700" xr:uid="{33F4CDB0-F047-451F-B958-7D6ED80771AF}"/>
    <cellStyle name="Millares 8 3 2 6" xfId="4756" xr:uid="{B302009F-EBDF-485F-9274-937254E04BF0}"/>
    <cellStyle name="Millares 8 3 2 7" xfId="6433" xr:uid="{61DF44BA-54ED-4F2A-BAED-ED3F7285EA12}"/>
    <cellStyle name="Millares 8 3 3" xfId="3143" xr:uid="{00000000-0005-0000-0000-00003F050000}"/>
    <cellStyle name="Millares 8 3 3 2" xfId="3536" xr:uid="{00000000-0005-0000-0000-000040050000}"/>
    <cellStyle name="Millares 8 3 3 2 2" xfId="5240" xr:uid="{3C766EF8-DF52-44DD-900E-E6F9C6741C26}"/>
    <cellStyle name="Millares 8 3 3 2 3" xfId="6917" xr:uid="{9E398532-9EB2-4EE6-B023-17AD04C18AB3}"/>
    <cellStyle name="Millares 8 3 3 3" xfId="3931" xr:uid="{00000000-0005-0000-0000-000041050000}"/>
    <cellStyle name="Millares 8 3 3 3 2" xfId="5629" xr:uid="{E066D58B-DDF0-4460-A471-08BC67D6DD66}"/>
    <cellStyle name="Millares 8 3 3 3 3" xfId="7306" xr:uid="{6BA6A193-4CD2-430B-8AC3-DB612920530B}"/>
    <cellStyle name="Millares 8 3 3 4" xfId="4438" xr:uid="{F54DB5DC-65E4-465F-A93B-0F94E15D1873}"/>
    <cellStyle name="Millares 8 3 3 4 2" xfId="6119" xr:uid="{4E59405E-802D-47C9-B4A6-120D1410E296}"/>
    <cellStyle name="Millares 8 3 3 4 3" xfId="7796" xr:uid="{B947C15F-9DBF-449C-8AFB-AC1CB09DFBED}"/>
    <cellStyle name="Millares 8 3 3 5" xfId="4852" xr:uid="{292B8E12-856E-4E55-9526-DC557E2A53BE}"/>
    <cellStyle name="Millares 8 3 3 6" xfId="6529" xr:uid="{53CFD5C8-E40C-4420-B7EE-F3E70C67A29F}"/>
    <cellStyle name="Millares 8 3 4" xfId="3342" xr:uid="{00000000-0005-0000-0000-000042050000}"/>
    <cellStyle name="Millares 8 3 4 2" xfId="5046" xr:uid="{C0A655CB-5C5C-491E-81EA-C7BCB2DBDB1A}"/>
    <cellStyle name="Millares 8 3 4 3" xfId="6723" xr:uid="{BD4D1787-75CA-4146-9161-287CE59FA3B0}"/>
    <cellStyle name="Millares 8 3 5" xfId="3737" xr:uid="{00000000-0005-0000-0000-000043050000}"/>
    <cellStyle name="Millares 8 3 5 2" xfId="5435" xr:uid="{93F4B65F-E780-4B51-B56E-235B7B83347D}"/>
    <cellStyle name="Millares 8 3 5 3" xfId="7112" xr:uid="{7FE56DE1-6452-4A5E-B51F-BFE761BADA6B}"/>
    <cellStyle name="Millares 8 3 6" xfId="4135" xr:uid="{00000000-0005-0000-0000-000044050000}"/>
    <cellStyle name="Millares 8 3 6 2" xfId="5827" xr:uid="{F2304E86-19DA-4559-A152-89B2FC70AFEF}"/>
    <cellStyle name="Millares 8 3 6 3" xfId="7504" xr:uid="{3EB88BC9-FB27-4F47-AE7A-B699074A0F3C}"/>
    <cellStyle name="Millares 8 3 7" xfId="4244" xr:uid="{A33E181B-54F4-4738-A5E0-B19CB753186A}"/>
    <cellStyle name="Millares 8 3 7 2" xfId="5925" xr:uid="{3CBB4FA2-07F7-4069-95A6-2DB7E8F1347C}"/>
    <cellStyle name="Millares 8 3 7 3" xfId="7602" xr:uid="{E3030B1F-10B7-45E2-9784-4554E38B09A0}"/>
    <cellStyle name="Millares 8 3 8" xfId="4658" xr:uid="{12B5AC58-016A-4024-BB84-628CFD635B85}"/>
    <cellStyle name="Millares 8 3 9" xfId="6335" xr:uid="{96CAFD78-6952-4E4A-A4E4-A74954B1C789}"/>
    <cellStyle name="Millares 8 4" xfId="2988" xr:uid="{00000000-0005-0000-0000-000045050000}"/>
    <cellStyle name="Millares 8 4 2" xfId="3190" xr:uid="{00000000-0005-0000-0000-000046050000}"/>
    <cellStyle name="Millares 8 4 2 2" xfId="3583" xr:uid="{00000000-0005-0000-0000-000047050000}"/>
    <cellStyle name="Millares 8 4 2 2 2" xfId="5287" xr:uid="{EE9AF3E6-0CCA-4278-832B-3053E36801AD}"/>
    <cellStyle name="Millares 8 4 2 2 3" xfId="6964" xr:uid="{A7359210-5616-4DC8-82B0-47E881F3344F}"/>
    <cellStyle name="Millares 8 4 2 3" xfId="3978" xr:uid="{00000000-0005-0000-0000-000048050000}"/>
    <cellStyle name="Millares 8 4 2 3 2" xfId="5676" xr:uid="{5646EF3A-F12E-4A15-909E-84F54DC5E3B3}"/>
    <cellStyle name="Millares 8 4 2 3 3" xfId="7353" xr:uid="{56069D4C-2A82-423E-BB35-261B2CDBD911}"/>
    <cellStyle name="Millares 8 4 2 4" xfId="4485" xr:uid="{4C3614F3-95BA-4AD7-9235-245084C91373}"/>
    <cellStyle name="Millares 8 4 2 4 2" xfId="6166" xr:uid="{50A716E6-6B30-47C5-87D8-117B5969E4BF}"/>
    <cellStyle name="Millares 8 4 2 4 3" xfId="7843" xr:uid="{A3E22C8D-582C-419D-B4D0-C9B885150EA0}"/>
    <cellStyle name="Millares 8 4 2 5" xfId="4899" xr:uid="{09B78187-1743-42EF-B40D-40ABEB2B4720}"/>
    <cellStyle name="Millares 8 4 2 6" xfId="6576" xr:uid="{F42C87B0-D1D1-4A37-9772-46DEE0EB7716}"/>
    <cellStyle name="Millares 8 4 3" xfId="3389" xr:uid="{00000000-0005-0000-0000-000049050000}"/>
    <cellStyle name="Millares 8 4 3 2" xfId="5093" xr:uid="{AF27F3BB-379A-4AC4-B376-E988BF403FD0}"/>
    <cellStyle name="Millares 8 4 3 3" xfId="6770" xr:uid="{9660DF23-2918-4000-B400-6655474B45A3}"/>
    <cellStyle name="Millares 8 4 4" xfId="3784" xr:uid="{00000000-0005-0000-0000-00004A050000}"/>
    <cellStyle name="Millares 8 4 4 2" xfId="5482" xr:uid="{155B9BE9-0ADB-4CF8-BDFA-6A72A2C57B9D}"/>
    <cellStyle name="Millares 8 4 4 3" xfId="7159" xr:uid="{C4F4618C-1D3B-4D79-A26D-BD0445568715}"/>
    <cellStyle name="Millares 8 4 5" xfId="4291" xr:uid="{FF66433E-13B8-43E0-91B6-6A36A9BBCBE1}"/>
    <cellStyle name="Millares 8 4 5 2" xfId="5972" xr:uid="{699708AD-8BC9-4102-BC72-A50AAF0A2F55}"/>
    <cellStyle name="Millares 8 4 5 3" xfId="7649" xr:uid="{B18F4822-8F0F-4BC1-AACC-066A5DA5BDE1}"/>
    <cellStyle name="Millares 8 4 6" xfId="4705" xr:uid="{45E6B7AA-A82C-4480-A171-520DA1A82397}"/>
    <cellStyle name="Millares 8 4 7" xfId="6382" xr:uid="{DE39D3B2-19C2-4F07-8DD2-87C3480D7350}"/>
    <cellStyle name="Millares 8 5" xfId="3094" xr:uid="{00000000-0005-0000-0000-00004B050000}"/>
    <cellStyle name="Millares 8 5 2" xfId="3487" xr:uid="{00000000-0005-0000-0000-00004C050000}"/>
    <cellStyle name="Millares 8 5 2 2" xfId="5191" xr:uid="{24608B41-672F-422A-9DA4-1D0358AE94A5}"/>
    <cellStyle name="Millares 8 5 2 3" xfId="6868" xr:uid="{3022F111-4F0F-4A84-94F0-F3D114FA82A1}"/>
    <cellStyle name="Millares 8 5 3" xfId="3882" xr:uid="{00000000-0005-0000-0000-00004D050000}"/>
    <cellStyle name="Millares 8 5 3 2" xfId="5580" xr:uid="{2DABBC97-C349-4F64-893A-C1C454E20B67}"/>
    <cellStyle name="Millares 8 5 3 3" xfId="7257" xr:uid="{3494D305-0526-4EAC-B5E7-23BA0BFC37F2}"/>
    <cellStyle name="Millares 8 5 4" xfId="4389" xr:uid="{2D1BF89B-5BF3-409D-B30C-00E982C8A9C0}"/>
    <cellStyle name="Millares 8 5 4 2" xfId="6070" xr:uid="{08603D38-6C3F-4E96-BD9F-7D15124EB053}"/>
    <cellStyle name="Millares 8 5 4 3" xfId="7747" xr:uid="{D0E07F8B-D38B-4BE8-8E27-DE8E443BC876}"/>
    <cellStyle name="Millares 8 5 5" xfId="4803" xr:uid="{385AE91B-9EEF-4C26-874F-ECCF5BCF4D5C}"/>
    <cellStyle name="Millares 8 5 6" xfId="6480" xr:uid="{933E9C18-3365-48A3-BF90-FD38C8F3A696}"/>
    <cellStyle name="Millares 8 6" xfId="3292" xr:uid="{00000000-0005-0000-0000-00004E050000}"/>
    <cellStyle name="Millares 8 6 2" xfId="4997" xr:uid="{DE4D8531-B1B0-4B84-AC7F-B618F4B0DCA6}"/>
    <cellStyle name="Millares 8 6 3" xfId="6674" xr:uid="{79097E57-C4CC-46F3-A8AB-5803ECA92595}"/>
    <cellStyle name="Millares 8 7" xfId="3686" xr:uid="{00000000-0005-0000-0000-00004F050000}"/>
    <cellStyle name="Millares 8 7 2" xfId="5385" xr:uid="{6D5F1192-BB5A-4019-9135-91889AE164B8}"/>
    <cellStyle name="Millares 8 7 3" xfId="7062" xr:uid="{F6C5C495-2222-40CB-85EB-AB2CD4708D8D}"/>
    <cellStyle name="Millares 8 8" xfId="4084" xr:uid="{00000000-0005-0000-0000-000050050000}"/>
    <cellStyle name="Millares 8 8 2" xfId="5776" xr:uid="{648F3DFB-764F-471A-801F-C69A2C7FD465}"/>
    <cellStyle name="Millares 8 8 3" xfId="7453" xr:uid="{19C10E17-295F-4694-928D-D58871FDB03F}"/>
    <cellStyle name="Millares 8 9" xfId="4189" xr:uid="{81E3AE8C-4E11-4409-B088-F0C073FD8176}"/>
    <cellStyle name="Millares 8 9 2" xfId="5874" xr:uid="{E93143F7-6B88-4688-923B-CADCFAE2D4D9}"/>
    <cellStyle name="Millares 8 9 3" xfId="7551" xr:uid="{8D60DB3F-A428-4141-814A-ABD07AC410EA}"/>
    <cellStyle name="Millares 9" xfId="244" xr:uid="{00000000-0005-0000-0000-000051050000}"/>
    <cellStyle name="Millares 9 10" xfId="4608" xr:uid="{58D49F97-43AE-4E55-A25B-18DB6DB6E9C6}"/>
    <cellStyle name="Millares 9 11" xfId="6285" xr:uid="{FD921570-10E0-40F4-8876-97F410B0AC87}"/>
    <cellStyle name="Millares 9 2" xfId="245" xr:uid="{00000000-0005-0000-0000-000052050000}"/>
    <cellStyle name="Millares 9 2 10" xfId="6286" xr:uid="{5A074461-451A-47F7-B617-FA517643AD7D}"/>
    <cellStyle name="Millares 9 2 2" xfId="2914" xr:uid="{00000000-0005-0000-0000-000053050000}"/>
    <cellStyle name="Millares 9 2 2 2" xfId="3046" xr:uid="{00000000-0005-0000-0000-000054050000}"/>
    <cellStyle name="Millares 9 2 2 2 2" xfId="3244" xr:uid="{00000000-0005-0000-0000-000055050000}"/>
    <cellStyle name="Millares 9 2 2 2 2 2" xfId="3637" xr:uid="{00000000-0005-0000-0000-000056050000}"/>
    <cellStyle name="Millares 9 2 2 2 2 2 2" xfId="5341" xr:uid="{5D23B3CD-1AD4-4DD4-A3F0-9CD19E6DF354}"/>
    <cellStyle name="Millares 9 2 2 2 2 2 3" xfId="7018" xr:uid="{0F7F28EE-783A-4A47-8282-B9D80CDDD925}"/>
    <cellStyle name="Millares 9 2 2 2 2 3" xfId="4032" xr:uid="{00000000-0005-0000-0000-000057050000}"/>
    <cellStyle name="Millares 9 2 2 2 2 3 2" xfId="5730" xr:uid="{CC72C7AA-EBCD-44FC-91F8-C73C277232C7}"/>
    <cellStyle name="Millares 9 2 2 2 2 3 3" xfId="7407" xr:uid="{10E30B65-93C0-4381-90B9-1EBA2B80FB20}"/>
    <cellStyle name="Millares 9 2 2 2 2 4" xfId="4539" xr:uid="{2EFE6181-0BB7-4121-9F3F-244A298F2B09}"/>
    <cellStyle name="Millares 9 2 2 2 2 4 2" xfId="6220" xr:uid="{43BD3F02-E83C-4657-A8F1-B65C612BFB51}"/>
    <cellStyle name="Millares 9 2 2 2 2 4 3" xfId="7897" xr:uid="{457BE5CC-AFAC-4594-A9BE-076B2629C99F}"/>
    <cellStyle name="Millares 9 2 2 2 2 5" xfId="4953" xr:uid="{FE93E11E-3BF4-470F-8FC8-448D45EF2B61}"/>
    <cellStyle name="Millares 9 2 2 2 2 6" xfId="6630" xr:uid="{20EFB899-4880-47E8-9AC5-94B87841BE92}"/>
    <cellStyle name="Millares 9 2 2 2 3" xfId="3443" xr:uid="{00000000-0005-0000-0000-000058050000}"/>
    <cellStyle name="Millares 9 2 2 2 3 2" xfId="5147" xr:uid="{74DC4D64-61E6-48A7-8703-7006BFA697B1}"/>
    <cellStyle name="Millares 9 2 2 2 3 3" xfId="6824" xr:uid="{A5F4CD27-C609-4AC0-8C74-CE2823B8592D}"/>
    <cellStyle name="Millares 9 2 2 2 4" xfId="3838" xr:uid="{00000000-0005-0000-0000-000059050000}"/>
    <cellStyle name="Millares 9 2 2 2 4 2" xfId="5536" xr:uid="{65D6FB3F-15EB-4448-93A7-3F5E103E9924}"/>
    <cellStyle name="Millares 9 2 2 2 4 3" xfId="7213" xr:uid="{DC00BDAA-8DF4-4A84-BE19-C4BC097DB8EB}"/>
    <cellStyle name="Millares 9 2 2 2 5" xfId="4345" xr:uid="{6D40F7CC-612B-4BE8-81EE-51711D036C05}"/>
    <cellStyle name="Millares 9 2 2 2 5 2" xfId="6026" xr:uid="{FDD961D5-4B4A-46F4-8A0E-6DBEF649672E}"/>
    <cellStyle name="Millares 9 2 2 2 5 3" xfId="7703" xr:uid="{80FFE943-60FB-4DCB-9D53-0DDED2944070}"/>
    <cellStyle name="Millares 9 2 2 2 6" xfId="4759" xr:uid="{3FDC475E-C9F7-4593-AE27-39F480501122}"/>
    <cellStyle name="Millares 9 2 2 2 7" xfId="6436" xr:uid="{3858F5CE-CFEC-4FF6-9074-F70F12B5E87D}"/>
    <cellStyle name="Millares 9 2 2 3" xfId="3146" xr:uid="{00000000-0005-0000-0000-00005A050000}"/>
    <cellStyle name="Millares 9 2 2 3 2" xfId="3539" xr:uid="{00000000-0005-0000-0000-00005B050000}"/>
    <cellStyle name="Millares 9 2 2 3 2 2" xfId="5243" xr:uid="{DC2482DD-C44A-4176-92F1-14F3F76984E3}"/>
    <cellStyle name="Millares 9 2 2 3 2 3" xfId="6920" xr:uid="{68BCCEAB-1CFE-40CB-A8C5-BF661382B6AC}"/>
    <cellStyle name="Millares 9 2 2 3 3" xfId="3934" xr:uid="{00000000-0005-0000-0000-00005C050000}"/>
    <cellStyle name="Millares 9 2 2 3 3 2" xfId="5632" xr:uid="{B0E4E14C-99AE-49E9-8C24-4C82C1DF2DCB}"/>
    <cellStyle name="Millares 9 2 2 3 3 3" xfId="7309" xr:uid="{8551475E-5300-4188-A9E8-C4DDD041E79D}"/>
    <cellStyle name="Millares 9 2 2 3 4" xfId="4441" xr:uid="{FCBC2474-1517-4120-90C2-B89DCAE0CE8E}"/>
    <cellStyle name="Millares 9 2 2 3 4 2" xfId="6122" xr:uid="{83DE921B-DFB4-4E20-AD3D-100F26B3779B}"/>
    <cellStyle name="Millares 9 2 2 3 4 3" xfId="7799" xr:uid="{AFB8B27E-3468-43E8-8472-BB82404D4AAC}"/>
    <cellStyle name="Millares 9 2 2 3 5" xfId="4855" xr:uid="{E82F6469-950A-4ED6-8773-BB89469D2F4F}"/>
    <cellStyle name="Millares 9 2 2 3 6" xfId="6532" xr:uid="{9502D4E7-8B8D-4517-AD0A-34C08578185E}"/>
    <cellStyle name="Millares 9 2 2 4" xfId="3345" xr:uid="{00000000-0005-0000-0000-00005D050000}"/>
    <cellStyle name="Millares 9 2 2 4 2" xfId="5049" xr:uid="{09E88291-E400-48C3-B776-8CC7F9232286}"/>
    <cellStyle name="Millares 9 2 2 4 3" xfId="6726" xr:uid="{B1B506DC-DCE5-4DE9-9544-28DBB032CBA6}"/>
    <cellStyle name="Millares 9 2 2 5" xfId="3740" xr:uid="{00000000-0005-0000-0000-00005E050000}"/>
    <cellStyle name="Millares 9 2 2 5 2" xfId="5438" xr:uid="{22B5105C-95CE-44E1-AAF7-3F6C4652215D}"/>
    <cellStyle name="Millares 9 2 2 5 3" xfId="7115" xr:uid="{735059A3-0F57-4E6A-B13C-C00A2E1E16FE}"/>
    <cellStyle name="Millares 9 2 2 6" xfId="4138" xr:uid="{00000000-0005-0000-0000-00005F050000}"/>
    <cellStyle name="Millares 9 2 2 6 2" xfId="5830" xr:uid="{A3ABE7F3-8067-4EB1-B637-F9DDE5A5B6D5}"/>
    <cellStyle name="Millares 9 2 2 6 3" xfId="7507" xr:uid="{5878BCC5-7B75-4683-9FF9-CB43DB15AC47}"/>
    <cellStyle name="Millares 9 2 2 7" xfId="4247" xr:uid="{11E723E7-DDA4-40D3-A56F-9F21C0EC87B1}"/>
    <cellStyle name="Millares 9 2 2 7 2" xfId="5928" xr:uid="{9599139F-9128-42EE-9A62-EEAF327D2642}"/>
    <cellStyle name="Millares 9 2 2 7 3" xfId="7605" xr:uid="{DDBBDC99-B7F4-4204-88C5-B1727A77B95C}"/>
    <cellStyle name="Millares 9 2 2 8" xfId="4661" xr:uid="{5409C14C-D57F-4A34-90DC-E1EFE1955523}"/>
    <cellStyle name="Millares 9 2 2 9" xfId="6338" xr:uid="{C05750C5-5AB2-4B36-AC16-E4F58D962357}"/>
    <cellStyle name="Millares 9 2 3" xfId="2991" xr:uid="{00000000-0005-0000-0000-000060050000}"/>
    <cellStyle name="Millares 9 2 3 2" xfId="3193" xr:uid="{00000000-0005-0000-0000-000061050000}"/>
    <cellStyle name="Millares 9 2 3 2 2" xfId="3586" xr:uid="{00000000-0005-0000-0000-000062050000}"/>
    <cellStyle name="Millares 9 2 3 2 2 2" xfId="5290" xr:uid="{E26FECC6-6498-46D3-86BE-F6D39025C92C}"/>
    <cellStyle name="Millares 9 2 3 2 2 3" xfId="6967" xr:uid="{6A257FD9-F6F9-4930-B80C-1A24D83D304B}"/>
    <cellStyle name="Millares 9 2 3 2 3" xfId="3981" xr:uid="{00000000-0005-0000-0000-000063050000}"/>
    <cellStyle name="Millares 9 2 3 2 3 2" xfId="5679" xr:uid="{F8F11FE4-A6DB-49DF-A2D9-318B7CB9CC15}"/>
    <cellStyle name="Millares 9 2 3 2 3 3" xfId="7356" xr:uid="{DEBBF5CC-2AC7-41FC-B4EA-50A0CD64141E}"/>
    <cellStyle name="Millares 9 2 3 2 4" xfId="4488" xr:uid="{D45D619E-903D-4164-9C6C-8EC203C3C7DF}"/>
    <cellStyle name="Millares 9 2 3 2 4 2" xfId="6169" xr:uid="{5722B22C-2A49-4618-884C-627F999D1A70}"/>
    <cellStyle name="Millares 9 2 3 2 4 3" xfId="7846" xr:uid="{FFD5D34A-C210-4EE2-B270-8BBEC5F86794}"/>
    <cellStyle name="Millares 9 2 3 2 5" xfId="4902" xr:uid="{BE1E9EF2-3077-48C6-B6C5-D61E2DDE8B2B}"/>
    <cellStyle name="Millares 9 2 3 2 6" xfId="6579" xr:uid="{BBC5390A-BDA4-40E8-9781-C42985357E8E}"/>
    <cellStyle name="Millares 9 2 3 3" xfId="3392" xr:uid="{00000000-0005-0000-0000-000064050000}"/>
    <cellStyle name="Millares 9 2 3 3 2" xfId="5096" xr:uid="{C9BE26D9-FD2B-45A1-993D-E1018910DBF4}"/>
    <cellStyle name="Millares 9 2 3 3 3" xfId="6773" xr:uid="{3DDC6BBD-F48B-4DA3-B820-E982060B0879}"/>
    <cellStyle name="Millares 9 2 3 4" xfId="3787" xr:uid="{00000000-0005-0000-0000-000065050000}"/>
    <cellStyle name="Millares 9 2 3 4 2" xfId="5485" xr:uid="{C2CC7821-F468-40FE-82BF-172174A64C5B}"/>
    <cellStyle name="Millares 9 2 3 4 3" xfId="7162" xr:uid="{7B1182F5-31FB-4F47-BE56-AF5E978D54B1}"/>
    <cellStyle name="Millares 9 2 3 5" xfId="4294" xr:uid="{C35F44D3-50A1-48EC-8014-42F0D0139E70}"/>
    <cellStyle name="Millares 9 2 3 5 2" xfId="5975" xr:uid="{247A6D56-A38F-450B-89D4-89CC51BAF0F5}"/>
    <cellStyle name="Millares 9 2 3 5 3" xfId="7652" xr:uid="{ED1986BE-81D5-4C5F-A81D-8D9CDB0BA47E}"/>
    <cellStyle name="Millares 9 2 3 6" xfId="4708" xr:uid="{357DE994-B8A0-4CE1-B279-4E7C8ACCD070}"/>
    <cellStyle name="Millares 9 2 3 7" xfId="6385" xr:uid="{2F02B702-B7A0-4271-BD11-6FEF9542D28A}"/>
    <cellStyle name="Millares 9 2 4" xfId="3097" xr:uid="{00000000-0005-0000-0000-000066050000}"/>
    <cellStyle name="Millares 9 2 4 2" xfId="3490" xr:uid="{00000000-0005-0000-0000-000067050000}"/>
    <cellStyle name="Millares 9 2 4 2 2" xfId="5194" xr:uid="{D57D0518-9A59-4C86-9C2C-ED20C252E531}"/>
    <cellStyle name="Millares 9 2 4 2 3" xfId="6871" xr:uid="{F44358C2-F057-4E21-ADF1-D124CC2179DF}"/>
    <cellStyle name="Millares 9 2 4 3" xfId="3885" xr:uid="{00000000-0005-0000-0000-000068050000}"/>
    <cellStyle name="Millares 9 2 4 3 2" xfId="5583" xr:uid="{A3108D46-9A00-41B1-9255-0C75EDEDF98C}"/>
    <cellStyle name="Millares 9 2 4 3 3" xfId="7260" xr:uid="{FB6442AA-DAAF-4416-86E6-A6E9C91A9B9B}"/>
    <cellStyle name="Millares 9 2 4 4" xfId="4392" xr:uid="{486DC6B0-D50E-4635-BFB3-3FF0A3A49672}"/>
    <cellStyle name="Millares 9 2 4 4 2" xfId="6073" xr:uid="{37012C74-6536-4F05-B48C-EA8FD6A247A5}"/>
    <cellStyle name="Millares 9 2 4 4 3" xfId="7750" xr:uid="{EC04B703-E9D7-45F3-89BA-F52384C20367}"/>
    <cellStyle name="Millares 9 2 4 5" xfId="4806" xr:uid="{603374E1-16AD-4A95-ACED-0B1545D51459}"/>
    <cellStyle name="Millares 9 2 4 6" xfId="6483" xr:uid="{FF9D4F6E-CB5D-49CD-A86D-826410FAE141}"/>
    <cellStyle name="Millares 9 2 5" xfId="3295" xr:uid="{00000000-0005-0000-0000-000069050000}"/>
    <cellStyle name="Millares 9 2 5 2" xfId="5000" xr:uid="{DE176B39-7351-46E2-A96E-7989CEBC5D74}"/>
    <cellStyle name="Millares 9 2 5 3" xfId="6677" xr:uid="{62971720-F2D4-42B1-A8E4-953273299114}"/>
    <cellStyle name="Millares 9 2 6" xfId="3689" xr:uid="{00000000-0005-0000-0000-00006A050000}"/>
    <cellStyle name="Millares 9 2 6 2" xfId="5388" xr:uid="{13B203E2-922A-4D86-9D6D-2F57A8243552}"/>
    <cellStyle name="Millares 9 2 6 3" xfId="7065" xr:uid="{3842531C-BD70-41CC-8679-6FB0DBB61628}"/>
    <cellStyle name="Millares 9 2 7" xfId="4087" xr:uid="{00000000-0005-0000-0000-00006B050000}"/>
    <cellStyle name="Millares 9 2 7 2" xfId="5779" xr:uid="{926712B6-1319-4543-90E3-92FE698ADB8C}"/>
    <cellStyle name="Millares 9 2 7 3" xfId="7456" xr:uid="{44E61E76-79C0-4596-B23F-6DAA8F9A4F7F}"/>
    <cellStyle name="Millares 9 2 8" xfId="4192" xr:uid="{4FB148F3-2E77-42BE-99F3-A4E34F5417DF}"/>
    <cellStyle name="Millares 9 2 8 2" xfId="5877" xr:uid="{77ED9611-2C78-4892-B731-1F300031418C}"/>
    <cellStyle name="Millares 9 2 8 3" xfId="7554" xr:uid="{B194A818-4839-44ED-B95B-2B7CDD2DBFF3}"/>
    <cellStyle name="Millares 9 2 9" xfId="4609" xr:uid="{D53557F2-034C-42A2-BF73-52503B7C2C4E}"/>
    <cellStyle name="Millares 9 3" xfId="2913" xr:uid="{00000000-0005-0000-0000-00006C050000}"/>
    <cellStyle name="Millares 9 3 2" xfId="3045" xr:uid="{00000000-0005-0000-0000-00006D050000}"/>
    <cellStyle name="Millares 9 3 2 2" xfId="3243" xr:uid="{00000000-0005-0000-0000-00006E050000}"/>
    <cellStyle name="Millares 9 3 2 2 2" xfId="3636" xr:uid="{00000000-0005-0000-0000-00006F050000}"/>
    <cellStyle name="Millares 9 3 2 2 2 2" xfId="5340" xr:uid="{58EBF6FA-023E-4195-B422-4A4A0473A93A}"/>
    <cellStyle name="Millares 9 3 2 2 2 3" xfId="7017" xr:uid="{52020B20-B0F0-415F-B348-AB00CA95231F}"/>
    <cellStyle name="Millares 9 3 2 2 3" xfId="4031" xr:uid="{00000000-0005-0000-0000-000070050000}"/>
    <cellStyle name="Millares 9 3 2 2 3 2" xfId="5729" xr:uid="{9F1CF3D5-0BFD-48B5-9916-C996EC3A7EDD}"/>
    <cellStyle name="Millares 9 3 2 2 3 3" xfId="7406" xr:uid="{1E6B024D-42A6-4E42-9754-02B93EA41897}"/>
    <cellStyle name="Millares 9 3 2 2 4" xfId="4538" xr:uid="{082B04D0-0F4F-46EC-8654-AB4C0596E16E}"/>
    <cellStyle name="Millares 9 3 2 2 4 2" xfId="6219" xr:uid="{07895842-EE5D-4970-A7DF-4B0B2D7FED19}"/>
    <cellStyle name="Millares 9 3 2 2 4 3" xfId="7896" xr:uid="{6E18BF95-6928-4FFE-9DAD-2095A85C63CC}"/>
    <cellStyle name="Millares 9 3 2 2 5" xfId="4952" xr:uid="{9907039F-A7FA-4ED1-852C-912DCA7A7638}"/>
    <cellStyle name="Millares 9 3 2 2 6" xfId="6629" xr:uid="{9B24B5AC-24EC-4BC4-B918-C0C62CE7631E}"/>
    <cellStyle name="Millares 9 3 2 3" xfId="3442" xr:uid="{00000000-0005-0000-0000-000071050000}"/>
    <cellStyle name="Millares 9 3 2 3 2" xfId="5146" xr:uid="{F1318E39-4E5F-49D6-888F-6B4F9F8BA4DF}"/>
    <cellStyle name="Millares 9 3 2 3 3" xfId="6823" xr:uid="{E6F1214E-BD5C-4DBD-9246-CD797B0B1C65}"/>
    <cellStyle name="Millares 9 3 2 4" xfId="3837" xr:uid="{00000000-0005-0000-0000-000072050000}"/>
    <cellStyle name="Millares 9 3 2 4 2" xfId="5535" xr:uid="{B11DA0ED-462B-407D-9C36-A25D6DEFFB59}"/>
    <cellStyle name="Millares 9 3 2 4 3" xfId="7212" xr:uid="{2DDD5A89-48BA-4E54-B529-E69EBFE48C4A}"/>
    <cellStyle name="Millares 9 3 2 5" xfId="4344" xr:uid="{FD901114-536B-487A-8836-8340994AD8A3}"/>
    <cellStyle name="Millares 9 3 2 5 2" xfId="6025" xr:uid="{D61B54DF-D203-4D70-B781-59B4578FCFB6}"/>
    <cellStyle name="Millares 9 3 2 5 3" xfId="7702" xr:uid="{F36C9D2F-BCB1-49FE-8FF5-E8124C0BCF1B}"/>
    <cellStyle name="Millares 9 3 2 6" xfId="4758" xr:uid="{45B2DC98-B38E-41D0-969B-22D75E97187D}"/>
    <cellStyle name="Millares 9 3 2 7" xfId="6435" xr:uid="{93162BB6-FDAA-4B93-9E7A-8D88F65B3B86}"/>
    <cellStyle name="Millares 9 3 3" xfId="3145" xr:uid="{00000000-0005-0000-0000-000073050000}"/>
    <cellStyle name="Millares 9 3 3 2" xfId="3538" xr:uid="{00000000-0005-0000-0000-000074050000}"/>
    <cellStyle name="Millares 9 3 3 2 2" xfId="5242" xr:uid="{7A2FECC3-6F45-402F-A450-12DB20D56F43}"/>
    <cellStyle name="Millares 9 3 3 2 3" xfId="6919" xr:uid="{A0A2CFA3-7B22-4F82-A302-E866B73C2BFD}"/>
    <cellStyle name="Millares 9 3 3 3" xfId="3933" xr:uid="{00000000-0005-0000-0000-000075050000}"/>
    <cellStyle name="Millares 9 3 3 3 2" xfId="5631" xr:uid="{FBFB4B36-491D-46B1-AC87-3D90CB4624CB}"/>
    <cellStyle name="Millares 9 3 3 3 3" xfId="7308" xr:uid="{D13AD50B-FCA0-4953-A771-D2ED033E8B91}"/>
    <cellStyle name="Millares 9 3 3 4" xfId="4440" xr:uid="{D6E49EA9-31BF-4B9B-BCC1-B42411B61955}"/>
    <cellStyle name="Millares 9 3 3 4 2" xfId="6121" xr:uid="{2B563BA7-449C-4803-917B-4E808687892C}"/>
    <cellStyle name="Millares 9 3 3 4 3" xfId="7798" xr:uid="{A70D37E1-A9D8-4168-96F4-B95A278F3984}"/>
    <cellStyle name="Millares 9 3 3 5" xfId="4854" xr:uid="{3E2DEF78-8857-4FD8-82AD-293AD9E7EB9B}"/>
    <cellStyle name="Millares 9 3 3 6" xfId="6531" xr:uid="{3BE2B6E4-A7AE-4787-8EBF-798EE437140D}"/>
    <cellStyle name="Millares 9 3 4" xfId="3344" xr:uid="{00000000-0005-0000-0000-000076050000}"/>
    <cellStyle name="Millares 9 3 4 2" xfId="5048" xr:uid="{9A2B39B7-6647-4B7C-B362-4F69FC978487}"/>
    <cellStyle name="Millares 9 3 4 3" xfId="6725" xr:uid="{84B4C4F4-765A-4448-8E45-1C65C02529CD}"/>
    <cellStyle name="Millares 9 3 5" xfId="3739" xr:uid="{00000000-0005-0000-0000-000077050000}"/>
    <cellStyle name="Millares 9 3 5 2" xfId="5437" xr:uid="{64133AB2-CE7E-4FF4-8121-7AB24C2D2F8F}"/>
    <cellStyle name="Millares 9 3 5 3" xfId="7114" xr:uid="{F15FD7BD-0947-4652-BB4F-378F04502DD4}"/>
    <cellStyle name="Millares 9 3 6" xfId="4137" xr:uid="{00000000-0005-0000-0000-000078050000}"/>
    <cellStyle name="Millares 9 3 6 2" xfId="5829" xr:uid="{44748A1C-C240-40F5-AF39-BCDAF07467DA}"/>
    <cellStyle name="Millares 9 3 6 3" xfId="7506" xr:uid="{800F1F3F-2A4E-42E4-9884-921BC7828A3C}"/>
    <cellStyle name="Millares 9 3 7" xfId="4246" xr:uid="{60122E5C-C399-4E2B-AADE-AEBD923A7AA1}"/>
    <cellStyle name="Millares 9 3 7 2" xfId="5927" xr:uid="{A6C53DF4-FA38-4964-955D-CEC89F558122}"/>
    <cellStyle name="Millares 9 3 7 3" xfId="7604" xr:uid="{0700DEF0-E804-4C96-9BB8-4BC681102139}"/>
    <cellStyle name="Millares 9 3 8" xfId="4660" xr:uid="{6F0C5C95-40F3-47D4-B145-6C840A60568D}"/>
    <cellStyle name="Millares 9 3 9" xfId="6337" xr:uid="{CECE8A96-2BCA-482E-97F0-5DAEA2AC78A4}"/>
    <cellStyle name="Millares 9 4" xfId="2990" xr:uid="{00000000-0005-0000-0000-000079050000}"/>
    <cellStyle name="Millares 9 4 2" xfId="3192" xr:uid="{00000000-0005-0000-0000-00007A050000}"/>
    <cellStyle name="Millares 9 4 2 2" xfId="3585" xr:uid="{00000000-0005-0000-0000-00007B050000}"/>
    <cellStyle name="Millares 9 4 2 2 2" xfId="5289" xr:uid="{6187B419-8DD0-4549-A1A7-8262B8A6A3F8}"/>
    <cellStyle name="Millares 9 4 2 2 3" xfId="6966" xr:uid="{A62BF3DD-97CB-4E5C-BA86-0747AB9CC630}"/>
    <cellStyle name="Millares 9 4 2 3" xfId="3980" xr:uid="{00000000-0005-0000-0000-00007C050000}"/>
    <cellStyle name="Millares 9 4 2 3 2" xfId="5678" xr:uid="{1A7BC524-50CF-48F7-A018-8D6A765E356D}"/>
    <cellStyle name="Millares 9 4 2 3 3" xfId="7355" xr:uid="{ADAF0DA9-A0C2-4B9A-8C9D-B856DEB84988}"/>
    <cellStyle name="Millares 9 4 2 4" xfId="4487" xr:uid="{84036459-BEBD-4D2E-888B-3FEA68D90022}"/>
    <cellStyle name="Millares 9 4 2 4 2" xfId="6168" xr:uid="{9B05792E-5539-4084-A65B-5DBFC419C2D5}"/>
    <cellStyle name="Millares 9 4 2 4 3" xfId="7845" xr:uid="{A132291D-3A99-4868-96FE-4C29F5AD815F}"/>
    <cellStyle name="Millares 9 4 2 5" xfId="4901" xr:uid="{D984A02A-63E3-4A9B-83D7-AC981C517007}"/>
    <cellStyle name="Millares 9 4 2 6" xfId="6578" xr:uid="{1A468D59-A312-4D8F-9BAA-C041E8D1D549}"/>
    <cellStyle name="Millares 9 4 3" xfId="3391" xr:uid="{00000000-0005-0000-0000-00007D050000}"/>
    <cellStyle name="Millares 9 4 3 2" xfId="5095" xr:uid="{A4E318DE-7FBC-42C0-85B2-14AA9CFB9D51}"/>
    <cellStyle name="Millares 9 4 3 3" xfId="6772" xr:uid="{CFDB1366-343B-4843-A59A-3298A99AE101}"/>
    <cellStyle name="Millares 9 4 4" xfId="3786" xr:uid="{00000000-0005-0000-0000-00007E050000}"/>
    <cellStyle name="Millares 9 4 4 2" xfId="5484" xr:uid="{6E74A520-ABFA-4966-B3DF-7F70FF5896F9}"/>
    <cellStyle name="Millares 9 4 4 3" xfId="7161" xr:uid="{FFF27E68-7592-411C-917B-BEB0BC11F280}"/>
    <cellStyle name="Millares 9 4 5" xfId="4293" xr:uid="{20102460-B33E-4747-A44A-499AD729F24F}"/>
    <cellStyle name="Millares 9 4 5 2" xfId="5974" xr:uid="{86A49C2C-2690-4FB1-B8D9-5594F000D691}"/>
    <cellStyle name="Millares 9 4 5 3" xfId="7651" xr:uid="{BADC4A6D-FE6A-4B48-8D17-06D394391C0A}"/>
    <cellStyle name="Millares 9 4 6" xfId="4707" xr:uid="{1D2D2700-152E-40E3-81CC-13886E22AD29}"/>
    <cellStyle name="Millares 9 4 7" xfId="6384" xr:uid="{ECFDC14A-C358-4D6F-88FF-4BD8B3365370}"/>
    <cellStyle name="Millares 9 5" xfId="3096" xr:uid="{00000000-0005-0000-0000-00007F050000}"/>
    <cellStyle name="Millares 9 5 2" xfId="3489" xr:uid="{00000000-0005-0000-0000-000080050000}"/>
    <cellStyle name="Millares 9 5 2 2" xfId="5193" xr:uid="{470C6454-CE3A-4E9B-B80F-9A2FEC870F97}"/>
    <cellStyle name="Millares 9 5 2 3" xfId="6870" xr:uid="{51949F73-9333-4C2F-98C2-34F713E22A35}"/>
    <cellStyle name="Millares 9 5 3" xfId="3884" xr:uid="{00000000-0005-0000-0000-000081050000}"/>
    <cellStyle name="Millares 9 5 3 2" xfId="5582" xr:uid="{85E0E370-32D3-4324-9807-5F1CA1081919}"/>
    <cellStyle name="Millares 9 5 3 3" xfId="7259" xr:uid="{08CFA8DD-1CD7-47C2-B36D-492820CB2FE5}"/>
    <cellStyle name="Millares 9 5 4" xfId="4391" xr:uid="{4E33137E-8861-4F14-812C-997419DECDF0}"/>
    <cellStyle name="Millares 9 5 4 2" xfId="6072" xr:uid="{E35CDC3F-6625-456E-822C-56C3A3E01344}"/>
    <cellStyle name="Millares 9 5 4 3" xfId="7749" xr:uid="{B45347B1-78E8-4DED-A0D2-3A4DD4C96EC3}"/>
    <cellStyle name="Millares 9 5 5" xfId="4805" xr:uid="{D90F1230-35F4-434A-87D4-5395D6CAD89D}"/>
    <cellStyle name="Millares 9 5 6" xfId="6482" xr:uid="{EB9B0D33-9F9F-417D-9E8E-00DE7DF19953}"/>
    <cellStyle name="Millares 9 6" xfId="3294" xr:uid="{00000000-0005-0000-0000-000082050000}"/>
    <cellStyle name="Millares 9 6 2" xfId="4999" xr:uid="{86FFCEE8-810C-4DE3-BB83-7DA199445A98}"/>
    <cellStyle name="Millares 9 6 3" xfId="6676" xr:uid="{0118CE8D-EC6D-4907-9750-117F9D7D82D6}"/>
    <cellStyle name="Millares 9 7" xfId="3688" xr:uid="{00000000-0005-0000-0000-000083050000}"/>
    <cellStyle name="Millares 9 7 2" xfId="5387" xr:uid="{FBC8E5F7-950D-47AE-BE15-B27A45018892}"/>
    <cellStyle name="Millares 9 7 3" xfId="7064" xr:uid="{C5679A9D-153F-4C18-9D85-123E36117653}"/>
    <cellStyle name="Millares 9 8" xfId="4086" xr:uid="{00000000-0005-0000-0000-000084050000}"/>
    <cellStyle name="Millares 9 8 2" xfId="5778" xr:uid="{8DA461F2-13E3-4042-BD17-074A55259EBD}"/>
    <cellStyle name="Millares 9 8 3" xfId="7455" xr:uid="{84499A3F-2FA2-497A-A19A-A3266E85840F}"/>
    <cellStyle name="Millares 9 9" xfId="4191" xr:uid="{85EAC5EE-74DC-46A0-AD1B-34FFFE9547BF}"/>
    <cellStyle name="Millares 9 9 2" xfId="5876" xr:uid="{59335630-FDE5-4788-B3B3-F81FB5FBADC0}"/>
    <cellStyle name="Millares 9 9 3" xfId="7553" xr:uid="{F758453F-4CB5-499B-B587-ABC4A93A3E85}"/>
    <cellStyle name="Moneda" xfId="9" builtinId="4"/>
    <cellStyle name="Moneda [0]" xfId="2866" builtinId="7"/>
    <cellStyle name="Moneda [0] 10" xfId="3002" xr:uid="{00000000-0005-0000-0000-000087050000}"/>
    <cellStyle name="Moneda [0] 10 2" xfId="3200" xr:uid="{00000000-0005-0000-0000-000088050000}"/>
    <cellStyle name="Moneda [0] 10 2 2" xfId="3593" xr:uid="{00000000-0005-0000-0000-000089050000}"/>
    <cellStyle name="Moneda [0] 10 2 2 2" xfId="5297" xr:uid="{18D2B051-5C02-4F82-801F-446A7DAD464A}"/>
    <cellStyle name="Moneda [0] 10 2 2 3" xfId="6974" xr:uid="{27DE03FF-6727-4E40-8854-B1589B92639E}"/>
    <cellStyle name="Moneda [0] 10 2 3" xfId="3988" xr:uid="{00000000-0005-0000-0000-00008A050000}"/>
    <cellStyle name="Moneda [0] 10 2 3 2" xfId="5686" xr:uid="{B7EAA6D9-7D98-4CFE-A9B9-F68ED4436A31}"/>
    <cellStyle name="Moneda [0] 10 2 3 3" xfId="7363" xr:uid="{3D465890-F6C6-494E-8322-F25A98D898A6}"/>
    <cellStyle name="Moneda [0] 10 2 4" xfId="4495" xr:uid="{3FA1A9E4-9D93-4624-BC4E-F2F219E0708F}"/>
    <cellStyle name="Moneda [0] 10 2 4 2" xfId="6176" xr:uid="{845A56D0-18EB-496E-AC00-A7411FB28752}"/>
    <cellStyle name="Moneda [0] 10 2 4 3" xfId="7853" xr:uid="{A5A5F6FB-73C3-4AB0-B6F0-7BFD25C7FE17}"/>
    <cellStyle name="Moneda [0] 10 2 5" xfId="4909" xr:uid="{01CDE0CF-609A-4C87-8F07-7E13A7D0A3C2}"/>
    <cellStyle name="Moneda [0] 10 2 6" xfId="6586" xr:uid="{4440516A-52D1-44F2-8331-62E3F105FD21}"/>
    <cellStyle name="Moneda [0] 10 3" xfId="3399" xr:uid="{00000000-0005-0000-0000-00008B050000}"/>
    <cellStyle name="Moneda [0] 10 3 2" xfId="5103" xr:uid="{FB2D0030-B61C-4850-8AE1-C50C2118B876}"/>
    <cellStyle name="Moneda [0] 10 3 3" xfId="6780" xr:uid="{765E9A09-D30A-4DB3-A087-B8D200316F5D}"/>
    <cellStyle name="Moneda [0] 10 4" xfId="3794" xr:uid="{00000000-0005-0000-0000-00008C050000}"/>
    <cellStyle name="Moneda [0] 10 4 2" xfId="5492" xr:uid="{637806CF-525A-45AB-8D07-9523ECAD5A17}"/>
    <cellStyle name="Moneda [0] 10 4 3" xfId="7169" xr:uid="{07316D50-40CE-4A91-965E-DE7DBF7DEFC3}"/>
    <cellStyle name="Moneda [0] 10 5" xfId="4301" xr:uid="{808BEE4E-C3C4-4E66-9600-823B3FCCEB81}"/>
    <cellStyle name="Moneda [0] 10 5 2" xfId="5982" xr:uid="{BF7F83D3-FDE1-411A-8029-A7BD2CE74FBC}"/>
    <cellStyle name="Moneda [0] 10 5 3" xfId="7659" xr:uid="{3F3D8B7A-2CB3-409B-AACA-287EE96B1575}"/>
    <cellStyle name="Moneda [0] 10 6" xfId="4715" xr:uid="{3A54AB02-56EA-4002-B739-EFBF335D760B}"/>
    <cellStyle name="Moneda [0] 10 7" xfId="6392" xr:uid="{8310706F-260F-4700-8DDF-E512DABBF223}"/>
    <cellStyle name="Moneda [0] 11" xfId="3102" xr:uid="{00000000-0005-0000-0000-00008D050000}"/>
    <cellStyle name="Moneda [0] 11 2" xfId="3495" xr:uid="{00000000-0005-0000-0000-00008E050000}"/>
    <cellStyle name="Moneda [0] 11 2 2" xfId="5199" xr:uid="{231DA5F5-3C57-4653-AEF1-E7784AD0E016}"/>
    <cellStyle name="Moneda [0] 11 2 3" xfId="6876" xr:uid="{89DD2CD9-5FBC-432E-A500-866340A68FAF}"/>
    <cellStyle name="Moneda [0] 11 3" xfId="3890" xr:uid="{00000000-0005-0000-0000-00008F050000}"/>
    <cellStyle name="Moneda [0] 11 3 2" xfId="5588" xr:uid="{AFE4CC6F-6F51-4B83-A222-CFD521E249F0}"/>
    <cellStyle name="Moneda [0] 11 3 3" xfId="7265" xr:uid="{7E6B7836-8645-4F78-9A97-AD304D4310CD}"/>
    <cellStyle name="Moneda [0] 11 4" xfId="4397" xr:uid="{F110497B-68FB-4DF7-86AC-26D99D6E460B}"/>
    <cellStyle name="Moneda [0] 11 4 2" xfId="6078" xr:uid="{7824B682-FC64-4407-AC34-C19C97F27AE0}"/>
    <cellStyle name="Moneda [0] 11 4 3" xfId="7755" xr:uid="{E8B187F1-1F0D-445D-B20A-10BE1CB7628B}"/>
    <cellStyle name="Moneda [0] 11 5" xfId="4811" xr:uid="{F6F32068-A72A-4D2E-BDF9-9D9D9BBD56C9}"/>
    <cellStyle name="Moneda [0] 11 6" xfId="6488" xr:uid="{D5DB4045-E5D4-4CAB-A491-383F1FF2DE21}"/>
    <cellStyle name="Moneda [0] 12" xfId="3301" xr:uid="{00000000-0005-0000-0000-000090050000}"/>
    <cellStyle name="Moneda [0] 12 2" xfId="5005" xr:uid="{8B281543-8BDA-4CEF-A4D7-85F7DDE2554A}"/>
    <cellStyle name="Moneda [0] 12 3" xfId="6682" xr:uid="{A54E236E-693B-406E-B288-2D5B037E69A4}"/>
    <cellStyle name="Moneda [0] 13" xfId="3696" xr:uid="{00000000-0005-0000-0000-000091050000}"/>
    <cellStyle name="Moneda [0] 13 2" xfId="5394" xr:uid="{42DC2E82-9DA9-45A5-93D6-B84F61B92DE8}"/>
    <cellStyle name="Moneda [0] 13 3" xfId="7071" xr:uid="{A477854F-C2F9-4BC5-A65E-344CF5DBC551}"/>
    <cellStyle name="Moneda [0] 14" xfId="4094" xr:uid="{00000000-0005-0000-0000-000092050000}"/>
    <cellStyle name="Moneda [0] 14 2" xfId="5786" xr:uid="{FEC5B12C-CD88-4A54-9177-282BB0D8FA3B}"/>
    <cellStyle name="Moneda [0] 14 3" xfId="7463" xr:uid="{961F4CFD-E609-4072-8FED-9E15B6247356}"/>
    <cellStyle name="Moneda [0] 15" xfId="4203" xr:uid="{5CEB3077-9EA2-4B10-978E-212C74EBD981}"/>
    <cellStyle name="Moneda [0] 15 2" xfId="5884" xr:uid="{94BD7747-F029-4826-B25D-C1EEA811AD08}"/>
    <cellStyle name="Moneda [0] 15 3" xfId="7561" xr:uid="{25128689-1C6A-4C69-B71E-AB1309DB2705}"/>
    <cellStyle name="Moneda [0] 16" xfId="4617" xr:uid="{4FD50ABA-59A8-4B53-AC2D-965AC4C4A7F7}"/>
    <cellStyle name="Moneda [0] 17" xfId="6294" xr:uid="{BD35B95E-DED7-4C2A-925D-9365CABCBFB8}"/>
    <cellStyle name="Moneda [0] 2" xfId="246" xr:uid="{00000000-0005-0000-0000-000093050000}"/>
    <cellStyle name="Moneda [0] 2 2" xfId="247" xr:uid="{00000000-0005-0000-0000-000094050000}"/>
    <cellStyle name="Moneda [0] 2 2 2" xfId="248" xr:uid="{00000000-0005-0000-0000-000095050000}"/>
    <cellStyle name="Moneda [0] 2 2 2 2" xfId="249" xr:uid="{00000000-0005-0000-0000-000096050000}"/>
    <cellStyle name="Moneda [0] 2 2 2 2 2" xfId="2916" xr:uid="{00000000-0005-0000-0000-000097050000}"/>
    <cellStyle name="Moneda [0] 2 2 2 3" xfId="2915" xr:uid="{00000000-0005-0000-0000-000098050000}"/>
    <cellStyle name="Moneda [0] 2 2 3" xfId="250" xr:uid="{00000000-0005-0000-0000-000099050000}"/>
    <cellStyle name="Moneda [0] 2 2 3 2" xfId="2917" xr:uid="{00000000-0005-0000-0000-00009A050000}"/>
    <cellStyle name="Moneda [0] 2 2 4" xfId="251" xr:uid="{00000000-0005-0000-0000-00009B050000}"/>
    <cellStyle name="Moneda [0] 2 2 4 2" xfId="2918" xr:uid="{00000000-0005-0000-0000-00009C050000}"/>
    <cellStyle name="Moneda [0] 2 3" xfId="252" xr:uid="{00000000-0005-0000-0000-00009D050000}"/>
    <cellStyle name="Moneda [0] 2 3 2" xfId="253" xr:uid="{00000000-0005-0000-0000-00009E050000}"/>
    <cellStyle name="Moneda [0] 2 3 2 2" xfId="2920" xr:uid="{00000000-0005-0000-0000-00009F050000}"/>
    <cellStyle name="Moneda [0] 2 3 3" xfId="2919" xr:uid="{00000000-0005-0000-0000-0000A0050000}"/>
    <cellStyle name="Moneda [0] 2 4" xfId="254" xr:uid="{00000000-0005-0000-0000-0000A1050000}"/>
    <cellStyle name="Moneda [0] 2 4 2" xfId="2921" xr:uid="{00000000-0005-0000-0000-0000A2050000}"/>
    <cellStyle name="Moneda [0] 2 5" xfId="255" xr:uid="{00000000-0005-0000-0000-0000A3050000}"/>
    <cellStyle name="Moneda [0] 2 5 2" xfId="2922" xr:uid="{00000000-0005-0000-0000-0000A4050000}"/>
    <cellStyle name="Moneda [0] 3" xfId="256" xr:uid="{00000000-0005-0000-0000-0000A5050000}"/>
    <cellStyle name="Moneda [0] 3 10" xfId="3297" xr:uid="{00000000-0005-0000-0000-0000A6050000}"/>
    <cellStyle name="Moneda [0] 3 10 2" xfId="5001" xr:uid="{525D47F6-87C4-46E0-A410-223B3E1D4BF6}"/>
    <cellStyle name="Moneda [0] 3 10 3" xfId="6678" xr:uid="{8DCCDA80-2216-40A4-A7E5-5615B8E44044}"/>
    <cellStyle name="Moneda [0] 3 11" xfId="3690" xr:uid="{00000000-0005-0000-0000-0000A7050000}"/>
    <cellStyle name="Moneda [0] 3 11 2" xfId="5389" xr:uid="{47404C59-94DF-4A80-86E4-14EC31CF2EB5}"/>
    <cellStyle name="Moneda [0] 3 11 3" xfId="7066" xr:uid="{CB978B6A-4E87-4CF5-A695-6B881C1FA1D7}"/>
    <cellStyle name="Moneda [0] 3 12" xfId="4088" xr:uid="{00000000-0005-0000-0000-0000A8050000}"/>
    <cellStyle name="Moneda [0] 3 12 2" xfId="5780" xr:uid="{09D81B7E-B659-464A-AB8D-A7A67011637E}"/>
    <cellStyle name="Moneda [0] 3 12 3" xfId="7457" xr:uid="{A8A1A32D-8451-48BF-9159-83D320F99E0C}"/>
    <cellStyle name="Moneda [0] 3 13" xfId="4193" xr:uid="{BF333DE6-8323-4C39-83C9-EBF09EDF7B9B}"/>
    <cellStyle name="Moneda [0] 3 13 2" xfId="5878" xr:uid="{94443929-B047-49E0-8279-90498063750C}"/>
    <cellStyle name="Moneda [0] 3 13 3" xfId="7555" xr:uid="{2F95A6EB-3F65-48D9-9242-137B1C3A4D55}"/>
    <cellStyle name="Moneda [0] 3 14" xfId="4610" xr:uid="{304FB486-F962-454F-909D-0425695B8055}"/>
    <cellStyle name="Moneda [0] 3 15" xfId="6287" xr:uid="{BAA96667-680F-4693-B596-DB01C138300C}"/>
    <cellStyle name="Moneda [0] 3 2" xfId="257" xr:uid="{00000000-0005-0000-0000-0000A9050000}"/>
    <cellStyle name="Moneda [0] 3 2 2" xfId="258" xr:uid="{00000000-0005-0000-0000-0000AA050000}"/>
    <cellStyle name="Moneda [0] 3 2 2 2" xfId="259" xr:uid="{00000000-0005-0000-0000-0000AB050000}"/>
    <cellStyle name="Moneda [0] 3 2 3" xfId="260" xr:uid="{00000000-0005-0000-0000-0000AC050000}"/>
    <cellStyle name="Moneda [0] 3 2 3 2" xfId="261" xr:uid="{00000000-0005-0000-0000-0000AD050000}"/>
    <cellStyle name="Moneda [0] 3 2 4" xfId="262" xr:uid="{00000000-0005-0000-0000-0000AE050000}"/>
    <cellStyle name="Moneda [0] 3 2 4 2" xfId="263" xr:uid="{00000000-0005-0000-0000-0000AF050000}"/>
    <cellStyle name="Moneda [0] 3 2 5" xfId="264" xr:uid="{00000000-0005-0000-0000-0000B0050000}"/>
    <cellStyle name="Moneda [0] 3 3" xfId="265" xr:uid="{00000000-0005-0000-0000-0000B1050000}"/>
    <cellStyle name="Moneda [0] 3 3 2" xfId="266" xr:uid="{00000000-0005-0000-0000-0000B2050000}"/>
    <cellStyle name="Moneda [0] 3 4" xfId="267" xr:uid="{00000000-0005-0000-0000-0000B3050000}"/>
    <cellStyle name="Moneda [0] 3 4 2" xfId="268" xr:uid="{00000000-0005-0000-0000-0000B4050000}"/>
    <cellStyle name="Moneda [0] 3 5" xfId="269" xr:uid="{00000000-0005-0000-0000-0000B5050000}"/>
    <cellStyle name="Moneda [0] 3 5 2" xfId="270" xr:uid="{00000000-0005-0000-0000-0000B6050000}"/>
    <cellStyle name="Moneda [0] 3 6" xfId="271" xr:uid="{00000000-0005-0000-0000-0000B7050000}"/>
    <cellStyle name="Moneda [0] 3 7" xfId="272" xr:uid="{00000000-0005-0000-0000-0000B8050000}"/>
    <cellStyle name="Moneda [0] 3 8" xfId="2992" xr:uid="{00000000-0005-0000-0000-0000B9050000}"/>
    <cellStyle name="Moneda [0] 3 8 2" xfId="3194" xr:uid="{00000000-0005-0000-0000-0000BA050000}"/>
    <cellStyle name="Moneda [0] 3 8 2 2" xfId="3587" xr:uid="{00000000-0005-0000-0000-0000BB050000}"/>
    <cellStyle name="Moneda [0] 3 8 2 2 2" xfId="5291" xr:uid="{E349C66E-1578-4BFA-A3E7-336D4915AD67}"/>
    <cellStyle name="Moneda [0] 3 8 2 2 3" xfId="6968" xr:uid="{C06C8AF3-069E-47B6-B4DF-EFF32B852659}"/>
    <cellStyle name="Moneda [0] 3 8 2 3" xfId="3982" xr:uid="{00000000-0005-0000-0000-0000BC050000}"/>
    <cellStyle name="Moneda [0] 3 8 2 3 2" xfId="5680" xr:uid="{972D2DB4-53DC-4365-AF40-92586867A1EB}"/>
    <cellStyle name="Moneda [0] 3 8 2 3 3" xfId="7357" xr:uid="{662F9312-312C-47DD-A565-AEFE2C071A05}"/>
    <cellStyle name="Moneda [0] 3 8 2 4" xfId="4489" xr:uid="{3021BFC2-701F-4BC3-A8EE-8C79F3815FB0}"/>
    <cellStyle name="Moneda [0] 3 8 2 4 2" xfId="6170" xr:uid="{595235FE-58E0-4D1F-9CE9-879AC7317D80}"/>
    <cellStyle name="Moneda [0] 3 8 2 4 3" xfId="7847" xr:uid="{A41563D8-5CCB-4ADD-9FF1-0CF47EF573C4}"/>
    <cellStyle name="Moneda [0] 3 8 2 5" xfId="4903" xr:uid="{6EA1F9E4-AC5B-4130-BDED-822C41746A4F}"/>
    <cellStyle name="Moneda [0] 3 8 2 6" xfId="6580" xr:uid="{E1F09B21-4E7B-410D-ABB9-AD2FD4F4B53A}"/>
    <cellStyle name="Moneda [0] 3 8 3" xfId="3393" xr:uid="{00000000-0005-0000-0000-0000BD050000}"/>
    <cellStyle name="Moneda [0] 3 8 3 2" xfId="5097" xr:uid="{9325D9C8-C6FC-4C1C-8EC2-F9C3901C9CC9}"/>
    <cellStyle name="Moneda [0] 3 8 3 3" xfId="6774" xr:uid="{9F127751-B6FB-4777-98E5-38D04947BF3D}"/>
    <cellStyle name="Moneda [0] 3 8 4" xfId="3788" xr:uid="{00000000-0005-0000-0000-0000BE050000}"/>
    <cellStyle name="Moneda [0] 3 8 4 2" xfId="5486" xr:uid="{4CA15406-9274-4B5F-944A-15124F5AEDBA}"/>
    <cellStyle name="Moneda [0] 3 8 4 3" xfId="7163" xr:uid="{C41453B0-874A-42E5-B683-4B1E9A2B439B}"/>
    <cellStyle name="Moneda [0] 3 8 5" xfId="4295" xr:uid="{3E00BEFD-B007-4872-BDBB-B491301324DC}"/>
    <cellStyle name="Moneda [0] 3 8 5 2" xfId="5976" xr:uid="{E62983AE-2C70-4024-BC75-A68E4BB93C4E}"/>
    <cellStyle name="Moneda [0] 3 8 5 3" xfId="7653" xr:uid="{7A00ED8C-B19C-4D39-B668-14453FE13137}"/>
    <cellStyle name="Moneda [0] 3 8 6" xfId="4709" xr:uid="{0286B42C-5A75-4864-9972-4730BD4EFD30}"/>
    <cellStyle name="Moneda [0] 3 8 7" xfId="6386" xr:uid="{C20F6A6D-5A79-40A3-9859-099951E329DE}"/>
    <cellStyle name="Moneda [0] 3 9" xfId="3098" xr:uid="{00000000-0005-0000-0000-0000BF050000}"/>
    <cellStyle name="Moneda [0] 3 9 2" xfId="3491" xr:uid="{00000000-0005-0000-0000-0000C0050000}"/>
    <cellStyle name="Moneda [0] 3 9 2 2" xfId="5195" xr:uid="{A7BA1FEB-C6F0-484F-B6E0-655343103FA8}"/>
    <cellStyle name="Moneda [0] 3 9 2 3" xfId="6872" xr:uid="{3689337C-90DF-4DAC-995D-64DFD29963C4}"/>
    <cellStyle name="Moneda [0] 3 9 3" xfId="3886" xr:uid="{00000000-0005-0000-0000-0000C1050000}"/>
    <cellStyle name="Moneda [0] 3 9 3 2" xfId="5584" xr:uid="{181B6CDF-4FD8-47E9-A2AF-5EB4B1E6DFA3}"/>
    <cellStyle name="Moneda [0] 3 9 3 3" xfId="7261" xr:uid="{42081DC0-ECD1-4E58-B05F-EE822EFE60CB}"/>
    <cellStyle name="Moneda [0] 3 9 4" xfId="4393" xr:uid="{B45A15C8-B08F-4BC7-BA74-DE251E64BA12}"/>
    <cellStyle name="Moneda [0] 3 9 4 2" xfId="6074" xr:uid="{10AF9A93-2B20-4364-B817-D50883F0253F}"/>
    <cellStyle name="Moneda [0] 3 9 4 3" xfId="7751" xr:uid="{DADD4864-E9C2-4A33-BD97-25444E1EF353}"/>
    <cellStyle name="Moneda [0] 3 9 5" xfId="4807" xr:uid="{252468BC-C0CD-4471-9B73-D07B6FA7F800}"/>
    <cellStyle name="Moneda [0] 3 9 6" xfId="6484" xr:uid="{B0179753-14E8-4661-9117-619BF20248CE}"/>
    <cellStyle name="Moneda [0] 4" xfId="273" xr:uid="{00000000-0005-0000-0000-0000C2050000}"/>
    <cellStyle name="Moneda [0] 4 2" xfId="274" xr:uid="{00000000-0005-0000-0000-0000C3050000}"/>
    <cellStyle name="Moneda [0] 4 2 2" xfId="275" xr:uid="{00000000-0005-0000-0000-0000C4050000}"/>
    <cellStyle name="Moneda [0] 4 3" xfId="276" xr:uid="{00000000-0005-0000-0000-0000C5050000}"/>
    <cellStyle name="Moneda [0] 4 3 2" xfId="277" xr:uid="{00000000-0005-0000-0000-0000C6050000}"/>
    <cellStyle name="Moneda [0] 4 4" xfId="278" xr:uid="{00000000-0005-0000-0000-0000C7050000}"/>
    <cellStyle name="Moneda [0] 4 4 2" xfId="279" xr:uid="{00000000-0005-0000-0000-0000C8050000}"/>
    <cellStyle name="Moneda [0] 4 5" xfId="280" xr:uid="{00000000-0005-0000-0000-0000C9050000}"/>
    <cellStyle name="Moneda [0] 5" xfId="281" xr:uid="{00000000-0005-0000-0000-0000CA050000}"/>
    <cellStyle name="Moneda [0] 5 2" xfId="282" xr:uid="{00000000-0005-0000-0000-0000CB050000}"/>
    <cellStyle name="Moneda [0] 5 2 2" xfId="283" xr:uid="{00000000-0005-0000-0000-0000CC050000}"/>
    <cellStyle name="Moneda [0] 5 3" xfId="284" xr:uid="{00000000-0005-0000-0000-0000CD050000}"/>
    <cellStyle name="Moneda [0] 5 3 2" xfId="285" xr:uid="{00000000-0005-0000-0000-0000CE050000}"/>
    <cellStyle name="Moneda [0] 5 4" xfId="286" xr:uid="{00000000-0005-0000-0000-0000CF050000}"/>
    <cellStyle name="Moneda [0] 5 4 2" xfId="287" xr:uid="{00000000-0005-0000-0000-0000D0050000}"/>
    <cellStyle name="Moneda [0] 5 5" xfId="288" xr:uid="{00000000-0005-0000-0000-0000D1050000}"/>
    <cellStyle name="Moneda [0] 6" xfId="289" xr:uid="{00000000-0005-0000-0000-0000D2050000}"/>
    <cellStyle name="Moneda [0] 6 2" xfId="290" xr:uid="{00000000-0005-0000-0000-0000D3050000}"/>
    <cellStyle name="Moneda [0] 7" xfId="291" xr:uid="{00000000-0005-0000-0000-0000D4050000}"/>
    <cellStyle name="Moneda [0] 7 2" xfId="292" xr:uid="{00000000-0005-0000-0000-0000D5050000}"/>
    <cellStyle name="Moneda [0] 8" xfId="293" xr:uid="{00000000-0005-0000-0000-0000D6050000}"/>
    <cellStyle name="Moneda [0] 8 2" xfId="294" xr:uid="{00000000-0005-0000-0000-0000D7050000}"/>
    <cellStyle name="Moneda [0] 9" xfId="295" xr:uid="{00000000-0005-0000-0000-0000D8050000}"/>
    <cellStyle name="Moneda [0] 9 2" xfId="296" xr:uid="{00000000-0005-0000-0000-0000D9050000}"/>
    <cellStyle name="Moneda 10" xfId="297" xr:uid="{00000000-0005-0000-0000-0000DA050000}"/>
    <cellStyle name="Moneda 10 10" xfId="298" xr:uid="{00000000-0005-0000-0000-0000DB050000}"/>
    <cellStyle name="Moneda 10 11" xfId="299" xr:uid="{00000000-0005-0000-0000-0000DC050000}"/>
    <cellStyle name="Moneda 10 2" xfId="300" xr:uid="{00000000-0005-0000-0000-0000DD050000}"/>
    <cellStyle name="Moneda 10 2 2" xfId="301" xr:uid="{00000000-0005-0000-0000-0000DE050000}"/>
    <cellStyle name="Moneda 10 2 2 2" xfId="302" xr:uid="{00000000-0005-0000-0000-0000DF050000}"/>
    <cellStyle name="Moneda 10 2 2 2 2" xfId="303" xr:uid="{00000000-0005-0000-0000-0000E0050000}"/>
    <cellStyle name="Moneda 10 2 2 2 2 2" xfId="304" xr:uid="{00000000-0005-0000-0000-0000E1050000}"/>
    <cellStyle name="Moneda 10 2 2 2 3" xfId="305" xr:uid="{00000000-0005-0000-0000-0000E2050000}"/>
    <cellStyle name="Moneda 10 2 2 2 3 2" xfId="306" xr:uid="{00000000-0005-0000-0000-0000E3050000}"/>
    <cellStyle name="Moneda 10 2 2 2 4" xfId="307" xr:uid="{00000000-0005-0000-0000-0000E4050000}"/>
    <cellStyle name="Moneda 10 2 2 2 4 2" xfId="308" xr:uid="{00000000-0005-0000-0000-0000E5050000}"/>
    <cellStyle name="Moneda 10 2 2 2 5" xfId="309" xr:uid="{00000000-0005-0000-0000-0000E6050000}"/>
    <cellStyle name="Moneda 10 2 2 3" xfId="310" xr:uid="{00000000-0005-0000-0000-0000E7050000}"/>
    <cellStyle name="Moneda 10 2 2 3 2" xfId="311" xr:uid="{00000000-0005-0000-0000-0000E8050000}"/>
    <cellStyle name="Moneda 10 2 2 4" xfId="312" xr:uid="{00000000-0005-0000-0000-0000E9050000}"/>
    <cellStyle name="Moneda 10 2 2 4 2" xfId="313" xr:uid="{00000000-0005-0000-0000-0000EA050000}"/>
    <cellStyle name="Moneda 10 2 2 5" xfId="314" xr:uid="{00000000-0005-0000-0000-0000EB050000}"/>
    <cellStyle name="Moneda 10 2 2 5 2" xfId="315" xr:uid="{00000000-0005-0000-0000-0000EC050000}"/>
    <cellStyle name="Moneda 10 2 2 6" xfId="316" xr:uid="{00000000-0005-0000-0000-0000ED050000}"/>
    <cellStyle name="Moneda 10 2 3" xfId="317" xr:uid="{00000000-0005-0000-0000-0000EE050000}"/>
    <cellStyle name="Moneda 10 2 3 2" xfId="318" xr:uid="{00000000-0005-0000-0000-0000EF050000}"/>
    <cellStyle name="Moneda 10 2 3 2 2" xfId="319" xr:uid="{00000000-0005-0000-0000-0000F0050000}"/>
    <cellStyle name="Moneda 10 2 3 3" xfId="320" xr:uid="{00000000-0005-0000-0000-0000F1050000}"/>
    <cellStyle name="Moneda 10 2 3 3 2" xfId="321" xr:uid="{00000000-0005-0000-0000-0000F2050000}"/>
    <cellStyle name="Moneda 10 2 3 4" xfId="322" xr:uid="{00000000-0005-0000-0000-0000F3050000}"/>
    <cellStyle name="Moneda 10 2 3 4 2" xfId="323" xr:uid="{00000000-0005-0000-0000-0000F4050000}"/>
    <cellStyle name="Moneda 10 2 3 5" xfId="324" xr:uid="{00000000-0005-0000-0000-0000F5050000}"/>
    <cellStyle name="Moneda 10 2 4" xfId="325" xr:uid="{00000000-0005-0000-0000-0000F6050000}"/>
    <cellStyle name="Moneda 10 2 4 2" xfId="326" xr:uid="{00000000-0005-0000-0000-0000F7050000}"/>
    <cellStyle name="Moneda 10 2 5" xfId="327" xr:uid="{00000000-0005-0000-0000-0000F8050000}"/>
    <cellStyle name="Moneda 10 2 5 2" xfId="328" xr:uid="{00000000-0005-0000-0000-0000F9050000}"/>
    <cellStyle name="Moneda 10 2 6" xfId="329" xr:uid="{00000000-0005-0000-0000-0000FA050000}"/>
    <cellStyle name="Moneda 10 2 6 2" xfId="330" xr:uid="{00000000-0005-0000-0000-0000FB050000}"/>
    <cellStyle name="Moneda 10 2 7" xfId="331" xr:uid="{00000000-0005-0000-0000-0000FC050000}"/>
    <cellStyle name="Moneda 10 2 8" xfId="332" xr:uid="{00000000-0005-0000-0000-0000FD050000}"/>
    <cellStyle name="Moneda 10 3" xfId="333" xr:uid="{00000000-0005-0000-0000-0000FE050000}"/>
    <cellStyle name="Moneda 10 3 2" xfId="334" xr:uid="{00000000-0005-0000-0000-0000FF050000}"/>
    <cellStyle name="Moneda 10 3 2 2" xfId="335" xr:uid="{00000000-0005-0000-0000-000000060000}"/>
    <cellStyle name="Moneda 10 3 2 2 2" xfId="336" xr:uid="{00000000-0005-0000-0000-000001060000}"/>
    <cellStyle name="Moneda 10 3 2 2 2 2" xfId="337" xr:uid="{00000000-0005-0000-0000-000002060000}"/>
    <cellStyle name="Moneda 10 3 2 2 3" xfId="338" xr:uid="{00000000-0005-0000-0000-000003060000}"/>
    <cellStyle name="Moneda 10 3 2 2 3 2" xfId="339" xr:uid="{00000000-0005-0000-0000-000004060000}"/>
    <cellStyle name="Moneda 10 3 2 2 4" xfId="340" xr:uid="{00000000-0005-0000-0000-000005060000}"/>
    <cellStyle name="Moneda 10 3 2 2 4 2" xfId="341" xr:uid="{00000000-0005-0000-0000-000006060000}"/>
    <cellStyle name="Moneda 10 3 2 2 5" xfId="342" xr:uid="{00000000-0005-0000-0000-000007060000}"/>
    <cellStyle name="Moneda 10 3 2 3" xfId="343" xr:uid="{00000000-0005-0000-0000-000008060000}"/>
    <cellStyle name="Moneda 10 3 2 3 2" xfId="344" xr:uid="{00000000-0005-0000-0000-000009060000}"/>
    <cellStyle name="Moneda 10 3 2 4" xfId="345" xr:uid="{00000000-0005-0000-0000-00000A060000}"/>
    <cellStyle name="Moneda 10 3 2 4 2" xfId="346" xr:uid="{00000000-0005-0000-0000-00000B060000}"/>
    <cellStyle name="Moneda 10 3 2 5" xfId="347" xr:uid="{00000000-0005-0000-0000-00000C060000}"/>
    <cellStyle name="Moneda 10 3 2 5 2" xfId="348" xr:uid="{00000000-0005-0000-0000-00000D060000}"/>
    <cellStyle name="Moneda 10 3 2 6" xfId="349" xr:uid="{00000000-0005-0000-0000-00000E060000}"/>
    <cellStyle name="Moneda 10 3 3" xfId="350" xr:uid="{00000000-0005-0000-0000-00000F060000}"/>
    <cellStyle name="Moneda 10 3 3 2" xfId="351" xr:uid="{00000000-0005-0000-0000-000010060000}"/>
    <cellStyle name="Moneda 10 3 3 2 2" xfId="352" xr:uid="{00000000-0005-0000-0000-000011060000}"/>
    <cellStyle name="Moneda 10 3 3 3" xfId="353" xr:uid="{00000000-0005-0000-0000-000012060000}"/>
    <cellStyle name="Moneda 10 3 3 3 2" xfId="354" xr:uid="{00000000-0005-0000-0000-000013060000}"/>
    <cellStyle name="Moneda 10 3 3 4" xfId="355" xr:uid="{00000000-0005-0000-0000-000014060000}"/>
    <cellStyle name="Moneda 10 3 3 4 2" xfId="356" xr:uid="{00000000-0005-0000-0000-000015060000}"/>
    <cellStyle name="Moneda 10 3 3 5" xfId="357" xr:uid="{00000000-0005-0000-0000-000016060000}"/>
    <cellStyle name="Moneda 10 3 4" xfId="358" xr:uid="{00000000-0005-0000-0000-000017060000}"/>
    <cellStyle name="Moneda 10 3 4 2" xfId="359" xr:uid="{00000000-0005-0000-0000-000018060000}"/>
    <cellStyle name="Moneda 10 3 5" xfId="360" xr:uid="{00000000-0005-0000-0000-000019060000}"/>
    <cellStyle name="Moneda 10 3 5 2" xfId="361" xr:uid="{00000000-0005-0000-0000-00001A060000}"/>
    <cellStyle name="Moneda 10 3 6" xfId="362" xr:uid="{00000000-0005-0000-0000-00001B060000}"/>
    <cellStyle name="Moneda 10 3 6 2" xfId="363" xr:uid="{00000000-0005-0000-0000-00001C060000}"/>
    <cellStyle name="Moneda 10 3 7" xfId="364" xr:uid="{00000000-0005-0000-0000-00001D060000}"/>
    <cellStyle name="Moneda 10 4" xfId="365" xr:uid="{00000000-0005-0000-0000-00001E060000}"/>
    <cellStyle name="Moneda 10 4 2" xfId="366" xr:uid="{00000000-0005-0000-0000-00001F060000}"/>
    <cellStyle name="Moneda 10 4 2 2" xfId="367" xr:uid="{00000000-0005-0000-0000-000020060000}"/>
    <cellStyle name="Moneda 10 4 2 2 2" xfId="368" xr:uid="{00000000-0005-0000-0000-000021060000}"/>
    <cellStyle name="Moneda 10 4 2 2 2 2" xfId="369" xr:uid="{00000000-0005-0000-0000-000022060000}"/>
    <cellStyle name="Moneda 10 4 2 2 3" xfId="370" xr:uid="{00000000-0005-0000-0000-000023060000}"/>
    <cellStyle name="Moneda 10 4 2 2 3 2" xfId="371" xr:uid="{00000000-0005-0000-0000-000024060000}"/>
    <cellStyle name="Moneda 10 4 2 2 4" xfId="372" xr:uid="{00000000-0005-0000-0000-000025060000}"/>
    <cellStyle name="Moneda 10 4 2 2 4 2" xfId="373" xr:uid="{00000000-0005-0000-0000-000026060000}"/>
    <cellStyle name="Moneda 10 4 2 2 5" xfId="374" xr:uid="{00000000-0005-0000-0000-000027060000}"/>
    <cellStyle name="Moneda 10 4 2 3" xfId="375" xr:uid="{00000000-0005-0000-0000-000028060000}"/>
    <cellStyle name="Moneda 10 4 2 3 2" xfId="376" xr:uid="{00000000-0005-0000-0000-000029060000}"/>
    <cellStyle name="Moneda 10 4 2 4" xfId="377" xr:uid="{00000000-0005-0000-0000-00002A060000}"/>
    <cellStyle name="Moneda 10 4 2 4 2" xfId="378" xr:uid="{00000000-0005-0000-0000-00002B060000}"/>
    <cellStyle name="Moneda 10 4 2 5" xfId="379" xr:uid="{00000000-0005-0000-0000-00002C060000}"/>
    <cellStyle name="Moneda 10 4 2 5 2" xfId="380" xr:uid="{00000000-0005-0000-0000-00002D060000}"/>
    <cellStyle name="Moneda 10 4 2 6" xfId="381" xr:uid="{00000000-0005-0000-0000-00002E060000}"/>
    <cellStyle name="Moneda 10 4 3" xfId="382" xr:uid="{00000000-0005-0000-0000-00002F060000}"/>
    <cellStyle name="Moneda 10 4 3 2" xfId="383" xr:uid="{00000000-0005-0000-0000-000030060000}"/>
    <cellStyle name="Moneda 10 4 3 2 2" xfId="384" xr:uid="{00000000-0005-0000-0000-000031060000}"/>
    <cellStyle name="Moneda 10 4 3 3" xfId="385" xr:uid="{00000000-0005-0000-0000-000032060000}"/>
    <cellStyle name="Moneda 10 4 3 3 2" xfId="386" xr:uid="{00000000-0005-0000-0000-000033060000}"/>
    <cellStyle name="Moneda 10 4 3 4" xfId="387" xr:uid="{00000000-0005-0000-0000-000034060000}"/>
    <cellStyle name="Moneda 10 4 3 4 2" xfId="388" xr:uid="{00000000-0005-0000-0000-000035060000}"/>
    <cellStyle name="Moneda 10 4 3 5" xfId="389" xr:uid="{00000000-0005-0000-0000-000036060000}"/>
    <cellStyle name="Moneda 10 4 4" xfId="390" xr:uid="{00000000-0005-0000-0000-000037060000}"/>
    <cellStyle name="Moneda 10 4 4 2" xfId="391" xr:uid="{00000000-0005-0000-0000-000038060000}"/>
    <cellStyle name="Moneda 10 4 5" xfId="392" xr:uid="{00000000-0005-0000-0000-000039060000}"/>
    <cellStyle name="Moneda 10 4 5 2" xfId="393" xr:uid="{00000000-0005-0000-0000-00003A060000}"/>
    <cellStyle name="Moneda 10 4 6" xfId="394" xr:uid="{00000000-0005-0000-0000-00003B060000}"/>
    <cellStyle name="Moneda 10 4 6 2" xfId="395" xr:uid="{00000000-0005-0000-0000-00003C060000}"/>
    <cellStyle name="Moneda 10 4 7" xfId="396" xr:uid="{00000000-0005-0000-0000-00003D060000}"/>
    <cellStyle name="Moneda 10 5" xfId="397" xr:uid="{00000000-0005-0000-0000-00003E060000}"/>
    <cellStyle name="Moneda 10 5 2" xfId="398" xr:uid="{00000000-0005-0000-0000-00003F060000}"/>
    <cellStyle name="Moneda 10 5 2 2" xfId="399" xr:uid="{00000000-0005-0000-0000-000040060000}"/>
    <cellStyle name="Moneda 10 5 2 2 2" xfId="400" xr:uid="{00000000-0005-0000-0000-000041060000}"/>
    <cellStyle name="Moneda 10 5 2 3" xfId="401" xr:uid="{00000000-0005-0000-0000-000042060000}"/>
    <cellStyle name="Moneda 10 5 2 3 2" xfId="402" xr:uid="{00000000-0005-0000-0000-000043060000}"/>
    <cellStyle name="Moneda 10 5 2 4" xfId="403" xr:uid="{00000000-0005-0000-0000-000044060000}"/>
    <cellStyle name="Moneda 10 5 2 4 2" xfId="404" xr:uid="{00000000-0005-0000-0000-000045060000}"/>
    <cellStyle name="Moneda 10 5 2 5" xfId="405" xr:uid="{00000000-0005-0000-0000-000046060000}"/>
    <cellStyle name="Moneda 10 5 3" xfId="406" xr:uid="{00000000-0005-0000-0000-000047060000}"/>
    <cellStyle name="Moneda 10 5 3 2" xfId="407" xr:uid="{00000000-0005-0000-0000-000048060000}"/>
    <cellStyle name="Moneda 10 5 4" xfId="408" xr:uid="{00000000-0005-0000-0000-000049060000}"/>
    <cellStyle name="Moneda 10 5 4 2" xfId="409" xr:uid="{00000000-0005-0000-0000-00004A060000}"/>
    <cellStyle name="Moneda 10 5 5" xfId="410" xr:uid="{00000000-0005-0000-0000-00004B060000}"/>
    <cellStyle name="Moneda 10 5 5 2" xfId="411" xr:uid="{00000000-0005-0000-0000-00004C060000}"/>
    <cellStyle name="Moneda 10 5 6" xfId="412" xr:uid="{00000000-0005-0000-0000-00004D060000}"/>
    <cellStyle name="Moneda 10 6" xfId="413" xr:uid="{00000000-0005-0000-0000-00004E060000}"/>
    <cellStyle name="Moneda 10 6 2" xfId="414" xr:uid="{00000000-0005-0000-0000-00004F060000}"/>
    <cellStyle name="Moneda 10 6 2 2" xfId="415" xr:uid="{00000000-0005-0000-0000-000050060000}"/>
    <cellStyle name="Moneda 10 6 3" xfId="416" xr:uid="{00000000-0005-0000-0000-000051060000}"/>
    <cellStyle name="Moneda 10 6 3 2" xfId="417" xr:uid="{00000000-0005-0000-0000-000052060000}"/>
    <cellStyle name="Moneda 10 6 4" xfId="418" xr:uid="{00000000-0005-0000-0000-000053060000}"/>
    <cellStyle name="Moneda 10 6 4 2" xfId="419" xr:uid="{00000000-0005-0000-0000-000054060000}"/>
    <cellStyle name="Moneda 10 6 5" xfId="420" xr:uid="{00000000-0005-0000-0000-000055060000}"/>
    <cellStyle name="Moneda 10 7" xfId="421" xr:uid="{00000000-0005-0000-0000-000056060000}"/>
    <cellStyle name="Moneda 10 7 2" xfId="422" xr:uid="{00000000-0005-0000-0000-000057060000}"/>
    <cellStyle name="Moneda 10 8" xfId="423" xr:uid="{00000000-0005-0000-0000-000058060000}"/>
    <cellStyle name="Moneda 10 8 2" xfId="424" xr:uid="{00000000-0005-0000-0000-000059060000}"/>
    <cellStyle name="Moneda 10 9" xfId="425" xr:uid="{00000000-0005-0000-0000-00005A060000}"/>
    <cellStyle name="Moneda 10 9 2" xfId="426" xr:uid="{00000000-0005-0000-0000-00005B060000}"/>
    <cellStyle name="Moneda 11" xfId="427" xr:uid="{00000000-0005-0000-0000-00005C060000}"/>
    <cellStyle name="Moneda 11 10" xfId="428" xr:uid="{00000000-0005-0000-0000-00005D060000}"/>
    <cellStyle name="Moneda 11 11" xfId="429" xr:uid="{00000000-0005-0000-0000-00005E060000}"/>
    <cellStyle name="Moneda 11 2" xfId="430" xr:uid="{00000000-0005-0000-0000-00005F060000}"/>
    <cellStyle name="Moneda 11 2 2" xfId="431" xr:uid="{00000000-0005-0000-0000-000060060000}"/>
    <cellStyle name="Moneda 11 2 2 2" xfId="432" xr:uid="{00000000-0005-0000-0000-000061060000}"/>
    <cellStyle name="Moneda 11 2 2 2 2" xfId="433" xr:uid="{00000000-0005-0000-0000-000062060000}"/>
    <cellStyle name="Moneda 11 2 2 2 2 2" xfId="434" xr:uid="{00000000-0005-0000-0000-000063060000}"/>
    <cellStyle name="Moneda 11 2 2 2 3" xfId="435" xr:uid="{00000000-0005-0000-0000-000064060000}"/>
    <cellStyle name="Moneda 11 2 2 2 3 2" xfId="436" xr:uid="{00000000-0005-0000-0000-000065060000}"/>
    <cellStyle name="Moneda 11 2 2 2 4" xfId="437" xr:uid="{00000000-0005-0000-0000-000066060000}"/>
    <cellStyle name="Moneda 11 2 2 2 4 2" xfId="438" xr:uid="{00000000-0005-0000-0000-000067060000}"/>
    <cellStyle name="Moneda 11 2 2 2 5" xfId="439" xr:uid="{00000000-0005-0000-0000-000068060000}"/>
    <cellStyle name="Moneda 11 2 2 3" xfId="440" xr:uid="{00000000-0005-0000-0000-000069060000}"/>
    <cellStyle name="Moneda 11 2 2 3 2" xfId="441" xr:uid="{00000000-0005-0000-0000-00006A060000}"/>
    <cellStyle name="Moneda 11 2 2 4" xfId="442" xr:uid="{00000000-0005-0000-0000-00006B060000}"/>
    <cellStyle name="Moneda 11 2 2 4 2" xfId="443" xr:uid="{00000000-0005-0000-0000-00006C060000}"/>
    <cellStyle name="Moneda 11 2 2 5" xfId="444" xr:uid="{00000000-0005-0000-0000-00006D060000}"/>
    <cellStyle name="Moneda 11 2 2 5 2" xfId="445" xr:uid="{00000000-0005-0000-0000-00006E060000}"/>
    <cellStyle name="Moneda 11 2 2 6" xfId="446" xr:uid="{00000000-0005-0000-0000-00006F060000}"/>
    <cellStyle name="Moneda 11 2 3" xfId="447" xr:uid="{00000000-0005-0000-0000-000070060000}"/>
    <cellStyle name="Moneda 11 2 3 2" xfId="448" xr:uid="{00000000-0005-0000-0000-000071060000}"/>
    <cellStyle name="Moneda 11 2 3 2 2" xfId="449" xr:uid="{00000000-0005-0000-0000-000072060000}"/>
    <cellStyle name="Moneda 11 2 3 3" xfId="450" xr:uid="{00000000-0005-0000-0000-000073060000}"/>
    <cellStyle name="Moneda 11 2 3 3 2" xfId="451" xr:uid="{00000000-0005-0000-0000-000074060000}"/>
    <cellStyle name="Moneda 11 2 3 4" xfId="452" xr:uid="{00000000-0005-0000-0000-000075060000}"/>
    <cellStyle name="Moneda 11 2 3 4 2" xfId="453" xr:uid="{00000000-0005-0000-0000-000076060000}"/>
    <cellStyle name="Moneda 11 2 3 5" xfId="454" xr:uid="{00000000-0005-0000-0000-000077060000}"/>
    <cellStyle name="Moneda 11 2 4" xfId="455" xr:uid="{00000000-0005-0000-0000-000078060000}"/>
    <cellStyle name="Moneda 11 2 4 2" xfId="456" xr:uid="{00000000-0005-0000-0000-000079060000}"/>
    <cellStyle name="Moneda 11 2 5" xfId="457" xr:uid="{00000000-0005-0000-0000-00007A060000}"/>
    <cellStyle name="Moneda 11 2 5 2" xfId="458" xr:uid="{00000000-0005-0000-0000-00007B060000}"/>
    <cellStyle name="Moneda 11 2 6" xfId="459" xr:uid="{00000000-0005-0000-0000-00007C060000}"/>
    <cellStyle name="Moneda 11 2 6 2" xfId="460" xr:uid="{00000000-0005-0000-0000-00007D060000}"/>
    <cellStyle name="Moneda 11 2 7" xfId="461" xr:uid="{00000000-0005-0000-0000-00007E060000}"/>
    <cellStyle name="Moneda 11 2 8" xfId="462" xr:uid="{00000000-0005-0000-0000-00007F060000}"/>
    <cellStyle name="Moneda 11 3" xfId="463" xr:uid="{00000000-0005-0000-0000-000080060000}"/>
    <cellStyle name="Moneda 11 3 2" xfId="464" xr:uid="{00000000-0005-0000-0000-000081060000}"/>
    <cellStyle name="Moneda 11 3 2 2" xfId="465" xr:uid="{00000000-0005-0000-0000-000082060000}"/>
    <cellStyle name="Moneda 11 3 2 2 2" xfId="466" xr:uid="{00000000-0005-0000-0000-000083060000}"/>
    <cellStyle name="Moneda 11 3 2 2 2 2" xfId="467" xr:uid="{00000000-0005-0000-0000-000084060000}"/>
    <cellStyle name="Moneda 11 3 2 2 3" xfId="468" xr:uid="{00000000-0005-0000-0000-000085060000}"/>
    <cellStyle name="Moneda 11 3 2 2 3 2" xfId="469" xr:uid="{00000000-0005-0000-0000-000086060000}"/>
    <cellStyle name="Moneda 11 3 2 2 4" xfId="470" xr:uid="{00000000-0005-0000-0000-000087060000}"/>
    <cellStyle name="Moneda 11 3 2 2 4 2" xfId="471" xr:uid="{00000000-0005-0000-0000-000088060000}"/>
    <cellStyle name="Moneda 11 3 2 2 5" xfId="472" xr:uid="{00000000-0005-0000-0000-000089060000}"/>
    <cellStyle name="Moneda 11 3 2 3" xfId="473" xr:uid="{00000000-0005-0000-0000-00008A060000}"/>
    <cellStyle name="Moneda 11 3 2 3 2" xfId="474" xr:uid="{00000000-0005-0000-0000-00008B060000}"/>
    <cellStyle name="Moneda 11 3 2 4" xfId="475" xr:uid="{00000000-0005-0000-0000-00008C060000}"/>
    <cellStyle name="Moneda 11 3 2 4 2" xfId="476" xr:uid="{00000000-0005-0000-0000-00008D060000}"/>
    <cellStyle name="Moneda 11 3 2 5" xfId="477" xr:uid="{00000000-0005-0000-0000-00008E060000}"/>
    <cellStyle name="Moneda 11 3 2 5 2" xfId="478" xr:uid="{00000000-0005-0000-0000-00008F060000}"/>
    <cellStyle name="Moneda 11 3 2 6" xfId="479" xr:uid="{00000000-0005-0000-0000-000090060000}"/>
    <cellStyle name="Moneda 11 3 3" xfId="480" xr:uid="{00000000-0005-0000-0000-000091060000}"/>
    <cellStyle name="Moneda 11 3 3 2" xfId="481" xr:uid="{00000000-0005-0000-0000-000092060000}"/>
    <cellStyle name="Moneda 11 3 3 2 2" xfId="482" xr:uid="{00000000-0005-0000-0000-000093060000}"/>
    <cellStyle name="Moneda 11 3 3 3" xfId="483" xr:uid="{00000000-0005-0000-0000-000094060000}"/>
    <cellStyle name="Moneda 11 3 3 3 2" xfId="484" xr:uid="{00000000-0005-0000-0000-000095060000}"/>
    <cellStyle name="Moneda 11 3 3 4" xfId="485" xr:uid="{00000000-0005-0000-0000-000096060000}"/>
    <cellStyle name="Moneda 11 3 3 4 2" xfId="486" xr:uid="{00000000-0005-0000-0000-000097060000}"/>
    <cellStyle name="Moneda 11 3 3 5" xfId="487" xr:uid="{00000000-0005-0000-0000-000098060000}"/>
    <cellStyle name="Moneda 11 3 4" xfId="488" xr:uid="{00000000-0005-0000-0000-000099060000}"/>
    <cellStyle name="Moneda 11 3 4 2" xfId="489" xr:uid="{00000000-0005-0000-0000-00009A060000}"/>
    <cellStyle name="Moneda 11 3 5" xfId="490" xr:uid="{00000000-0005-0000-0000-00009B060000}"/>
    <cellStyle name="Moneda 11 3 5 2" xfId="491" xr:uid="{00000000-0005-0000-0000-00009C060000}"/>
    <cellStyle name="Moneda 11 3 6" xfId="492" xr:uid="{00000000-0005-0000-0000-00009D060000}"/>
    <cellStyle name="Moneda 11 3 6 2" xfId="493" xr:uid="{00000000-0005-0000-0000-00009E060000}"/>
    <cellStyle name="Moneda 11 3 7" xfId="494" xr:uid="{00000000-0005-0000-0000-00009F060000}"/>
    <cellStyle name="Moneda 11 4" xfId="495" xr:uid="{00000000-0005-0000-0000-0000A0060000}"/>
    <cellStyle name="Moneda 11 4 2" xfId="496" xr:uid="{00000000-0005-0000-0000-0000A1060000}"/>
    <cellStyle name="Moneda 11 4 2 2" xfId="497" xr:uid="{00000000-0005-0000-0000-0000A2060000}"/>
    <cellStyle name="Moneda 11 4 2 2 2" xfId="498" xr:uid="{00000000-0005-0000-0000-0000A3060000}"/>
    <cellStyle name="Moneda 11 4 2 2 2 2" xfId="499" xr:uid="{00000000-0005-0000-0000-0000A4060000}"/>
    <cellStyle name="Moneda 11 4 2 2 3" xfId="500" xr:uid="{00000000-0005-0000-0000-0000A5060000}"/>
    <cellStyle name="Moneda 11 4 2 2 3 2" xfId="501" xr:uid="{00000000-0005-0000-0000-0000A6060000}"/>
    <cellStyle name="Moneda 11 4 2 2 4" xfId="502" xr:uid="{00000000-0005-0000-0000-0000A7060000}"/>
    <cellStyle name="Moneda 11 4 2 2 4 2" xfId="503" xr:uid="{00000000-0005-0000-0000-0000A8060000}"/>
    <cellStyle name="Moneda 11 4 2 2 5" xfId="504" xr:uid="{00000000-0005-0000-0000-0000A9060000}"/>
    <cellStyle name="Moneda 11 4 2 3" xfId="505" xr:uid="{00000000-0005-0000-0000-0000AA060000}"/>
    <cellStyle name="Moneda 11 4 2 3 2" xfId="506" xr:uid="{00000000-0005-0000-0000-0000AB060000}"/>
    <cellStyle name="Moneda 11 4 2 4" xfId="507" xr:uid="{00000000-0005-0000-0000-0000AC060000}"/>
    <cellStyle name="Moneda 11 4 2 4 2" xfId="508" xr:uid="{00000000-0005-0000-0000-0000AD060000}"/>
    <cellStyle name="Moneda 11 4 2 5" xfId="509" xr:uid="{00000000-0005-0000-0000-0000AE060000}"/>
    <cellStyle name="Moneda 11 4 2 5 2" xfId="510" xr:uid="{00000000-0005-0000-0000-0000AF060000}"/>
    <cellStyle name="Moneda 11 4 2 6" xfId="511" xr:uid="{00000000-0005-0000-0000-0000B0060000}"/>
    <cellStyle name="Moneda 11 4 3" xfId="512" xr:uid="{00000000-0005-0000-0000-0000B1060000}"/>
    <cellStyle name="Moneda 11 4 3 2" xfId="513" xr:uid="{00000000-0005-0000-0000-0000B2060000}"/>
    <cellStyle name="Moneda 11 4 3 2 2" xfId="514" xr:uid="{00000000-0005-0000-0000-0000B3060000}"/>
    <cellStyle name="Moneda 11 4 3 3" xfId="515" xr:uid="{00000000-0005-0000-0000-0000B4060000}"/>
    <cellStyle name="Moneda 11 4 3 3 2" xfId="516" xr:uid="{00000000-0005-0000-0000-0000B5060000}"/>
    <cellStyle name="Moneda 11 4 3 4" xfId="517" xr:uid="{00000000-0005-0000-0000-0000B6060000}"/>
    <cellStyle name="Moneda 11 4 3 4 2" xfId="518" xr:uid="{00000000-0005-0000-0000-0000B7060000}"/>
    <cellStyle name="Moneda 11 4 3 5" xfId="519" xr:uid="{00000000-0005-0000-0000-0000B8060000}"/>
    <cellStyle name="Moneda 11 4 4" xfId="520" xr:uid="{00000000-0005-0000-0000-0000B9060000}"/>
    <cellStyle name="Moneda 11 4 4 2" xfId="521" xr:uid="{00000000-0005-0000-0000-0000BA060000}"/>
    <cellStyle name="Moneda 11 4 5" xfId="522" xr:uid="{00000000-0005-0000-0000-0000BB060000}"/>
    <cellStyle name="Moneda 11 4 5 2" xfId="523" xr:uid="{00000000-0005-0000-0000-0000BC060000}"/>
    <cellStyle name="Moneda 11 4 6" xfId="524" xr:uid="{00000000-0005-0000-0000-0000BD060000}"/>
    <cellStyle name="Moneda 11 4 6 2" xfId="525" xr:uid="{00000000-0005-0000-0000-0000BE060000}"/>
    <cellStyle name="Moneda 11 4 7" xfId="526" xr:uid="{00000000-0005-0000-0000-0000BF060000}"/>
    <cellStyle name="Moneda 11 5" xfId="527" xr:uid="{00000000-0005-0000-0000-0000C0060000}"/>
    <cellStyle name="Moneda 11 5 2" xfId="528" xr:uid="{00000000-0005-0000-0000-0000C1060000}"/>
    <cellStyle name="Moneda 11 5 2 2" xfId="529" xr:uid="{00000000-0005-0000-0000-0000C2060000}"/>
    <cellStyle name="Moneda 11 5 2 2 2" xfId="530" xr:uid="{00000000-0005-0000-0000-0000C3060000}"/>
    <cellStyle name="Moneda 11 5 2 3" xfId="531" xr:uid="{00000000-0005-0000-0000-0000C4060000}"/>
    <cellStyle name="Moneda 11 5 2 3 2" xfId="532" xr:uid="{00000000-0005-0000-0000-0000C5060000}"/>
    <cellStyle name="Moneda 11 5 2 4" xfId="533" xr:uid="{00000000-0005-0000-0000-0000C6060000}"/>
    <cellStyle name="Moneda 11 5 2 4 2" xfId="534" xr:uid="{00000000-0005-0000-0000-0000C7060000}"/>
    <cellStyle name="Moneda 11 5 2 5" xfId="535" xr:uid="{00000000-0005-0000-0000-0000C8060000}"/>
    <cellStyle name="Moneda 11 5 3" xfId="536" xr:uid="{00000000-0005-0000-0000-0000C9060000}"/>
    <cellStyle name="Moneda 11 5 3 2" xfId="537" xr:uid="{00000000-0005-0000-0000-0000CA060000}"/>
    <cellStyle name="Moneda 11 5 4" xfId="538" xr:uid="{00000000-0005-0000-0000-0000CB060000}"/>
    <cellStyle name="Moneda 11 5 4 2" xfId="539" xr:uid="{00000000-0005-0000-0000-0000CC060000}"/>
    <cellStyle name="Moneda 11 5 5" xfId="540" xr:uid="{00000000-0005-0000-0000-0000CD060000}"/>
    <cellStyle name="Moneda 11 5 5 2" xfId="541" xr:uid="{00000000-0005-0000-0000-0000CE060000}"/>
    <cellStyle name="Moneda 11 5 6" xfId="542" xr:uid="{00000000-0005-0000-0000-0000CF060000}"/>
    <cellStyle name="Moneda 11 6" xfId="543" xr:uid="{00000000-0005-0000-0000-0000D0060000}"/>
    <cellStyle name="Moneda 11 6 2" xfId="544" xr:uid="{00000000-0005-0000-0000-0000D1060000}"/>
    <cellStyle name="Moneda 11 6 2 2" xfId="545" xr:uid="{00000000-0005-0000-0000-0000D2060000}"/>
    <cellStyle name="Moneda 11 6 3" xfId="546" xr:uid="{00000000-0005-0000-0000-0000D3060000}"/>
    <cellStyle name="Moneda 11 6 3 2" xfId="547" xr:uid="{00000000-0005-0000-0000-0000D4060000}"/>
    <cellStyle name="Moneda 11 6 4" xfId="548" xr:uid="{00000000-0005-0000-0000-0000D5060000}"/>
    <cellStyle name="Moneda 11 6 4 2" xfId="549" xr:uid="{00000000-0005-0000-0000-0000D6060000}"/>
    <cellStyle name="Moneda 11 6 5" xfId="550" xr:uid="{00000000-0005-0000-0000-0000D7060000}"/>
    <cellStyle name="Moneda 11 7" xfId="551" xr:uid="{00000000-0005-0000-0000-0000D8060000}"/>
    <cellStyle name="Moneda 11 7 2" xfId="552" xr:uid="{00000000-0005-0000-0000-0000D9060000}"/>
    <cellStyle name="Moneda 11 8" xfId="553" xr:uid="{00000000-0005-0000-0000-0000DA060000}"/>
    <cellStyle name="Moneda 11 8 2" xfId="554" xr:uid="{00000000-0005-0000-0000-0000DB060000}"/>
    <cellStyle name="Moneda 11 9" xfId="555" xr:uid="{00000000-0005-0000-0000-0000DC060000}"/>
    <cellStyle name="Moneda 11 9 2" xfId="556" xr:uid="{00000000-0005-0000-0000-0000DD060000}"/>
    <cellStyle name="Moneda 12" xfId="557" xr:uid="{00000000-0005-0000-0000-0000DE060000}"/>
    <cellStyle name="Moneda 12 2" xfId="558" xr:uid="{00000000-0005-0000-0000-0000DF060000}"/>
    <cellStyle name="Moneda 12 2 2" xfId="559" xr:uid="{00000000-0005-0000-0000-0000E0060000}"/>
    <cellStyle name="Moneda 12 2 2 2" xfId="560" xr:uid="{00000000-0005-0000-0000-0000E1060000}"/>
    <cellStyle name="Moneda 12 2 2 2 2" xfId="561" xr:uid="{00000000-0005-0000-0000-0000E2060000}"/>
    <cellStyle name="Moneda 12 2 2 2 2 2" xfId="562" xr:uid="{00000000-0005-0000-0000-0000E3060000}"/>
    <cellStyle name="Moneda 12 2 2 2 3" xfId="563" xr:uid="{00000000-0005-0000-0000-0000E4060000}"/>
    <cellStyle name="Moneda 12 2 2 2 3 2" xfId="564" xr:uid="{00000000-0005-0000-0000-0000E5060000}"/>
    <cellStyle name="Moneda 12 2 2 2 4" xfId="565" xr:uid="{00000000-0005-0000-0000-0000E6060000}"/>
    <cellStyle name="Moneda 12 2 2 2 4 2" xfId="566" xr:uid="{00000000-0005-0000-0000-0000E7060000}"/>
    <cellStyle name="Moneda 12 2 2 2 5" xfId="567" xr:uid="{00000000-0005-0000-0000-0000E8060000}"/>
    <cellStyle name="Moneda 12 2 2 3" xfId="568" xr:uid="{00000000-0005-0000-0000-0000E9060000}"/>
    <cellStyle name="Moneda 12 2 2 3 2" xfId="569" xr:uid="{00000000-0005-0000-0000-0000EA060000}"/>
    <cellStyle name="Moneda 12 2 2 4" xfId="570" xr:uid="{00000000-0005-0000-0000-0000EB060000}"/>
    <cellStyle name="Moneda 12 2 2 4 2" xfId="571" xr:uid="{00000000-0005-0000-0000-0000EC060000}"/>
    <cellStyle name="Moneda 12 2 2 5" xfId="572" xr:uid="{00000000-0005-0000-0000-0000ED060000}"/>
    <cellStyle name="Moneda 12 2 2 5 2" xfId="573" xr:uid="{00000000-0005-0000-0000-0000EE060000}"/>
    <cellStyle name="Moneda 12 2 2 6" xfId="574" xr:uid="{00000000-0005-0000-0000-0000EF060000}"/>
    <cellStyle name="Moneda 12 2 3" xfId="575" xr:uid="{00000000-0005-0000-0000-0000F0060000}"/>
    <cellStyle name="Moneda 12 2 3 2" xfId="576" xr:uid="{00000000-0005-0000-0000-0000F1060000}"/>
    <cellStyle name="Moneda 12 2 3 2 2" xfId="577" xr:uid="{00000000-0005-0000-0000-0000F2060000}"/>
    <cellStyle name="Moneda 12 2 3 3" xfId="578" xr:uid="{00000000-0005-0000-0000-0000F3060000}"/>
    <cellStyle name="Moneda 12 2 3 3 2" xfId="579" xr:uid="{00000000-0005-0000-0000-0000F4060000}"/>
    <cellStyle name="Moneda 12 2 3 4" xfId="580" xr:uid="{00000000-0005-0000-0000-0000F5060000}"/>
    <cellStyle name="Moneda 12 2 3 4 2" xfId="581" xr:uid="{00000000-0005-0000-0000-0000F6060000}"/>
    <cellStyle name="Moneda 12 2 3 5" xfId="582" xr:uid="{00000000-0005-0000-0000-0000F7060000}"/>
    <cellStyle name="Moneda 12 2 4" xfId="583" xr:uid="{00000000-0005-0000-0000-0000F8060000}"/>
    <cellStyle name="Moneda 12 2 4 2" xfId="584" xr:uid="{00000000-0005-0000-0000-0000F9060000}"/>
    <cellStyle name="Moneda 12 2 5" xfId="585" xr:uid="{00000000-0005-0000-0000-0000FA060000}"/>
    <cellStyle name="Moneda 12 2 5 2" xfId="586" xr:uid="{00000000-0005-0000-0000-0000FB060000}"/>
    <cellStyle name="Moneda 12 2 6" xfId="587" xr:uid="{00000000-0005-0000-0000-0000FC060000}"/>
    <cellStyle name="Moneda 12 2 6 2" xfId="588" xr:uid="{00000000-0005-0000-0000-0000FD060000}"/>
    <cellStyle name="Moneda 12 2 7" xfId="589" xr:uid="{00000000-0005-0000-0000-0000FE060000}"/>
    <cellStyle name="Moneda 12 2 8" xfId="590" xr:uid="{00000000-0005-0000-0000-0000FF060000}"/>
    <cellStyle name="Moneda 12 3" xfId="591" xr:uid="{00000000-0005-0000-0000-000000070000}"/>
    <cellStyle name="Moneda 12 3 2" xfId="592" xr:uid="{00000000-0005-0000-0000-000001070000}"/>
    <cellStyle name="Moneda 12 3 2 2" xfId="593" xr:uid="{00000000-0005-0000-0000-000002070000}"/>
    <cellStyle name="Moneda 12 3 2 2 2" xfId="594" xr:uid="{00000000-0005-0000-0000-000003070000}"/>
    <cellStyle name="Moneda 12 3 2 3" xfId="595" xr:uid="{00000000-0005-0000-0000-000004070000}"/>
    <cellStyle name="Moneda 12 3 2 3 2" xfId="596" xr:uid="{00000000-0005-0000-0000-000005070000}"/>
    <cellStyle name="Moneda 12 3 2 4" xfId="597" xr:uid="{00000000-0005-0000-0000-000006070000}"/>
    <cellStyle name="Moneda 12 3 2 4 2" xfId="598" xr:uid="{00000000-0005-0000-0000-000007070000}"/>
    <cellStyle name="Moneda 12 3 2 5" xfId="599" xr:uid="{00000000-0005-0000-0000-000008070000}"/>
    <cellStyle name="Moneda 12 3 3" xfId="600" xr:uid="{00000000-0005-0000-0000-000009070000}"/>
    <cellStyle name="Moneda 12 3 3 2" xfId="601" xr:uid="{00000000-0005-0000-0000-00000A070000}"/>
    <cellStyle name="Moneda 12 3 4" xfId="602" xr:uid="{00000000-0005-0000-0000-00000B070000}"/>
    <cellStyle name="Moneda 12 3 4 2" xfId="603" xr:uid="{00000000-0005-0000-0000-00000C070000}"/>
    <cellStyle name="Moneda 12 3 5" xfId="604" xr:uid="{00000000-0005-0000-0000-00000D070000}"/>
    <cellStyle name="Moneda 12 3 5 2" xfId="605" xr:uid="{00000000-0005-0000-0000-00000E070000}"/>
    <cellStyle name="Moneda 12 3 6" xfId="606" xr:uid="{00000000-0005-0000-0000-00000F070000}"/>
    <cellStyle name="Moneda 12 4" xfId="607" xr:uid="{00000000-0005-0000-0000-000010070000}"/>
    <cellStyle name="Moneda 12 4 2" xfId="608" xr:uid="{00000000-0005-0000-0000-000011070000}"/>
    <cellStyle name="Moneda 12 4 2 2" xfId="609" xr:uid="{00000000-0005-0000-0000-000012070000}"/>
    <cellStyle name="Moneda 12 4 3" xfId="610" xr:uid="{00000000-0005-0000-0000-000013070000}"/>
    <cellStyle name="Moneda 12 4 3 2" xfId="611" xr:uid="{00000000-0005-0000-0000-000014070000}"/>
    <cellStyle name="Moneda 12 4 4" xfId="612" xr:uid="{00000000-0005-0000-0000-000015070000}"/>
    <cellStyle name="Moneda 12 4 4 2" xfId="613" xr:uid="{00000000-0005-0000-0000-000016070000}"/>
    <cellStyle name="Moneda 12 4 5" xfId="614" xr:uid="{00000000-0005-0000-0000-000017070000}"/>
    <cellStyle name="Moneda 12 5" xfId="615" xr:uid="{00000000-0005-0000-0000-000018070000}"/>
    <cellStyle name="Moneda 12 5 2" xfId="616" xr:uid="{00000000-0005-0000-0000-000019070000}"/>
    <cellStyle name="Moneda 12 6" xfId="617" xr:uid="{00000000-0005-0000-0000-00001A070000}"/>
    <cellStyle name="Moneda 12 6 2" xfId="618" xr:uid="{00000000-0005-0000-0000-00001B070000}"/>
    <cellStyle name="Moneda 12 7" xfId="619" xr:uid="{00000000-0005-0000-0000-00001C070000}"/>
    <cellStyle name="Moneda 12 7 2" xfId="620" xr:uid="{00000000-0005-0000-0000-00001D070000}"/>
    <cellStyle name="Moneda 12 8" xfId="621" xr:uid="{00000000-0005-0000-0000-00001E070000}"/>
    <cellStyle name="Moneda 12 9" xfId="622" xr:uid="{00000000-0005-0000-0000-00001F070000}"/>
    <cellStyle name="Moneda 13" xfId="623" xr:uid="{00000000-0005-0000-0000-000020070000}"/>
    <cellStyle name="Moneda 13 10" xfId="624" xr:uid="{00000000-0005-0000-0000-000021070000}"/>
    <cellStyle name="Moneda 13 2" xfId="625" xr:uid="{00000000-0005-0000-0000-000022070000}"/>
    <cellStyle name="Moneda 13 2 2" xfId="626" xr:uid="{00000000-0005-0000-0000-000023070000}"/>
    <cellStyle name="Moneda 13 2 2 2" xfId="627" xr:uid="{00000000-0005-0000-0000-000024070000}"/>
    <cellStyle name="Moneda 13 2 2 2 2" xfId="628" xr:uid="{00000000-0005-0000-0000-000025070000}"/>
    <cellStyle name="Moneda 13 2 2 2 2 2" xfId="629" xr:uid="{00000000-0005-0000-0000-000026070000}"/>
    <cellStyle name="Moneda 13 2 2 2 3" xfId="630" xr:uid="{00000000-0005-0000-0000-000027070000}"/>
    <cellStyle name="Moneda 13 2 2 2 3 2" xfId="631" xr:uid="{00000000-0005-0000-0000-000028070000}"/>
    <cellStyle name="Moneda 13 2 2 2 4" xfId="632" xr:uid="{00000000-0005-0000-0000-000029070000}"/>
    <cellStyle name="Moneda 13 2 2 2 4 2" xfId="633" xr:uid="{00000000-0005-0000-0000-00002A070000}"/>
    <cellStyle name="Moneda 13 2 2 2 5" xfId="634" xr:uid="{00000000-0005-0000-0000-00002B070000}"/>
    <cellStyle name="Moneda 13 2 2 3" xfId="635" xr:uid="{00000000-0005-0000-0000-00002C070000}"/>
    <cellStyle name="Moneda 13 2 2 3 2" xfId="636" xr:uid="{00000000-0005-0000-0000-00002D070000}"/>
    <cellStyle name="Moneda 13 2 2 4" xfId="637" xr:uid="{00000000-0005-0000-0000-00002E070000}"/>
    <cellStyle name="Moneda 13 2 2 4 2" xfId="638" xr:uid="{00000000-0005-0000-0000-00002F070000}"/>
    <cellStyle name="Moneda 13 2 2 5" xfId="639" xr:uid="{00000000-0005-0000-0000-000030070000}"/>
    <cellStyle name="Moneda 13 2 2 5 2" xfId="640" xr:uid="{00000000-0005-0000-0000-000031070000}"/>
    <cellStyle name="Moneda 13 2 2 6" xfId="641" xr:uid="{00000000-0005-0000-0000-000032070000}"/>
    <cellStyle name="Moneda 13 2 3" xfId="642" xr:uid="{00000000-0005-0000-0000-000033070000}"/>
    <cellStyle name="Moneda 13 2 3 2" xfId="643" xr:uid="{00000000-0005-0000-0000-000034070000}"/>
    <cellStyle name="Moneda 13 2 3 2 2" xfId="644" xr:uid="{00000000-0005-0000-0000-000035070000}"/>
    <cellStyle name="Moneda 13 2 3 3" xfId="645" xr:uid="{00000000-0005-0000-0000-000036070000}"/>
    <cellStyle name="Moneda 13 2 3 3 2" xfId="646" xr:uid="{00000000-0005-0000-0000-000037070000}"/>
    <cellStyle name="Moneda 13 2 3 4" xfId="647" xr:uid="{00000000-0005-0000-0000-000038070000}"/>
    <cellStyle name="Moneda 13 2 3 4 2" xfId="648" xr:uid="{00000000-0005-0000-0000-000039070000}"/>
    <cellStyle name="Moneda 13 2 3 5" xfId="649" xr:uid="{00000000-0005-0000-0000-00003A070000}"/>
    <cellStyle name="Moneda 13 2 4" xfId="650" xr:uid="{00000000-0005-0000-0000-00003B070000}"/>
    <cellStyle name="Moneda 13 2 4 2" xfId="651" xr:uid="{00000000-0005-0000-0000-00003C070000}"/>
    <cellStyle name="Moneda 13 2 5" xfId="652" xr:uid="{00000000-0005-0000-0000-00003D070000}"/>
    <cellStyle name="Moneda 13 2 5 2" xfId="653" xr:uid="{00000000-0005-0000-0000-00003E070000}"/>
    <cellStyle name="Moneda 13 2 6" xfId="654" xr:uid="{00000000-0005-0000-0000-00003F070000}"/>
    <cellStyle name="Moneda 13 2 6 2" xfId="655" xr:uid="{00000000-0005-0000-0000-000040070000}"/>
    <cellStyle name="Moneda 13 2 7" xfId="656" xr:uid="{00000000-0005-0000-0000-000041070000}"/>
    <cellStyle name="Moneda 13 2 8" xfId="657" xr:uid="{00000000-0005-0000-0000-000042070000}"/>
    <cellStyle name="Moneda 13 3" xfId="658" xr:uid="{00000000-0005-0000-0000-000043070000}"/>
    <cellStyle name="Moneda 13 3 2" xfId="659" xr:uid="{00000000-0005-0000-0000-000044070000}"/>
    <cellStyle name="Moneda 13 3 2 2" xfId="660" xr:uid="{00000000-0005-0000-0000-000045070000}"/>
    <cellStyle name="Moneda 13 3 2 2 2" xfId="661" xr:uid="{00000000-0005-0000-0000-000046070000}"/>
    <cellStyle name="Moneda 13 3 2 3" xfId="662" xr:uid="{00000000-0005-0000-0000-000047070000}"/>
    <cellStyle name="Moneda 13 3 2 3 2" xfId="663" xr:uid="{00000000-0005-0000-0000-000048070000}"/>
    <cellStyle name="Moneda 13 3 2 4" xfId="664" xr:uid="{00000000-0005-0000-0000-000049070000}"/>
    <cellStyle name="Moneda 13 3 2 4 2" xfId="665" xr:uid="{00000000-0005-0000-0000-00004A070000}"/>
    <cellStyle name="Moneda 13 3 2 5" xfId="666" xr:uid="{00000000-0005-0000-0000-00004B070000}"/>
    <cellStyle name="Moneda 13 3 3" xfId="667" xr:uid="{00000000-0005-0000-0000-00004C070000}"/>
    <cellStyle name="Moneda 13 3 3 2" xfId="668" xr:uid="{00000000-0005-0000-0000-00004D070000}"/>
    <cellStyle name="Moneda 13 3 4" xfId="669" xr:uid="{00000000-0005-0000-0000-00004E070000}"/>
    <cellStyle name="Moneda 13 3 4 2" xfId="670" xr:uid="{00000000-0005-0000-0000-00004F070000}"/>
    <cellStyle name="Moneda 13 3 5" xfId="671" xr:uid="{00000000-0005-0000-0000-000050070000}"/>
    <cellStyle name="Moneda 13 3 5 2" xfId="672" xr:uid="{00000000-0005-0000-0000-000051070000}"/>
    <cellStyle name="Moneda 13 3 6" xfId="673" xr:uid="{00000000-0005-0000-0000-000052070000}"/>
    <cellStyle name="Moneda 13 4" xfId="674" xr:uid="{00000000-0005-0000-0000-000053070000}"/>
    <cellStyle name="Moneda 13 4 2" xfId="675" xr:uid="{00000000-0005-0000-0000-000054070000}"/>
    <cellStyle name="Moneda 13 4 2 2" xfId="676" xr:uid="{00000000-0005-0000-0000-000055070000}"/>
    <cellStyle name="Moneda 13 4 3" xfId="677" xr:uid="{00000000-0005-0000-0000-000056070000}"/>
    <cellStyle name="Moneda 13 4 3 2" xfId="678" xr:uid="{00000000-0005-0000-0000-000057070000}"/>
    <cellStyle name="Moneda 13 4 4" xfId="679" xr:uid="{00000000-0005-0000-0000-000058070000}"/>
    <cellStyle name="Moneda 13 4 4 2" xfId="680" xr:uid="{00000000-0005-0000-0000-000059070000}"/>
    <cellStyle name="Moneda 13 4 5" xfId="681" xr:uid="{00000000-0005-0000-0000-00005A070000}"/>
    <cellStyle name="Moneda 13 5" xfId="682" xr:uid="{00000000-0005-0000-0000-00005B070000}"/>
    <cellStyle name="Moneda 13 5 2" xfId="683" xr:uid="{00000000-0005-0000-0000-00005C070000}"/>
    <cellStyle name="Moneda 13 5 2 2" xfId="684" xr:uid="{00000000-0005-0000-0000-00005D070000}"/>
    <cellStyle name="Moneda 13 5 3" xfId="685" xr:uid="{00000000-0005-0000-0000-00005E070000}"/>
    <cellStyle name="Moneda 13 5 3 2" xfId="686" xr:uid="{00000000-0005-0000-0000-00005F070000}"/>
    <cellStyle name="Moneda 13 5 4" xfId="687" xr:uid="{00000000-0005-0000-0000-000060070000}"/>
    <cellStyle name="Moneda 13 5 4 2" xfId="688" xr:uid="{00000000-0005-0000-0000-000061070000}"/>
    <cellStyle name="Moneda 13 5 5" xfId="689" xr:uid="{00000000-0005-0000-0000-000062070000}"/>
    <cellStyle name="Moneda 13 6" xfId="690" xr:uid="{00000000-0005-0000-0000-000063070000}"/>
    <cellStyle name="Moneda 13 6 2" xfId="691" xr:uid="{00000000-0005-0000-0000-000064070000}"/>
    <cellStyle name="Moneda 13 7" xfId="692" xr:uid="{00000000-0005-0000-0000-000065070000}"/>
    <cellStyle name="Moneda 13 7 2" xfId="693" xr:uid="{00000000-0005-0000-0000-000066070000}"/>
    <cellStyle name="Moneda 13 8" xfId="694" xr:uid="{00000000-0005-0000-0000-000067070000}"/>
    <cellStyle name="Moneda 13 8 2" xfId="695" xr:uid="{00000000-0005-0000-0000-000068070000}"/>
    <cellStyle name="Moneda 13 9" xfId="696" xr:uid="{00000000-0005-0000-0000-000069070000}"/>
    <cellStyle name="Moneda 14" xfId="697" xr:uid="{00000000-0005-0000-0000-00006A070000}"/>
    <cellStyle name="Moneda 14 2" xfId="698" xr:uid="{00000000-0005-0000-0000-00006B070000}"/>
    <cellStyle name="Moneda 14 2 2" xfId="699" xr:uid="{00000000-0005-0000-0000-00006C070000}"/>
    <cellStyle name="Moneda 14 2 2 2" xfId="700" xr:uid="{00000000-0005-0000-0000-00006D070000}"/>
    <cellStyle name="Moneda 14 2 2 2 2" xfId="701" xr:uid="{00000000-0005-0000-0000-00006E070000}"/>
    <cellStyle name="Moneda 14 2 2 2 2 2" xfId="702" xr:uid="{00000000-0005-0000-0000-00006F070000}"/>
    <cellStyle name="Moneda 14 2 2 2 3" xfId="703" xr:uid="{00000000-0005-0000-0000-000070070000}"/>
    <cellStyle name="Moneda 14 2 2 2 3 2" xfId="704" xr:uid="{00000000-0005-0000-0000-000071070000}"/>
    <cellStyle name="Moneda 14 2 2 2 4" xfId="705" xr:uid="{00000000-0005-0000-0000-000072070000}"/>
    <cellStyle name="Moneda 14 2 2 2 4 2" xfId="706" xr:uid="{00000000-0005-0000-0000-000073070000}"/>
    <cellStyle name="Moneda 14 2 2 2 5" xfId="707" xr:uid="{00000000-0005-0000-0000-000074070000}"/>
    <cellStyle name="Moneda 14 2 2 3" xfId="708" xr:uid="{00000000-0005-0000-0000-000075070000}"/>
    <cellStyle name="Moneda 14 2 2 3 2" xfId="709" xr:uid="{00000000-0005-0000-0000-000076070000}"/>
    <cellStyle name="Moneda 14 2 2 4" xfId="710" xr:uid="{00000000-0005-0000-0000-000077070000}"/>
    <cellStyle name="Moneda 14 2 2 4 2" xfId="711" xr:uid="{00000000-0005-0000-0000-000078070000}"/>
    <cellStyle name="Moneda 14 2 2 5" xfId="712" xr:uid="{00000000-0005-0000-0000-000079070000}"/>
    <cellStyle name="Moneda 14 2 2 5 2" xfId="713" xr:uid="{00000000-0005-0000-0000-00007A070000}"/>
    <cellStyle name="Moneda 14 2 2 6" xfId="714" xr:uid="{00000000-0005-0000-0000-00007B070000}"/>
    <cellStyle name="Moneda 14 2 3" xfId="715" xr:uid="{00000000-0005-0000-0000-00007C070000}"/>
    <cellStyle name="Moneda 14 2 3 2" xfId="716" xr:uid="{00000000-0005-0000-0000-00007D070000}"/>
    <cellStyle name="Moneda 14 2 3 2 2" xfId="717" xr:uid="{00000000-0005-0000-0000-00007E070000}"/>
    <cellStyle name="Moneda 14 2 3 3" xfId="718" xr:uid="{00000000-0005-0000-0000-00007F070000}"/>
    <cellStyle name="Moneda 14 2 3 3 2" xfId="719" xr:uid="{00000000-0005-0000-0000-000080070000}"/>
    <cellStyle name="Moneda 14 2 3 4" xfId="720" xr:uid="{00000000-0005-0000-0000-000081070000}"/>
    <cellStyle name="Moneda 14 2 3 4 2" xfId="721" xr:uid="{00000000-0005-0000-0000-000082070000}"/>
    <cellStyle name="Moneda 14 2 3 5" xfId="722" xr:uid="{00000000-0005-0000-0000-000083070000}"/>
    <cellStyle name="Moneda 14 2 4" xfId="723" xr:uid="{00000000-0005-0000-0000-000084070000}"/>
    <cellStyle name="Moneda 14 2 4 2" xfId="724" xr:uid="{00000000-0005-0000-0000-000085070000}"/>
    <cellStyle name="Moneda 14 2 5" xfId="725" xr:uid="{00000000-0005-0000-0000-000086070000}"/>
    <cellStyle name="Moneda 14 2 5 2" xfId="726" xr:uid="{00000000-0005-0000-0000-000087070000}"/>
    <cellStyle name="Moneda 14 2 6" xfId="727" xr:uid="{00000000-0005-0000-0000-000088070000}"/>
    <cellStyle name="Moneda 14 2 6 2" xfId="728" xr:uid="{00000000-0005-0000-0000-000089070000}"/>
    <cellStyle name="Moneda 14 2 7" xfId="729" xr:uid="{00000000-0005-0000-0000-00008A070000}"/>
    <cellStyle name="Moneda 14 2 8" xfId="730" xr:uid="{00000000-0005-0000-0000-00008B070000}"/>
    <cellStyle name="Moneda 14 3" xfId="731" xr:uid="{00000000-0005-0000-0000-00008C070000}"/>
    <cellStyle name="Moneda 14 3 2" xfId="732" xr:uid="{00000000-0005-0000-0000-00008D070000}"/>
    <cellStyle name="Moneda 14 3 2 2" xfId="733" xr:uid="{00000000-0005-0000-0000-00008E070000}"/>
    <cellStyle name="Moneda 14 3 2 2 2" xfId="734" xr:uid="{00000000-0005-0000-0000-00008F070000}"/>
    <cellStyle name="Moneda 14 3 2 3" xfId="735" xr:uid="{00000000-0005-0000-0000-000090070000}"/>
    <cellStyle name="Moneda 14 3 2 3 2" xfId="736" xr:uid="{00000000-0005-0000-0000-000091070000}"/>
    <cellStyle name="Moneda 14 3 2 4" xfId="737" xr:uid="{00000000-0005-0000-0000-000092070000}"/>
    <cellStyle name="Moneda 14 3 2 4 2" xfId="738" xr:uid="{00000000-0005-0000-0000-000093070000}"/>
    <cellStyle name="Moneda 14 3 2 5" xfId="739" xr:uid="{00000000-0005-0000-0000-000094070000}"/>
    <cellStyle name="Moneda 14 3 3" xfId="740" xr:uid="{00000000-0005-0000-0000-000095070000}"/>
    <cellStyle name="Moneda 14 3 3 2" xfId="741" xr:uid="{00000000-0005-0000-0000-000096070000}"/>
    <cellStyle name="Moneda 14 3 4" xfId="742" xr:uid="{00000000-0005-0000-0000-000097070000}"/>
    <cellStyle name="Moneda 14 3 4 2" xfId="743" xr:uid="{00000000-0005-0000-0000-000098070000}"/>
    <cellStyle name="Moneda 14 3 5" xfId="744" xr:uid="{00000000-0005-0000-0000-000099070000}"/>
    <cellStyle name="Moneda 14 3 5 2" xfId="745" xr:uid="{00000000-0005-0000-0000-00009A070000}"/>
    <cellStyle name="Moneda 14 3 6" xfId="746" xr:uid="{00000000-0005-0000-0000-00009B070000}"/>
    <cellStyle name="Moneda 14 4" xfId="747" xr:uid="{00000000-0005-0000-0000-00009C070000}"/>
    <cellStyle name="Moneda 14 4 2" xfId="748" xr:uid="{00000000-0005-0000-0000-00009D070000}"/>
    <cellStyle name="Moneda 14 4 2 2" xfId="749" xr:uid="{00000000-0005-0000-0000-00009E070000}"/>
    <cellStyle name="Moneda 14 4 3" xfId="750" xr:uid="{00000000-0005-0000-0000-00009F070000}"/>
    <cellStyle name="Moneda 14 4 3 2" xfId="751" xr:uid="{00000000-0005-0000-0000-0000A0070000}"/>
    <cellStyle name="Moneda 14 4 4" xfId="752" xr:uid="{00000000-0005-0000-0000-0000A1070000}"/>
    <cellStyle name="Moneda 14 4 4 2" xfId="753" xr:uid="{00000000-0005-0000-0000-0000A2070000}"/>
    <cellStyle name="Moneda 14 4 5" xfId="754" xr:uid="{00000000-0005-0000-0000-0000A3070000}"/>
    <cellStyle name="Moneda 14 5" xfId="755" xr:uid="{00000000-0005-0000-0000-0000A4070000}"/>
    <cellStyle name="Moneda 14 5 2" xfId="756" xr:uid="{00000000-0005-0000-0000-0000A5070000}"/>
    <cellStyle name="Moneda 14 6" xfId="757" xr:uid="{00000000-0005-0000-0000-0000A6070000}"/>
    <cellStyle name="Moneda 14 6 2" xfId="758" xr:uid="{00000000-0005-0000-0000-0000A7070000}"/>
    <cellStyle name="Moneda 14 7" xfId="759" xr:uid="{00000000-0005-0000-0000-0000A8070000}"/>
    <cellStyle name="Moneda 14 7 2" xfId="760" xr:uid="{00000000-0005-0000-0000-0000A9070000}"/>
    <cellStyle name="Moneda 14 8" xfId="761" xr:uid="{00000000-0005-0000-0000-0000AA070000}"/>
    <cellStyle name="Moneda 14 9" xfId="762" xr:uid="{00000000-0005-0000-0000-0000AB070000}"/>
    <cellStyle name="Moneda 15" xfId="763" xr:uid="{00000000-0005-0000-0000-0000AC070000}"/>
    <cellStyle name="Moneda 15 2" xfId="764" xr:uid="{00000000-0005-0000-0000-0000AD070000}"/>
    <cellStyle name="Moneda 15 2 2" xfId="765" xr:uid="{00000000-0005-0000-0000-0000AE070000}"/>
    <cellStyle name="Moneda 15 2 2 2" xfId="766" xr:uid="{00000000-0005-0000-0000-0000AF070000}"/>
    <cellStyle name="Moneda 15 2 2 2 2" xfId="767" xr:uid="{00000000-0005-0000-0000-0000B0070000}"/>
    <cellStyle name="Moneda 15 2 2 2 2 2" xfId="768" xr:uid="{00000000-0005-0000-0000-0000B1070000}"/>
    <cellStyle name="Moneda 15 2 2 2 3" xfId="769" xr:uid="{00000000-0005-0000-0000-0000B2070000}"/>
    <cellStyle name="Moneda 15 2 2 2 3 2" xfId="770" xr:uid="{00000000-0005-0000-0000-0000B3070000}"/>
    <cellStyle name="Moneda 15 2 2 2 4" xfId="771" xr:uid="{00000000-0005-0000-0000-0000B4070000}"/>
    <cellStyle name="Moneda 15 2 2 2 4 2" xfId="772" xr:uid="{00000000-0005-0000-0000-0000B5070000}"/>
    <cellStyle name="Moneda 15 2 2 2 5" xfId="773" xr:uid="{00000000-0005-0000-0000-0000B6070000}"/>
    <cellStyle name="Moneda 15 2 2 3" xfId="774" xr:uid="{00000000-0005-0000-0000-0000B7070000}"/>
    <cellStyle name="Moneda 15 2 2 3 2" xfId="775" xr:uid="{00000000-0005-0000-0000-0000B8070000}"/>
    <cellStyle name="Moneda 15 2 2 4" xfId="776" xr:uid="{00000000-0005-0000-0000-0000B9070000}"/>
    <cellStyle name="Moneda 15 2 2 4 2" xfId="777" xr:uid="{00000000-0005-0000-0000-0000BA070000}"/>
    <cellStyle name="Moneda 15 2 2 5" xfId="778" xr:uid="{00000000-0005-0000-0000-0000BB070000}"/>
    <cellStyle name="Moneda 15 2 2 5 2" xfId="779" xr:uid="{00000000-0005-0000-0000-0000BC070000}"/>
    <cellStyle name="Moneda 15 2 2 6" xfId="780" xr:uid="{00000000-0005-0000-0000-0000BD070000}"/>
    <cellStyle name="Moneda 15 2 3" xfId="781" xr:uid="{00000000-0005-0000-0000-0000BE070000}"/>
    <cellStyle name="Moneda 15 2 3 2" xfId="782" xr:uid="{00000000-0005-0000-0000-0000BF070000}"/>
    <cellStyle name="Moneda 15 2 3 2 2" xfId="783" xr:uid="{00000000-0005-0000-0000-0000C0070000}"/>
    <cellStyle name="Moneda 15 2 3 3" xfId="784" xr:uid="{00000000-0005-0000-0000-0000C1070000}"/>
    <cellStyle name="Moneda 15 2 3 3 2" xfId="785" xr:uid="{00000000-0005-0000-0000-0000C2070000}"/>
    <cellStyle name="Moneda 15 2 3 4" xfId="786" xr:uid="{00000000-0005-0000-0000-0000C3070000}"/>
    <cellStyle name="Moneda 15 2 3 4 2" xfId="787" xr:uid="{00000000-0005-0000-0000-0000C4070000}"/>
    <cellStyle name="Moneda 15 2 3 5" xfId="788" xr:uid="{00000000-0005-0000-0000-0000C5070000}"/>
    <cellStyle name="Moneda 15 2 4" xfId="789" xr:uid="{00000000-0005-0000-0000-0000C6070000}"/>
    <cellStyle name="Moneda 15 2 4 2" xfId="790" xr:uid="{00000000-0005-0000-0000-0000C7070000}"/>
    <cellStyle name="Moneda 15 2 5" xfId="791" xr:uid="{00000000-0005-0000-0000-0000C8070000}"/>
    <cellStyle name="Moneda 15 2 5 2" xfId="792" xr:uid="{00000000-0005-0000-0000-0000C9070000}"/>
    <cellStyle name="Moneda 15 2 6" xfId="793" xr:uid="{00000000-0005-0000-0000-0000CA070000}"/>
    <cellStyle name="Moneda 15 2 6 2" xfId="794" xr:uid="{00000000-0005-0000-0000-0000CB070000}"/>
    <cellStyle name="Moneda 15 2 7" xfId="795" xr:uid="{00000000-0005-0000-0000-0000CC070000}"/>
    <cellStyle name="Moneda 15 2 8" xfId="796" xr:uid="{00000000-0005-0000-0000-0000CD070000}"/>
    <cellStyle name="Moneda 15 3" xfId="797" xr:uid="{00000000-0005-0000-0000-0000CE070000}"/>
    <cellStyle name="Moneda 15 3 2" xfId="798" xr:uid="{00000000-0005-0000-0000-0000CF070000}"/>
    <cellStyle name="Moneda 15 3 2 2" xfId="799" xr:uid="{00000000-0005-0000-0000-0000D0070000}"/>
    <cellStyle name="Moneda 15 3 2 2 2" xfId="800" xr:uid="{00000000-0005-0000-0000-0000D1070000}"/>
    <cellStyle name="Moneda 15 3 2 3" xfId="801" xr:uid="{00000000-0005-0000-0000-0000D2070000}"/>
    <cellStyle name="Moneda 15 3 2 3 2" xfId="802" xr:uid="{00000000-0005-0000-0000-0000D3070000}"/>
    <cellStyle name="Moneda 15 3 2 4" xfId="803" xr:uid="{00000000-0005-0000-0000-0000D4070000}"/>
    <cellStyle name="Moneda 15 3 2 4 2" xfId="804" xr:uid="{00000000-0005-0000-0000-0000D5070000}"/>
    <cellStyle name="Moneda 15 3 2 5" xfId="805" xr:uid="{00000000-0005-0000-0000-0000D6070000}"/>
    <cellStyle name="Moneda 15 3 3" xfId="806" xr:uid="{00000000-0005-0000-0000-0000D7070000}"/>
    <cellStyle name="Moneda 15 3 3 2" xfId="807" xr:uid="{00000000-0005-0000-0000-0000D8070000}"/>
    <cellStyle name="Moneda 15 3 4" xfId="808" xr:uid="{00000000-0005-0000-0000-0000D9070000}"/>
    <cellStyle name="Moneda 15 3 4 2" xfId="809" xr:uid="{00000000-0005-0000-0000-0000DA070000}"/>
    <cellStyle name="Moneda 15 3 5" xfId="810" xr:uid="{00000000-0005-0000-0000-0000DB070000}"/>
    <cellStyle name="Moneda 15 3 5 2" xfId="811" xr:uid="{00000000-0005-0000-0000-0000DC070000}"/>
    <cellStyle name="Moneda 15 3 6" xfId="812" xr:uid="{00000000-0005-0000-0000-0000DD070000}"/>
    <cellStyle name="Moneda 15 4" xfId="813" xr:uid="{00000000-0005-0000-0000-0000DE070000}"/>
    <cellStyle name="Moneda 15 4 2" xfId="814" xr:uid="{00000000-0005-0000-0000-0000DF070000}"/>
    <cellStyle name="Moneda 15 4 2 2" xfId="815" xr:uid="{00000000-0005-0000-0000-0000E0070000}"/>
    <cellStyle name="Moneda 15 4 3" xfId="816" xr:uid="{00000000-0005-0000-0000-0000E1070000}"/>
    <cellStyle name="Moneda 15 4 3 2" xfId="817" xr:uid="{00000000-0005-0000-0000-0000E2070000}"/>
    <cellStyle name="Moneda 15 4 4" xfId="818" xr:uid="{00000000-0005-0000-0000-0000E3070000}"/>
    <cellStyle name="Moneda 15 4 4 2" xfId="819" xr:uid="{00000000-0005-0000-0000-0000E4070000}"/>
    <cellStyle name="Moneda 15 4 5" xfId="820" xr:uid="{00000000-0005-0000-0000-0000E5070000}"/>
    <cellStyle name="Moneda 15 5" xfId="821" xr:uid="{00000000-0005-0000-0000-0000E6070000}"/>
    <cellStyle name="Moneda 15 5 2" xfId="822" xr:uid="{00000000-0005-0000-0000-0000E7070000}"/>
    <cellStyle name="Moneda 15 6" xfId="823" xr:uid="{00000000-0005-0000-0000-0000E8070000}"/>
    <cellStyle name="Moneda 15 6 2" xfId="824" xr:uid="{00000000-0005-0000-0000-0000E9070000}"/>
    <cellStyle name="Moneda 15 7" xfId="825" xr:uid="{00000000-0005-0000-0000-0000EA070000}"/>
    <cellStyle name="Moneda 15 7 2" xfId="826" xr:uid="{00000000-0005-0000-0000-0000EB070000}"/>
    <cellStyle name="Moneda 15 8" xfId="827" xr:uid="{00000000-0005-0000-0000-0000EC070000}"/>
    <cellStyle name="Moneda 15 9" xfId="828" xr:uid="{00000000-0005-0000-0000-0000ED070000}"/>
    <cellStyle name="Moneda 16" xfId="829" xr:uid="{00000000-0005-0000-0000-0000EE070000}"/>
    <cellStyle name="Moneda 16 2" xfId="830" xr:uid="{00000000-0005-0000-0000-0000EF070000}"/>
    <cellStyle name="Moneda 16 2 2" xfId="831" xr:uid="{00000000-0005-0000-0000-0000F0070000}"/>
    <cellStyle name="Moneda 16 2 2 2" xfId="832" xr:uid="{00000000-0005-0000-0000-0000F1070000}"/>
    <cellStyle name="Moneda 16 2 2 2 2" xfId="833" xr:uid="{00000000-0005-0000-0000-0000F2070000}"/>
    <cellStyle name="Moneda 16 2 2 3" xfId="834" xr:uid="{00000000-0005-0000-0000-0000F3070000}"/>
    <cellStyle name="Moneda 16 2 2 3 2" xfId="835" xr:uid="{00000000-0005-0000-0000-0000F4070000}"/>
    <cellStyle name="Moneda 16 2 2 4" xfId="836" xr:uid="{00000000-0005-0000-0000-0000F5070000}"/>
    <cellStyle name="Moneda 16 2 2 4 2" xfId="837" xr:uid="{00000000-0005-0000-0000-0000F6070000}"/>
    <cellStyle name="Moneda 16 2 2 5" xfId="838" xr:uid="{00000000-0005-0000-0000-0000F7070000}"/>
    <cellStyle name="Moneda 16 2 3" xfId="839" xr:uid="{00000000-0005-0000-0000-0000F8070000}"/>
    <cellStyle name="Moneda 16 2 3 2" xfId="840" xr:uid="{00000000-0005-0000-0000-0000F9070000}"/>
    <cellStyle name="Moneda 16 2 4" xfId="841" xr:uid="{00000000-0005-0000-0000-0000FA070000}"/>
    <cellStyle name="Moneda 16 2 4 2" xfId="842" xr:uid="{00000000-0005-0000-0000-0000FB070000}"/>
    <cellStyle name="Moneda 16 2 5" xfId="843" xr:uid="{00000000-0005-0000-0000-0000FC070000}"/>
    <cellStyle name="Moneda 16 2 5 2" xfId="844" xr:uid="{00000000-0005-0000-0000-0000FD070000}"/>
    <cellStyle name="Moneda 16 2 6" xfId="845" xr:uid="{00000000-0005-0000-0000-0000FE070000}"/>
    <cellStyle name="Moneda 16 2 7" xfId="846" xr:uid="{00000000-0005-0000-0000-0000FF070000}"/>
    <cellStyle name="Moneda 16 3" xfId="847" xr:uid="{00000000-0005-0000-0000-000000080000}"/>
    <cellStyle name="Moneda 16 3 2" xfId="848" xr:uid="{00000000-0005-0000-0000-000001080000}"/>
    <cellStyle name="Moneda 16 3 2 2" xfId="849" xr:uid="{00000000-0005-0000-0000-000002080000}"/>
    <cellStyle name="Moneda 16 3 3" xfId="850" xr:uid="{00000000-0005-0000-0000-000003080000}"/>
    <cellStyle name="Moneda 16 3 3 2" xfId="851" xr:uid="{00000000-0005-0000-0000-000004080000}"/>
    <cellStyle name="Moneda 16 3 4" xfId="852" xr:uid="{00000000-0005-0000-0000-000005080000}"/>
    <cellStyle name="Moneda 16 3 4 2" xfId="853" xr:uid="{00000000-0005-0000-0000-000006080000}"/>
    <cellStyle name="Moneda 16 3 5" xfId="854" xr:uid="{00000000-0005-0000-0000-000007080000}"/>
    <cellStyle name="Moneda 16 4" xfId="855" xr:uid="{00000000-0005-0000-0000-000008080000}"/>
    <cellStyle name="Moneda 16 4 2" xfId="856" xr:uid="{00000000-0005-0000-0000-000009080000}"/>
    <cellStyle name="Moneda 16 5" xfId="857" xr:uid="{00000000-0005-0000-0000-00000A080000}"/>
    <cellStyle name="Moneda 16 5 2" xfId="858" xr:uid="{00000000-0005-0000-0000-00000B080000}"/>
    <cellStyle name="Moneda 16 6" xfId="859" xr:uid="{00000000-0005-0000-0000-00000C080000}"/>
    <cellStyle name="Moneda 16 6 2" xfId="860" xr:uid="{00000000-0005-0000-0000-00000D080000}"/>
    <cellStyle name="Moneda 16 7" xfId="861" xr:uid="{00000000-0005-0000-0000-00000E080000}"/>
    <cellStyle name="Moneda 16 8" xfId="862" xr:uid="{00000000-0005-0000-0000-00000F080000}"/>
    <cellStyle name="Moneda 17" xfId="863" xr:uid="{00000000-0005-0000-0000-000010080000}"/>
    <cellStyle name="Moneda 17 2" xfId="864" xr:uid="{00000000-0005-0000-0000-000011080000}"/>
    <cellStyle name="Moneda 17 2 2" xfId="865" xr:uid="{00000000-0005-0000-0000-000012080000}"/>
    <cellStyle name="Moneda 17 2 2 2" xfId="866" xr:uid="{00000000-0005-0000-0000-000013080000}"/>
    <cellStyle name="Moneda 17 2 2 2 2" xfId="867" xr:uid="{00000000-0005-0000-0000-000014080000}"/>
    <cellStyle name="Moneda 17 2 2 3" xfId="868" xr:uid="{00000000-0005-0000-0000-000015080000}"/>
    <cellStyle name="Moneda 17 2 2 3 2" xfId="869" xr:uid="{00000000-0005-0000-0000-000016080000}"/>
    <cellStyle name="Moneda 17 2 2 4" xfId="870" xr:uid="{00000000-0005-0000-0000-000017080000}"/>
    <cellStyle name="Moneda 17 2 2 4 2" xfId="871" xr:uid="{00000000-0005-0000-0000-000018080000}"/>
    <cellStyle name="Moneda 17 2 2 5" xfId="872" xr:uid="{00000000-0005-0000-0000-000019080000}"/>
    <cellStyle name="Moneda 17 2 3" xfId="873" xr:uid="{00000000-0005-0000-0000-00001A080000}"/>
    <cellStyle name="Moneda 17 2 3 2" xfId="874" xr:uid="{00000000-0005-0000-0000-00001B080000}"/>
    <cellStyle name="Moneda 17 2 4" xfId="875" xr:uid="{00000000-0005-0000-0000-00001C080000}"/>
    <cellStyle name="Moneda 17 2 4 2" xfId="876" xr:uid="{00000000-0005-0000-0000-00001D080000}"/>
    <cellStyle name="Moneda 17 2 5" xfId="877" xr:uid="{00000000-0005-0000-0000-00001E080000}"/>
    <cellStyle name="Moneda 17 2 5 2" xfId="878" xr:uid="{00000000-0005-0000-0000-00001F080000}"/>
    <cellStyle name="Moneda 17 2 6" xfId="879" xr:uid="{00000000-0005-0000-0000-000020080000}"/>
    <cellStyle name="Moneda 17 2 7" xfId="880" xr:uid="{00000000-0005-0000-0000-000021080000}"/>
    <cellStyle name="Moneda 17 3" xfId="881" xr:uid="{00000000-0005-0000-0000-000022080000}"/>
    <cellStyle name="Moneda 17 3 2" xfId="882" xr:uid="{00000000-0005-0000-0000-000023080000}"/>
    <cellStyle name="Moneda 17 3 2 2" xfId="883" xr:uid="{00000000-0005-0000-0000-000024080000}"/>
    <cellStyle name="Moneda 17 3 3" xfId="884" xr:uid="{00000000-0005-0000-0000-000025080000}"/>
    <cellStyle name="Moneda 17 3 3 2" xfId="885" xr:uid="{00000000-0005-0000-0000-000026080000}"/>
    <cellStyle name="Moneda 17 3 4" xfId="886" xr:uid="{00000000-0005-0000-0000-000027080000}"/>
    <cellStyle name="Moneda 17 3 4 2" xfId="887" xr:uid="{00000000-0005-0000-0000-000028080000}"/>
    <cellStyle name="Moneda 17 3 5" xfId="888" xr:uid="{00000000-0005-0000-0000-000029080000}"/>
    <cellStyle name="Moneda 17 4" xfId="889" xr:uid="{00000000-0005-0000-0000-00002A080000}"/>
    <cellStyle name="Moneda 17 4 2" xfId="890" xr:uid="{00000000-0005-0000-0000-00002B080000}"/>
    <cellStyle name="Moneda 17 5" xfId="891" xr:uid="{00000000-0005-0000-0000-00002C080000}"/>
    <cellStyle name="Moneda 17 5 2" xfId="892" xr:uid="{00000000-0005-0000-0000-00002D080000}"/>
    <cellStyle name="Moneda 17 6" xfId="893" xr:uid="{00000000-0005-0000-0000-00002E080000}"/>
    <cellStyle name="Moneda 17 6 2" xfId="894" xr:uid="{00000000-0005-0000-0000-00002F080000}"/>
    <cellStyle name="Moneda 17 7" xfId="895" xr:uid="{00000000-0005-0000-0000-000030080000}"/>
    <cellStyle name="Moneda 17 8" xfId="896" xr:uid="{00000000-0005-0000-0000-000031080000}"/>
    <cellStyle name="Moneda 18" xfId="897" xr:uid="{00000000-0005-0000-0000-000032080000}"/>
    <cellStyle name="Moneda 18 2" xfId="898" xr:uid="{00000000-0005-0000-0000-000033080000}"/>
    <cellStyle name="Moneda 18 2 2" xfId="899" xr:uid="{00000000-0005-0000-0000-000034080000}"/>
    <cellStyle name="Moneda 18 2 2 2" xfId="900" xr:uid="{00000000-0005-0000-0000-000035080000}"/>
    <cellStyle name="Moneda 18 2 2 2 2" xfId="901" xr:uid="{00000000-0005-0000-0000-000036080000}"/>
    <cellStyle name="Moneda 18 2 2 3" xfId="902" xr:uid="{00000000-0005-0000-0000-000037080000}"/>
    <cellStyle name="Moneda 18 2 2 3 2" xfId="903" xr:uid="{00000000-0005-0000-0000-000038080000}"/>
    <cellStyle name="Moneda 18 2 2 4" xfId="904" xr:uid="{00000000-0005-0000-0000-000039080000}"/>
    <cellStyle name="Moneda 18 2 2 4 2" xfId="905" xr:uid="{00000000-0005-0000-0000-00003A080000}"/>
    <cellStyle name="Moneda 18 2 2 5" xfId="906" xr:uid="{00000000-0005-0000-0000-00003B080000}"/>
    <cellStyle name="Moneda 18 2 3" xfId="907" xr:uid="{00000000-0005-0000-0000-00003C080000}"/>
    <cellStyle name="Moneda 18 2 3 2" xfId="908" xr:uid="{00000000-0005-0000-0000-00003D080000}"/>
    <cellStyle name="Moneda 18 2 4" xfId="909" xr:uid="{00000000-0005-0000-0000-00003E080000}"/>
    <cellStyle name="Moneda 18 2 4 2" xfId="910" xr:uid="{00000000-0005-0000-0000-00003F080000}"/>
    <cellStyle name="Moneda 18 2 5" xfId="911" xr:uid="{00000000-0005-0000-0000-000040080000}"/>
    <cellStyle name="Moneda 18 2 5 2" xfId="912" xr:uid="{00000000-0005-0000-0000-000041080000}"/>
    <cellStyle name="Moneda 18 2 6" xfId="913" xr:uid="{00000000-0005-0000-0000-000042080000}"/>
    <cellStyle name="Moneda 18 2 7" xfId="914" xr:uid="{00000000-0005-0000-0000-000043080000}"/>
    <cellStyle name="Moneda 18 3" xfId="915" xr:uid="{00000000-0005-0000-0000-000044080000}"/>
    <cellStyle name="Moneda 18 3 2" xfId="916" xr:uid="{00000000-0005-0000-0000-000045080000}"/>
    <cellStyle name="Moneda 18 3 2 2" xfId="917" xr:uid="{00000000-0005-0000-0000-000046080000}"/>
    <cellStyle name="Moneda 18 3 3" xfId="918" xr:uid="{00000000-0005-0000-0000-000047080000}"/>
    <cellStyle name="Moneda 18 3 3 2" xfId="919" xr:uid="{00000000-0005-0000-0000-000048080000}"/>
    <cellStyle name="Moneda 18 3 4" xfId="920" xr:uid="{00000000-0005-0000-0000-000049080000}"/>
    <cellStyle name="Moneda 18 3 4 2" xfId="921" xr:uid="{00000000-0005-0000-0000-00004A080000}"/>
    <cellStyle name="Moneda 18 3 5" xfId="922" xr:uid="{00000000-0005-0000-0000-00004B080000}"/>
    <cellStyle name="Moneda 18 4" xfId="923" xr:uid="{00000000-0005-0000-0000-00004C080000}"/>
    <cellStyle name="Moneda 18 4 2" xfId="924" xr:uid="{00000000-0005-0000-0000-00004D080000}"/>
    <cellStyle name="Moneda 18 5" xfId="925" xr:uid="{00000000-0005-0000-0000-00004E080000}"/>
    <cellStyle name="Moneda 18 5 2" xfId="926" xr:uid="{00000000-0005-0000-0000-00004F080000}"/>
    <cellStyle name="Moneda 18 6" xfId="927" xr:uid="{00000000-0005-0000-0000-000050080000}"/>
    <cellStyle name="Moneda 18 6 2" xfId="928" xr:uid="{00000000-0005-0000-0000-000051080000}"/>
    <cellStyle name="Moneda 18 7" xfId="929" xr:uid="{00000000-0005-0000-0000-000052080000}"/>
    <cellStyle name="Moneda 18 8" xfId="930" xr:uid="{00000000-0005-0000-0000-000053080000}"/>
    <cellStyle name="Moneda 19" xfId="931" xr:uid="{00000000-0005-0000-0000-000054080000}"/>
    <cellStyle name="Moneda 19 2" xfId="932" xr:uid="{00000000-0005-0000-0000-000055080000}"/>
    <cellStyle name="Moneda 19 2 2" xfId="933" xr:uid="{00000000-0005-0000-0000-000056080000}"/>
    <cellStyle name="Moneda 19 2 2 2" xfId="934" xr:uid="{00000000-0005-0000-0000-000057080000}"/>
    <cellStyle name="Moneda 19 2 2 2 2" xfId="935" xr:uid="{00000000-0005-0000-0000-000058080000}"/>
    <cellStyle name="Moneda 19 2 2 3" xfId="936" xr:uid="{00000000-0005-0000-0000-000059080000}"/>
    <cellStyle name="Moneda 19 2 2 3 2" xfId="937" xr:uid="{00000000-0005-0000-0000-00005A080000}"/>
    <cellStyle name="Moneda 19 2 2 4" xfId="938" xr:uid="{00000000-0005-0000-0000-00005B080000}"/>
    <cellStyle name="Moneda 19 2 2 4 2" xfId="939" xr:uid="{00000000-0005-0000-0000-00005C080000}"/>
    <cellStyle name="Moneda 19 2 2 5" xfId="940" xr:uid="{00000000-0005-0000-0000-00005D080000}"/>
    <cellStyle name="Moneda 19 2 3" xfId="941" xr:uid="{00000000-0005-0000-0000-00005E080000}"/>
    <cellStyle name="Moneda 19 2 3 2" xfId="942" xr:uid="{00000000-0005-0000-0000-00005F080000}"/>
    <cellStyle name="Moneda 19 2 4" xfId="943" xr:uid="{00000000-0005-0000-0000-000060080000}"/>
    <cellStyle name="Moneda 19 2 4 2" xfId="944" xr:uid="{00000000-0005-0000-0000-000061080000}"/>
    <cellStyle name="Moneda 19 2 5" xfId="945" xr:uid="{00000000-0005-0000-0000-000062080000}"/>
    <cellStyle name="Moneda 19 2 5 2" xfId="946" xr:uid="{00000000-0005-0000-0000-000063080000}"/>
    <cellStyle name="Moneda 19 2 6" xfId="947" xr:uid="{00000000-0005-0000-0000-000064080000}"/>
    <cellStyle name="Moneda 19 2 7" xfId="948" xr:uid="{00000000-0005-0000-0000-000065080000}"/>
    <cellStyle name="Moneda 19 3" xfId="949" xr:uid="{00000000-0005-0000-0000-000066080000}"/>
    <cellStyle name="Moneda 19 3 2" xfId="950" xr:uid="{00000000-0005-0000-0000-000067080000}"/>
    <cellStyle name="Moneda 19 3 2 2" xfId="951" xr:uid="{00000000-0005-0000-0000-000068080000}"/>
    <cellStyle name="Moneda 19 3 3" xfId="952" xr:uid="{00000000-0005-0000-0000-000069080000}"/>
    <cellStyle name="Moneda 19 3 3 2" xfId="953" xr:uid="{00000000-0005-0000-0000-00006A080000}"/>
    <cellStyle name="Moneda 19 3 4" xfId="954" xr:uid="{00000000-0005-0000-0000-00006B080000}"/>
    <cellStyle name="Moneda 19 3 4 2" xfId="955" xr:uid="{00000000-0005-0000-0000-00006C080000}"/>
    <cellStyle name="Moneda 19 3 5" xfId="956" xr:uid="{00000000-0005-0000-0000-00006D080000}"/>
    <cellStyle name="Moneda 19 4" xfId="957" xr:uid="{00000000-0005-0000-0000-00006E080000}"/>
    <cellStyle name="Moneda 19 4 2" xfId="958" xr:uid="{00000000-0005-0000-0000-00006F080000}"/>
    <cellStyle name="Moneda 19 5" xfId="959" xr:uid="{00000000-0005-0000-0000-000070080000}"/>
    <cellStyle name="Moneda 19 5 2" xfId="960" xr:uid="{00000000-0005-0000-0000-000071080000}"/>
    <cellStyle name="Moneda 19 6" xfId="961" xr:uid="{00000000-0005-0000-0000-000072080000}"/>
    <cellStyle name="Moneda 19 6 2" xfId="962" xr:uid="{00000000-0005-0000-0000-000073080000}"/>
    <cellStyle name="Moneda 19 7" xfId="963" xr:uid="{00000000-0005-0000-0000-000074080000}"/>
    <cellStyle name="Moneda 19 8" xfId="964" xr:uid="{00000000-0005-0000-0000-000075080000}"/>
    <cellStyle name="Moneda 2" xfId="10" xr:uid="{00000000-0005-0000-0000-000076080000}"/>
    <cellStyle name="Moneda 2 2" xfId="11" xr:uid="{00000000-0005-0000-0000-000077080000}"/>
    <cellStyle name="Moneda 2 2 2" xfId="12" xr:uid="{00000000-0005-0000-0000-000078080000}"/>
    <cellStyle name="Moneda 2 2 3" xfId="965" xr:uid="{00000000-0005-0000-0000-000079080000}"/>
    <cellStyle name="Moneda 2 2 3 2" xfId="966" xr:uid="{00000000-0005-0000-0000-00007A080000}"/>
    <cellStyle name="Moneda 2 3" xfId="13" xr:uid="{00000000-0005-0000-0000-00007B080000}"/>
    <cellStyle name="Moneda 2 3 10" xfId="967" xr:uid="{00000000-0005-0000-0000-00007C080000}"/>
    <cellStyle name="Moneda 2 3 10 2" xfId="968" xr:uid="{00000000-0005-0000-0000-00007D080000}"/>
    <cellStyle name="Moneda 2 3 10 2 2" xfId="969" xr:uid="{00000000-0005-0000-0000-00007E080000}"/>
    <cellStyle name="Moneda 2 3 10 3" xfId="970" xr:uid="{00000000-0005-0000-0000-00007F080000}"/>
    <cellStyle name="Moneda 2 3 11" xfId="971" xr:uid="{00000000-0005-0000-0000-000080080000}"/>
    <cellStyle name="Moneda 2 3 11 2" xfId="972" xr:uid="{00000000-0005-0000-0000-000081080000}"/>
    <cellStyle name="Moneda 2 3 11 3" xfId="973" xr:uid="{00000000-0005-0000-0000-000082080000}"/>
    <cellStyle name="Moneda 2 3 12" xfId="974" xr:uid="{00000000-0005-0000-0000-000083080000}"/>
    <cellStyle name="Moneda 2 3 2" xfId="975" xr:uid="{00000000-0005-0000-0000-000084080000}"/>
    <cellStyle name="Moneda 2 3 2 10" xfId="976" xr:uid="{00000000-0005-0000-0000-000085080000}"/>
    <cellStyle name="Moneda 2 3 2 11" xfId="977" xr:uid="{00000000-0005-0000-0000-000086080000}"/>
    <cellStyle name="Moneda 2 3 2 2" xfId="978" xr:uid="{00000000-0005-0000-0000-000087080000}"/>
    <cellStyle name="Moneda 2 3 2 2 2" xfId="979" xr:uid="{00000000-0005-0000-0000-000088080000}"/>
    <cellStyle name="Moneda 2 3 2 2 2 2" xfId="980" xr:uid="{00000000-0005-0000-0000-000089080000}"/>
    <cellStyle name="Moneda 2 3 2 2 2 2 2" xfId="981" xr:uid="{00000000-0005-0000-0000-00008A080000}"/>
    <cellStyle name="Moneda 2 3 2 2 2 2 2 2" xfId="982" xr:uid="{00000000-0005-0000-0000-00008B080000}"/>
    <cellStyle name="Moneda 2 3 2 2 2 2 2 2 2" xfId="983" xr:uid="{00000000-0005-0000-0000-00008C080000}"/>
    <cellStyle name="Moneda 2 3 2 2 2 2 2 3" xfId="984" xr:uid="{00000000-0005-0000-0000-00008D080000}"/>
    <cellStyle name="Moneda 2 3 2 2 2 2 3" xfId="985" xr:uid="{00000000-0005-0000-0000-00008E080000}"/>
    <cellStyle name="Moneda 2 3 2 2 2 2 3 2" xfId="986" xr:uid="{00000000-0005-0000-0000-00008F080000}"/>
    <cellStyle name="Moneda 2 3 2 2 2 2 3 3" xfId="987" xr:uid="{00000000-0005-0000-0000-000090080000}"/>
    <cellStyle name="Moneda 2 3 2 2 2 2 4" xfId="988" xr:uid="{00000000-0005-0000-0000-000091080000}"/>
    <cellStyle name="Moneda 2 3 2 2 2 2 4 2" xfId="989" xr:uid="{00000000-0005-0000-0000-000092080000}"/>
    <cellStyle name="Moneda 2 3 2 2 2 2 5" xfId="990" xr:uid="{00000000-0005-0000-0000-000093080000}"/>
    <cellStyle name="Moneda 2 3 2 2 2 2 6" xfId="991" xr:uid="{00000000-0005-0000-0000-000094080000}"/>
    <cellStyle name="Moneda 2 3 2 2 2 3" xfId="992" xr:uid="{00000000-0005-0000-0000-000095080000}"/>
    <cellStyle name="Moneda 2 3 2 2 2 3 2" xfId="993" xr:uid="{00000000-0005-0000-0000-000096080000}"/>
    <cellStyle name="Moneda 2 3 2 2 2 3 2 2" xfId="994" xr:uid="{00000000-0005-0000-0000-000097080000}"/>
    <cellStyle name="Moneda 2 3 2 2 2 3 3" xfId="995" xr:uid="{00000000-0005-0000-0000-000098080000}"/>
    <cellStyle name="Moneda 2 3 2 2 2 4" xfId="996" xr:uid="{00000000-0005-0000-0000-000099080000}"/>
    <cellStyle name="Moneda 2 3 2 2 2 4 2" xfId="997" xr:uid="{00000000-0005-0000-0000-00009A080000}"/>
    <cellStyle name="Moneda 2 3 2 2 2 4 3" xfId="998" xr:uid="{00000000-0005-0000-0000-00009B080000}"/>
    <cellStyle name="Moneda 2 3 2 2 2 5" xfId="999" xr:uid="{00000000-0005-0000-0000-00009C080000}"/>
    <cellStyle name="Moneda 2 3 2 2 2 5 2" xfId="1000" xr:uid="{00000000-0005-0000-0000-00009D080000}"/>
    <cellStyle name="Moneda 2 3 2 2 2 6" xfId="1001" xr:uid="{00000000-0005-0000-0000-00009E080000}"/>
    <cellStyle name="Moneda 2 3 2 2 2 7" xfId="1002" xr:uid="{00000000-0005-0000-0000-00009F080000}"/>
    <cellStyle name="Moneda 2 3 2 2 3" xfId="1003" xr:uid="{00000000-0005-0000-0000-0000A0080000}"/>
    <cellStyle name="Moneda 2 3 2 2 3 2" xfId="1004" xr:uid="{00000000-0005-0000-0000-0000A1080000}"/>
    <cellStyle name="Moneda 2 3 2 2 3 2 2" xfId="1005" xr:uid="{00000000-0005-0000-0000-0000A2080000}"/>
    <cellStyle name="Moneda 2 3 2 2 3 2 2 2" xfId="1006" xr:uid="{00000000-0005-0000-0000-0000A3080000}"/>
    <cellStyle name="Moneda 2 3 2 2 3 2 2 3" xfId="1007" xr:uid="{00000000-0005-0000-0000-0000A4080000}"/>
    <cellStyle name="Moneda 2 3 2 2 3 2 3" xfId="1008" xr:uid="{00000000-0005-0000-0000-0000A5080000}"/>
    <cellStyle name="Moneda 2 3 2 2 3 2 4" xfId="1009" xr:uid="{00000000-0005-0000-0000-0000A6080000}"/>
    <cellStyle name="Moneda 2 3 2 2 3 3" xfId="1010" xr:uid="{00000000-0005-0000-0000-0000A7080000}"/>
    <cellStyle name="Moneda 2 3 2 2 3 3 2" xfId="1011" xr:uid="{00000000-0005-0000-0000-0000A8080000}"/>
    <cellStyle name="Moneda 2 3 2 2 3 3 2 2" xfId="1012" xr:uid="{00000000-0005-0000-0000-0000A9080000}"/>
    <cellStyle name="Moneda 2 3 2 2 3 3 3" xfId="1013" xr:uid="{00000000-0005-0000-0000-0000AA080000}"/>
    <cellStyle name="Moneda 2 3 2 2 3 4" xfId="1014" xr:uid="{00000000-0005-0000-0000-0000AB080000}"/>
    <cellStyle name="Moneda 2 3 2 2 3 4 2" xfId="1015" xr:uid="{00000000-0005-0000-0000-0000AC080000}"/>
    <cellStyle name="Moneda 2 3 2 2 3 4 3" xfId="1016" xr:uid="{00000000-0005-0000-0000-0000AD080000}"/>
    <cellStyle name="Moneda 2 3 2 2 3 5" xfId="1017" xr:uid="{00000000-0005-0000-0000-0000AE080000}"/>
    <cellStyle name="Moneda 2 3 2 2 3 6" xfId="1018" xr:uid="{00000000-0005-0000-0000-0000AF080000}"/>
    <cellStyle name="Moneda 2 3 2 2 4" xfId="1019" xr:uid="{00000000-0005-0000-0000-0000B0080000}"/>
    <cellStyle name="Moneda 2 3 2 2 4 2" xfId="1020" xr:uid="{00000000-0005-0000-0000-0000B1080000}"/>
    <cellStyle name="Moneda 2 3 2 2 4 2 2" xfId="1021" xr:uid="{00000000-0005-0000-0000-0000B2080000}"/>
    <cellStyle name="Moneda 2 3 2 2 4 2 2 2" xfId="1022" xr:uid="{00000000-0005-0000-0000-0000B3080000}"/>
    <cellStyle name="Moneda 2 3 2 2 4 2 3" xfId="1023" xr:uid="{00000000-0005-0000-0000-0000B4080000}"/>
    <cellStyle name="Moneda 2 3 2 2 4 2 4" xfId="1024" xr:uid="{00000000-0005-0000-0000-0000B5080000}"/>
    <cellStyle name="Moneda 2 3 2 2 4 3" xfId="1025" xr:uid="{00000000-0005-0000-0000-0000B6080000}"/>
    <cellStyle name="Moneda 2 3 2 2 4 3 2" xfId="1026" xr:uid="{00000000-0005-0000-0000-0000B7080000}"/>
    <cellStyle name="Moneda 2 3 2 2 4 4" xfId="1027" xr:uid="{00000000-0005-0000-0000-0000B8080000}"/>
    <cellStyle name="Moneda 2 3 2 2 4 5" xfId="1028" xr:uid="{00000000-0005-0000-0000-0000B9080000}"/>
    <cellStyle name="Moneda 2 3 2 2 5" xfId="1029" xr:uid="{00000000-0005-0000-0000-0000BA080000}"/>
    <cellStyle name="Moneda 2 3 2 2 5 2" xfId="1030" xr:uid="{00000000-0005-0000-0000-0000BB080000}"/>
    <cellStyle name="Moneda 2 3 2 2 5 2 2" xfId="1031" xr:uid="{00000000-0005-0000-0000-0000BC080000}"/>
    <cellStyle name="Moneda 2 3 2 2 5 2 3" xfId="1032" xr:uid="{00000000-0005-0000-0000-0000BD080000}"/>
    <cellStyle name="Moneda 2 3 2 2 5 3" xfId="1033" xr:uid="{00000000-0005-0000-0000-0000BE080000}"/>
    <cellStyle name="Moneda 2 3 2 2 5 4" xfId="1034" xr:uid="{00000000-0005-0000-0000-0000BF080000}"/>
    <cellStyle name="Moneda 2 3 2 2 6" xfId="1035" xr:uid="{00000000-0005-0000-0000-0000C0080000}"/>
    <cellStyle name="Moneda 2 3 2 2 6 2" xfId="1036" xr:uid="{00000000-0005-0000-0000-0000C1080000}"/>
    <cellStyle name="Moneda 2 3 2 2 6 2 2" xfId="1037" xr:uid="{00000000-0005-0000-0000-0000C2080000}"/>
    <cellStyle name="Moneda 2 3 2 2 6 3" xfId="1038" xr:uid="{00000000-0005-0000-0000-0000C3080000}"/>
    <cellStyle name="Moneda 2 3 2 2 7" xfId="1039" xr:uid="{00000000-0005-0000-0000-0000C4080000}"/>
    <cellStyle name="Moneda 2 3 2 2 7 2" xfId="1040" xr:uid="{00000000-0005-0000-0000-0000C5080000}"/>
    <cellStyle name="Moneda 2 3 2 2 8" xfId="1041" xr:uid="{00000000-0005-0000-0000-0000C6080000}"/>
    <cellStyle name="Moneda 2 3 2 3" xfId="1042" xr:uid="{00000000-0005-0000-0000-0000C7080000}"/>
    <cellStyle name="Moneda 2 3 2 3 2" xfId="1043" xr:uid="{00000000-0005-0000-0000-0000C8080000}"/>
    <cellStyle name="Moneda 2 3 2 3 2 2" xfId="1044" xr:uid="{00000000-0005-0000-0000-0000C9080000}"/>
    <cellStyle name="Moneda 2 3 2 3 2 2 2" xfId="1045" xr:uid="{00000000-0005-0000-0000-0000CA080000}"/>
    <cellStyle name="Moneda 2 3 2 3 2 2 2 2" xfId="1046" xr:uid="{00000000-0005-0000-0000-0000CB080000}"/>
    <cellStyle name="Moneda 2 3 2 3 2 2 2 3" xfId="1047" xr:uid="{00000000-0005-0000-0000-0000CC080000}"/>
    <cellStyle name="Moneda 2 3 2 3 2 2 3" xfId="1048" xr:uid="{00000000-0005-0000-0000-0000CD080000}"/>
    <cellStyle name="Moneda 2 3 2 3 2 2 3 2" xfId="1049" xr:uid="{00000000-0005-0000-0000-0000CE080000}"/>
    <cellStyle name="Moneda 2 3 2 3 2 2 4" xfId="1050" xr:uid="{00000000-0005-0000-0000-0000CF080000}"/>
    <cellStyle name="Moneda 2 3 2 3 2 2 4 2" xfId="1051" xr:uid="{00000000-0005-0000-0000-0000D0080000}"/>
    <cellStyle name="Moneda 2 3 2 3 2 2 5" xfId="1052" xr:uid="{00000000-0005-0000-0000-0000D1080000}"/>
    <cellStyle name="Moneda 2 3 2 3 2 2 6" xfId="1053" xr:uid="{00000000-0005-0000-0000-0000D2080000}"/>
    <cellStyle name="Moneda 2 3 2 3 2 3" xfId="1054" xr:uid="{00000000-0005-0000-0000-0000D3080000}"/>
    <cellStyle name="Moneda 2 3 2 3 2 3 2" xfId="1055" xr:uid="{00000000-0005-0000-0000-0000D4080000}"/>
    <cellStyle name="Moneda 2 3 2 3 2 3 3" xfId="1056" xr:uid="{00000000-0005-0000-0000-0000D5080000}"/>
    <cellStyle name="Moneda 2 3 2 3 2 4" xfId="1057" xr:uid="{00000000-0005-0000-0000-0000D6080000}"/>
    <cellStyle name="Moneda 2 3 2 3 2 4 2" xfId="1058" xr:uid="{00000000-0005-0000-0000-0000D7080000}"/>
    <cellStyle name="Moneda 2 3 2 3 2 5" xfId="1059" xr:uid="{00000000-0005-0000-0000-0000D8080000}"/>
    <cellStyle name="Moneda 2 3 2 3 2 5 2" xfId="1060" xr:uid="{00000000-0005-0000-0000-0000D9080000}"/>
    <cellStyle name="Moneda 2 3 2 3 2 6" xfId="1061" xr:uid="{00000000-0005-0000-0000-0000DA080000}"/>
    <cellStyle name="Moneda 2 3 2 3 2 7" xfId="1062" xr:uid="{00000000-0005-0000-0000-0000DB080000}"/>
    <cellStyle name="Moneda 2 3 2 3 3" xfId="1063" xr:uid="{00000000-0005-0000-0000-0000DC080000}"/>
    <cellStyle name="Moneda 2 3 2 3 3 2" xfId="1064" xr:uid="{00000000-0005-0000-0000-0000DD080000}"/>
    <cellStyle name="Moneda 2 3 2 3 3 2 2" xfId="1065" xr:uid="{00000000-0005-0000-0000-0000DE080000}"/>
    <cellStyle name="Moneda 2 3 2 3 3 2 3" xfId="1066" xr:uid="{00000000-0005-0000-0000-0000DF080000}"/>
    <cellStyle name="Moneda 2 3 2 3 3 3" xfId="1067" xr:uid="{00000000-0005-0000-0000-0000E0080000}"/>
    <cellStyle name="Moneda 2 3 2 3 3 3 2" xfId="1068" xr:uid="{00000000-0005-0000-0000-0000E1080000}"/>
    <cellStyle name="Moneda 2 3 2 3 3 4" xfId="1069" xr:uid="{00000000-0005-0000-0000-0000E2080000}"/>
    <cellStyle name="Moneda 2 3 2 3 3 4 2" xfId="1070" xr:uid="{00000000-0005-0000-0000-0000E3080000}"/>
    <cellStyle name="Moneda 2 3 2 3 3 5" xfId="1071" xr:uid="{00000000-0005-0000-0000-0000E4080000}"/>
    <cellStyle name="Moneda 2 3 2 3 3 6" xfId="1072" xr:uid="{00000000-0005-0000-0000-0000E5080000}"/>
    <cellStyle name="Moneda 2 3 2 3 4" xfId="1073" xr:uid="{00000000-0005-0000-0000-0000E6080000}"/>
    <cellStyle name="Moneda 2 3 2 3 4 2" xfId="1074" xr:uid="{00000000-0005-0000-0000-0000E7080000}"/>
    <cellStyle name="Moneda 2 3 2 3 4 3" xfId="1075" xr:uid="{00000000-0005-0000-0000-0000E8080000}"/>
    <cellStyle name="Moneda 2 3 2 3 5" xfId="1076" xr:uid="{00000000-0005-0000-0000-0000E9080000}"/>
    <cellStyle name="Moneda 2 3 2 3 5 2" xfId="1077" xr:uid="{00000000-0005-0000-0000-0000EA080000}"/>
    <cellStyle name="Moneda 2 3 2 3 6" xfId="1078" xr:uid="{00000000-0005-0000-0000-0000EB080000}"/>
    <cellStyle name="Moneda 2 3 2 3 6 2" xfId="1079" xr:uid="{00000000-0005-0000-0000-0000EC080000}"/>
    <cellStyle name="Moneda 2 3 2 3 7" xfId="1080" xr:uid="{00000000-0005-0000-0000-0000ED080000}"/>
    <cellStyle name="Moneda 2 3 2 3 8" xfId="1081" xr:uid="{00000000-0005-0000-0000-0000EE080000}"/>
    <cellStyle name="Moneda 2 3 2 4" xfId="1082" xr:uid="{00000000-0005-0000-0000-0000EF080000}"/>
    <cellStyle name="Moneda 2 3 2 4 2" xfId="1083" xr:uid="{00000000-0005-0000-0000-0000F0080000}"/>
    <cellStyle name="Moneda 2 3 2 4 2 2" xfId="1084" xr:uid="{00000000-0005-0000-0000-0000F1080000}"/>
    <cellStyle name="Moneda 2 3 2 4 2 2 2" xfId="1085" xr:uid="{00000000-0005-0000-0000-0000F2080000}"/>
    <cellStyle name="Moneda 2 3 2 4 2 2 2 2" xfId="1086" xr:uid="{00000000-0005-0000-0000-0000F3080000}"/>
    <cellStyle name="Moneda 2 3 2 4 2 2 2 3" xfId="1087" xr:uid="{00000000-0005-0000-0000-0000F4080000}"/>
    <cellStyle name="Moneda 2 3 2 4 2 2 3" xfId="1088" xr:uid="{00000000-0005-0000-0000-0000F5080000}"/>
    <cellStyle name="Moneda 2 3 2 4 2 2 3 2" xfId="1089" xr:uid="{00000000-0005-0000-0000-0000F6080000}"/>
    <cellStyle name="Moneda 2 3 2 4 2 2 4" xfId="1090" xr:uid="{00000000-0005-0000-0000-0000F7080000}"/>
    <cellStyle name="Moneda 2 3 2 4 2 2 4 2" xfId="1091" xr:uid="{00000000-0005-0000-0000-0000F8080000}"/>
    <cellStyle name="Moneda 2 3 2 4 2 2 5" xfId="1092" xr:uid="{00000000-0005-0000-0000-0000F9080000}"/>
    <cellStyle name="Moneda 2 3 2 4 2 2 6" xfId="1093" xr:uid="{00000000-0005-0000-0000-0000FA080000}"/>
    <cellStyle name="Moneda 2 3 2 4 2 3" xfId="1094" xr:uid="{00000000-0005-0000-0000-0000FB080000}"/>
    <cellStyle name="Moneda 2 3 2 4 2 3 2" xfId="1095" xr:uid="{00000000-0005-0000-0000-0000FC080000}"/>
    <cellStyle name="Moneda 2 3 2 4 2 3 3" xfId="1096" xr:uid="{00000000-0005-0000-0000-0000FD080000}"/>
    <cellStyle name="Moneda 2 3 2 4 2 4" xfId="1097" xr:uid="{00000000-0005-0000-0000-0000FE080000}"/>
    <cellStyle name="Moneda 2 3 2 4 2 4 2" xfId="1098" xr:uid="{00000000-0005-0000-0000-0000FF080000}"/>
    <cellStyle name="Moneda 2 3 2 4 2 5" xfId="1099" xr:uid="{00000000-0005-0000-0000-000000090000}"/>
    <cellStyle name="Moneda 2 3 2 4 2 5 2" xfId="1100" xr:uid="{00000000-0005-0000-0000-000001090000}"/>
    <cellStyle name="Moneda 2 3 2 4 2 6" xfId="1101" xr:uid="{00000000-0005-0000-0000-000002090000}"/>
    <cellStyle name="Moneda 2 3 2 4 2 7" xfId="1102" xr:uid="{00000000-0005-0000-0000-000003090000}"/>
    <cellStyle name="Moneda 2 3 2 4 3" xfId="1103" xr:uid="{00000000-0005-0000-0000-000004090000}"/>
    <cellStyle name="Moneda 2 3 2 4 3 2" xfId="1104" xr:uid="{00000000-0005-0000-0000-000005090000}"/>
    <cellStyle name="Moneda 2 3 2 4 3 2 2" xfId="1105" xr:uid="{00000000-0005-0000-0000-000006090000}"/>
    <cellStyle name="Moneda 2 3 2 4 3 2 3" xfId="1106" xr:uid="{00000000-0005-0000-0000-000007090000}"/>
    <cellStyle name="Moneda 2 3 2 4 3 3" xfId="1107" xr:uid="{00000000-0005-0000-0000-000008090000}"/>
    <cellStyle name="Moneda 2 3 2 4 3 3 2" xfId="1108" xr:uid="{00000000-0005-0000-0000-000009090000}"/>
    <cellStyle name="Moneda 2 3 2 4 3 4" xfId="1109" xr:uid="{00000000-0005-0000-0000-00000A090000}"/>
    <cellStyle name="Moneda 2 3 2 4 3 4 2" xfId="1110" xr:uid="{00000000-0005-0000-0000-00000B090000}"/>
    <cellStyle name="Moneda 2 3 2 4 3 5" xfId="1111" xr:uid="{00000000-0005-0000-0000-00000C090000}"/>
    <cellStyle name="Moneda 2 3 2 4 3 6" xfId="1112" xr:uid="{00000000-0005-0000-0000-00000D090000}"/>
    <cellStyle name="Moneda 2 3 2 4 4" xfId="1113" xr:uid="{00000000-0005-0000-0000-00000E090000}"/>
    <cellStyle name="Moneda 2 3 2 4 4 2" xfId="1114" xr:uid="{00000000-0005-0000-0000-00000F090000}"/>
    <cellStyle name="Moneda 2 3 2 4 4 3" xfId="1115" xr:uid="{00000000-0005-0000-0000-000010090000}"/>
    <cellStyle name="Moneda 2 3 2 4 5" xfId="1116" xr:uid="{00000000-0005-0000-0000-000011090000}"/>
    <cellStyle name="Moneda 2 3 2 4 5 2" xfId="1117" xr:uid="{00000000-0005-0000-0000-000012090000}"/>
    <cellStyle name="Moneda 2 3 2 4 6" xfId="1118" xr:uid="{00000000-0005-0000-0000-000013090000}"/>
    <cellStyle name="Moneda 2 3 2 4 6 2" xfId="1119" xr:uid="{00000000-0005-0000-0000-000014090000}"/>
    <cellStyle name="Moneda 2 3 2 4 7" xfId="1120" xr:uid="{00000000-0005-0000-0000-000015090000}"/>
    <cellStyle name="Moneda 2 3 2 4 8" xfId="1121" xr:uid="{00000000-0005-0000-0000-000016090000}"/>
    <cellStyle name="Moneda 2 3 2 5" xfId="1122" xr:uid="{00000000-0005-0000-0000-000017090000}"/>
    <cellStyle name="Moneda 2 3 2 5 2" xfId="1123" xr:uid="{00000000-0005-0000-0000-000018090000}"/>
    <cellStyle name="Moneda 2 3 2 5 2 2" xfId="1124" xr:uid="{00000000-0005-0000-0000-000019090000}"/>
    <cellStyle name="Moneda 2 3 2 5 2 2 2" xfId="1125" xr:uid="{00000000-0005-0000-0000-00001A090000}"/>
    <cellStyle name="Moneda 2 3 2 5 2 2 2 2" xfId="1126" xr:uid="{00000000-0005-0000-0000-00001B090000}"/>
    <cellStyle name="Moneda 2 3 2 5 2 2 3" xfId="1127" xr:uid="{00000000-0005-0000-0000-00001C090000}"/>
    <cellStyle name="Moneda 2 3 2 5 2 3" xfId="1128" xr:uid="{00000000-0005-0000-0000-00001D090000}"/>
    <cellStyle name="Moneda 2 3 2 5 2 3 2" xfId="1129" xr:uid="{00000000-0005-0000-0000-00001E090000}"/>
    <cellStyle name="Moneda 2 3 2 5 2 3 3" xfId="1130" xr:uid="{00000000-0005-0000-0000-00001F090000}"/>
    <cellStyle name="Moneda 2 3 2 5 2 4" xfId="1131" xr:uid="{00000000-0005-0000-0000-000020090000}"/>
    <cellStyle name="Moneda 2 3 2 5 2 4 2" xfId="1132" xr:uid="{00000000-0005-0000-0000-000021090000}"/>
    <cellStyle name="Moneda 2 3 2 5 2 5" xfId="1133" xr:uid="{00000000-0005-0000-0000-000022090000}"/>
    <cellStyle name="Moneda 2 3 2 5 2 6" xfId="1134" xr:uid="{00000000-0005-0000-0000-000023090000}"/>
    <cellStyle name="Moneda 2 3 2 5 3" xfId="1135" xr:uid="{00000000-0005-0000-0000-000024090000}"/>
    <cellStyle name="Moneda 2 3 2 5 3 2" xfId="1136" xr:uid="{00000000-0005-0000-0000-000025090000}"/>
    <cellStyle name="Moneda 2 3 2 5 3 2 2" xfId="1137" xr:uid="{00000000-0005-0000-0000-000026090000}"/>
    <cellStyle name="Moneda 2 3 2 5 3 3" xfId="1138" xr:uid="{00000000-0005-0000-0000-000027090000}"/>
    <cellStyle name="Moneda 2 3 2 5 4" xfId="1139" xr:uid="{00000000-0005-0000-0000-000028090000}"/>
    <cellStyle name="Moneda 2 3 2 5 4 2" xfId="1140" xr:uid="{00000000-0005-0000-0000-000029090000}"/>
    <cellStyle name="Moneda 2 3 2 5 4 3" xfId="1141" xr:uid="{00000000-0005-0000-0000-00002A090000}"/>
    <cellStyle name="Moneda 2 3 2 5 5" xfId="1142" xr:uid="{00000000-0005-0000-0000-00002B090000}"/>
    <cellStyle name="Moneda 2 3 2 5 5 2" xfId="1143" xr:uid="{00000000-0005-0000-0000-00002C090000}"/>
    <cellStyle name="Moneda 2 3 2 5 6" xfId="1144" xr:uid="{00000000-0005-0000-0000-00002D090000}"/>
    <cellStyle name="Moneda 2 3 2 5 7" xfId="1145" xr:uid="{00000000-0005-0000-0000-00002E090000}"/>
    <cellStyle name="Moneda 2 3 2 6" xfId="1146" xr:uid="{00000000-0005-0000-0000-00002F090000}"/>
    <cellStyle name="Moneda 2 3 2 6 2" xfId="1147" xr:uid="{00000000-0005-0000-0000-000030090000}"/>
    <cellStyle name="Moneda 2 3 2 6 2 2" xfId="1148" xr:uid="{00000000-0005-0000-0000-000031090000}"/>
    <cellStyle name="Moneda 2 3 2 6 2 2 2" xfId="1149" xr:uid="{00000000-0005-0000-0000-000032090000}"/>
    <cellStyle name="Moneda 2 3 2 6 2 3" xfId="1150" xr:uid="{00000000-0005-0000-0000-000033090000}"/>
    <cellStyle name="Moneda 2 3 2 6 3" xfId="1151" xr:uid="{00000000-0005-0000-0000-000034090000}"/>
    <cellStyle name="Moneda 2 3 2 6 3 2" xfId="1152" xr:uid="{00000000-0005-0000-0000-000035090000}"/>
    <cellStyle name="Moneda 2 3 2 6 3 3" xfId="1153" xr:uid="{00000000-0005-0000-0000-000036090000}"/>
    <cellStyle name="Moneda 2 3 2 6 4" xfId="1154" xr:uid="{00000000-0005-0000-0000-000037090000}"/>
    <cellStyle name="Moneda 2 3 2 6 4 2" xfId="1155" xr:uid="{00000000-0005-0000-0000-000038090000}"/>
    <cellStyle name="Moneda 2 3 2 6 5" xfId="1156" xr:uid="{00000000-0005-0000-0000-000039090000}"/>
    <cellStyle name="Moneda 2 3 2 6 6" xfId="1157" xr:uid="{00000000-0005-0000-0000-00003A090000}"/>
    <cellStyle name="Moneda 2 3 2 7" xfId="1158" xr:uid="{00000000-0005-0000-0000-00003B090000}"/>
    <cellStyle name="Moneda 2 3 2 7 2" xfId="1159" xr:uid="{00000000-0005-0000-0000-00003C090000}"/>
    <cellStyle name="Moneda 2 3 2 7 2 2" xfId="1160" xr:uid="{00000000-0005-0000-0000-00003D090000}"/>
    <cellStyle name="Moneda 2 3 2 7 3" xfId="1161" xr:uid="{00000000-0005-0000-0000-00003E090000}"/>
    <cellStyle name="Moneda 2 3 2 8" xfId="1162" xr:uid="{00000000-0005-0000-0000-00003F090000}"/>
    <cellStyle name="Moneda 2 3 2 8 2" xfId="1163" xr:uid="{00000000-0005-0000-0000-000040090000}"/>
    <cellStyle name="Moneda 2 3 2 8 3" xfId="1164" xr:uid="{00000000-0005-0000-0000-000041090000}"/>
    <cellStyle name="Moneda 2 3 2 9" xfId="1165" xr:uid="{00000000-0005-0000-0000-000042090000}"/>
    <cellStyle name="Moneda 2 3 2 9 2" xfId="1166" xr:uid="{00000000-0005-0000-0000-000043090000}"/>
    <cellStyle name="Moneda 2 3 3" xfId="1167" xr:uid="{00000000-0005-0000-0000-000044090000}"/>
    <cellStyle name="Moneda 2 3 3 2" xfId="1168" xr:uid="{00000000-0005-0000-0000-000045090000}"/>
    <cellStyle name="Moneda 2 3 3 2 2" xfId="1169" xr:uid="{00000000-0005-0000-0000-000046090000}"/>
    <cellStyle name="Moneda 2 3 3 2 2 2" xfId="1170" xr:uid="{00000000-0005-0000-0000-000047090000}"/>
    <cellStyle name="Moneda 2 3 3 2 2 2 2" xfId="1171" xr:uid="{00000000-0005-0000-0000-000048090000}"/>
    <cellStyle name="Moneda 2 3 3 2 2 2 2 2" xfId="1172" xr:uid="{00000000-0005-0000-0000-000049090000}"/>
    <cellStyle name="Moneda 2 3 3 2 2 2 3" xfId="1173" xr:uid="{00000000-0005-0000-0000-00004A090000}"/>
    <cellStyle name="Moneda 2 3 3 2 2 3" xfId="1174" xr:uid="{00000000-0005-0000-0000-00004B090000}"/>
    <cellStyle name="Moneda 2 3 3 2 2 3 2" xfId="1175" xr:uid="{00000000-0005-0000-0000-00004C090000}"/>
    <cellStyle name="Moneda 2 3 3 2 2 3 3" xfId="1176" xr:uid="{00000000-0005-0000-0000-00004D090000}"/>
    <cellStyle name="Moneda 2 3 3 2 2 4" xfId="1177" xr:uid="{00000000-0005-0000-0000-00004E090000}"/>
    <cellStyle name="Moneda 2 3 3 2 2 4 2" xfId="1178" xr:uid="{00000000-0005-0000-0000-00004F090000}"/>
    <cellStyle name="Moneda 2 3 3 2 2 5" xfId="1179" xr:uid="{00000000-0005-0000-0000-000050090000}"/>
    <cellStyle name="Moneda 2 3 3 2 2 6" xfId="1180" xr:uid="{00000000-0005-0000-0000-000051090000}"/>
    <cellStyle name="Moneda 2 3 3 2 3" xfId="1181" xr:uid="{00000000-0005-0000-0000-000052090000}"/>
    <cellStyle name="Moneda 2 3 3 2 3 2" xfId="1182" xr:uid="{00000000-0005-0000-0000-000053090000}"/>
    <cellStyle name="Moneda 2 3 3 2 3 2 2" xfId="1183" xr:uid="{00000000-0005-0000-0000-000054090000}"/>
    <cellStyle name="Moneda 2 3 3 2 3 3" xfId="1184" xr:uid="{00000000-0005-0000-0000-000055090000}"/>
    <cellStyle name="Moneda 2 3 3 2 4" xfId="1185" xr:uid="{00000000-0005-0000-0000-000056090000}"/>
    <cellStyle name="Moneda 2 3 3 2 4 2" xfId="1186" xr:uid="{00000000-0005-0000-0000-000057090000}"/>
    <cellStyle name="Moneda 2 3 3 2 4 3" xfId="1187" xr:uid="{00000000-0005-0000-0000-000058090000}"/>
    <cellStyle name="Moneda 2 3 3 2 5" xfId="1188" xr:uid="{00000000-0005-0000-0000-000059090000}"/>
    <cellStyle name="Moneda 2 3 3 2 5 2" xfId="1189" xr:uid="{00000000-0005-0000-0000-00005A090000}"/>
    <cellStyle name="Moneda 2 3 3 2 6" xfId="1190" xr:uid="{00000000-0005-0000-0000-00005B090000}"/>
    <cellStyle name="Moneda 2 3 3 2 7" xfId="1191" xr:uid="{00000000-0005-0000-0000-00005C090000}"/>
    <cellStyle name="Moneda 2 3 3 3" xfId="1192" xr:uid="{00000000-0005-0000-0000-00005D090000}"/>
    <cellStyle name="Moneda 2 3 3 3 2" xfId="1193" xr:uid="{00000000-0005-0000-0000-00005E090000}"/>
    <cellStyle name="Moneda 2 3 3 3 2 2" xfId="1194" xr:uid="{00000000-0005-0000-0000-00005F090000}"/>
    <cellStyle name="Moneda 2 3 3 3 2 2 2" xfId="1195" xr:uid="{00000000-0005-0000-0000-000060090000}"/>
    <cellStyle name="Moneda 2 3 3 3 2 2 3" xfId="1196" xr:uid="{00000000-0005-0000-0000-000061090000}"/>
    <cellStyle name="Moneda 2 3 3 3 2 3" xfId="1197" xr:uid="{00000000-0005-0000-0000-000062090000}"/>
    <cellStyle name="Moneda 2 3 3 3 2 4" xfId="1198" xr:uid="{00000000-0005-0000-0000-000063090000}"/>
    <cellStyle name="Moneda 2 3 3 3 3" xfId="1199" xr:uid="{00000000-0005-0000-0000-000064090000}"/>
    <cellStyle name="Moneda 2 3 3 3 3 2" xfId="1200" xr:uid="{00000000-0005-0000-0000-000065090000}"/>
    <cellStyle name="Moneda 2 3 3 3 3 2 2" xfId="1201" xr:uid="{00000000-0005-0000-0000-000066090000}"/>
    <cellStyle name="Moneda 2 3 3 3 3 3" xfId="1202" xr:uid="{00000000-0005-0000-0000-000067090000}"/>
    <cellStyle name="Moneda 2 3 3 3 4" xfId="1203" xr:uid="{00000000-0005-0000-0000-000068090000}"/>
    <cellStyle name="Moneda 2 3 3 3 4 2" xfId="1204" xr:uid="{00000000-0005-0000-0000-000069090000}"/>
    <cellStyle name="Moneda 2 3 3 3 4 3" xfId="1205" xr:uid="{00000000-0005-0000-0000-00006A090000}"/>
    <cellStyle name="Moneda 2 3 3 3 5" xfId="1206" xr:uid="{00000000-0005-0000-0000-00006B090000}"/>
    <cellStyle name="Moneda 2 3 3 3 6" xfId="1207" xr:uid="{00000000-0005-0000-0000-00006C090000}"/>
    <cellStyle name="Moneda 2 3 3 4" xfId="1208" xr:uid="{00000000-0005-0000-0000-00006D090000}"/>
    <cellStyle name="Moneda 2 3 3 4 2" xfId="1209" xr:uid="{00000000-0005-0000-0000-00006E090000}"/>
    <cellStyle name="Moneda 2 3 3 4 2 2" xfId="1210" xr:uid="{00000000-0005-0000-0000-00006F090000}"/>
    <cellStyle name="Moneda 2 3 3 4 2 2 2" xfId="1211" xr:uid="{00000000-0005-0000-0000-000070090000}"/>
    <cellStyle name="Moneda 2 3 3 4 2 3" xfId="1212" xr:uid="{00000000-0005-0000-0000-000071090000}"/>
    <cellStyle name="Moneda 2 3 3 4 2 4" xfId="1213" xr:uid="{00000000-0005-0000-0000-000072090000}"/>
    <cellStyle name="Moneda 2 3 3 4 3" xfId="1214" xr:uid="{00000000-0005-0000-0000-000073090000}"/>
    <cellStyle name="Moneda 2 3 3 4 3 2" xfId="1215" xr:uid="{00000000-0005-0000-0000-000074090000}"/>
    <cellStyle name="Moneda 2 3 3 4 4" xfId="1216" xr:uid="{00000000-0005-0000-0000-000075090000}"/>
    <cellStyle name="Moneda 2 3 3 4 5" xfId="1217" xr:uid="{00000000-0005-0000-0000-000076090000}"/>
    <cellStyle name="Moneda 2 3 3 5" xfId="1218" xr:uid="{00000000-0005-0000-0000-000077090000}"/>
    <cellStyle name="Moneda 2 3 3 5 2" xfId="1219" xr:uid="{00000000-0005-0000-0000-000078090000}"/>
    <cellStyle name="Moneda 2 3 3 5 2 2" xfId="1220" xr:uid="{00000000-0005-0000-0000-000079090000}"/>
    <cellStyle name="Moneda 2 3 3 5 2 3" xfId="1221" xr:uid="{00000000-0005-0000-0000-00007A090000}"/>
    <cellStyle name="Moneda 2 3 3 5 3" xfId="1222" xr:uid="{00000000-0005-0000-0000-00007B090000}"/>
    <cellStyle name="Moneda 2 3 3 5 4" xfId="1223" xr:uid="{00000000-0005-0000-0000-00007C090000}"/>
    <cellStyle name="Moneda 2 3 3 6" xfId="1224" xr:uid="{00000000-0005-0000-0000-00007D090000}"/>
    <cellStyle name="Moneda 2 3 3 6 2" xfId="1225" xr:uid="{00000000-0005-0000-0000-00007E090000}"/>
    <cellStyle name="Moneda 2 3 3 6 2 2" xfId="1226" xr:uid="{00000000-0005-0000-0000-00007F090000}"/>
    <cellStyle name="Moneda 2 3 3 6 3" xfId="1227" xr:uid="{00000000-0005-0000-0000-000080090000}"/>
    <cellStyle name="Moneda 2 3 3 7" xfId="1228" xr:uid="{00000000-0005-0000-0000-000081090000}"/>
    <cellStyle name="Moneda 2 3 3 7 2" xfId="1229" xr:uid="{00000000-0005-0000-0000-000082090000}"/>
    <cellStyle name="Moneda 2 3 3 8" xfId="1230" xr:uid="{00000000-0005-0000-0000-000083090000}"/>
    <cellStyle name="Moneda 2 3 4" xfId="1231" xr:uid="{00000000-0005-0000-0000-000084090000}"/>
    <cellStyle name="Moneda 2 3 4 2" xfId="1232" xr:uid="{00000000-0005-0000-0000-000085090000}"/>
    <cellStyle name="Moneda 2 3 4 2 2" xfId="1233" xr:uid="{00000000-0005-0000-0000-000086090000}"/>
    <cellStyle name="Moneda 2 3 4 2 2 2" xfId="1234" xr:uid="{00000000-0005-0000-0000-000087090000}"/>
    <cellStyle name="Moneda 2 3 4 2 2 2 2" xfId="1235" xr:uid="{00000000-0005-0000-0000-000088090000}"/>
    <cellStyle name="Moneda 2 3 4 2 2 2 2 2" xfId="1236" xr:uid="{00000000-0005-0000-0000-000089090000}"/>
    <cellStyle name="Moneda 2 3 4 2 2 2 3" xfId="1237" xr:uid="{00000000-0005-0000-0000-00008A090000}"/>
    <cellStyle name="Moneda 2 3 4 2 2 3" xfId="1238" xr:uid="{00000000-0005-0000-0000-00008B090000}"/>
    <cellStyle name="Moneda 2 3 4 2 2 3 2" xfId="1239" xr:uid="{00000000-0005-0000-0000-00008C090000}"/>
    <cellStyle name="Moneda 2 3 4 2 2 3 3" xfId="1240" xr:uid="{00000000-0005-0000-0000-00008D090000}"/>
    <cellStyle name="Moneda 2 3 4 2 2 4" xfId="1241" xr:uid="{00000000-0005-0000-0000-00008E090000}"/>
    <cellStyle name="Moneda 2 3 4 2 2 4 2" xfId="1242" xr:uid="{00000000-0005-0000-0000-00008F090000}"/>
    <cellStyle name="Moneda 2 3 4 2 2 5" xfId="1243" xr:uid="{00000000-0005-0000-0000-000090090000}"/>
    <cellStyle name="Moneda 2 3 4 2 2 6" xfId="1244" xr:uid="{00000000-0005-0000-0000-000091090000}"/>
    <cellStyle name="Moneda 2 3 4 2 3" xfId="1245" xr:uid="{00000000-0005-0000-0000-000092090000}"/>
    <cellStyle name="Moneda 2 3 4 2 3 2" xfId="1246" xr:uid="{00000000-0005-0000-0000-000093090000}"/>
    <cellStyle name="Moneda 2 3 4 2 3 2 2" xfId="1247" xr:uid="{00000000-0005-0000-0000-000094090000}"/>
    <cellStyle name="Moneda 2 3 4 2 3 3" xfId="1248" xr:uid="{00000000-0005-0000-0000-000095090000}"/>
    <cellStyle name="Moneda 2 3 4 2 4" xfId="1249" xr:uid="{00000000-0005-0000-0000-000096090000}"/>
    <cellStyle name="Moneda 2 3 4 2 4 2" xfId="1250" xr:uid="{00000000-0005-0000-0000-000097090000}"/>
    <cellStyle name="Moneda 2 3 4 2 4 3" xfId="1251" xr:uid="{00000000-0005-0000-0000-000098090000}"/>
    <cellStyle name="Moneda 2 3 4 2 5" xfId="1252" xr:uid="{00000000-0005-0000-0000-000099090000}"/>
    <cellStyle name="Moneda 2 3 4 2 5 2" xfId="1253" xr:uid="{00000000-0005-0000-0000-00009A090000}"/>
    <cellStyle name="Moneda 2 3 4 2 6" xfId="1254" xr:uid="{00000000-0005-0000-0000-00009B090000}"/>
    <cellStyle name="Moneda 2 3 4 2 7" xfId="1255" xr:uid="{00000000-0005-0000-0000-00009C090000}"/>
    <cellStyle name="Moneda 2 3 4 3" xfId="1256" xr:uid="{00000000-0005-0000-0000-00009D090000}"/>
    <cellStyle name="Moneda 2 3 4 3 2" xfId="1257" xr:uid="{00000000-0005-0000-0000-00009E090000}"/>
    <cellStyle name="Moneda 2 3 4 3 2 2" xfId="1258" xr:uid="{00000000-0005-0000-0000-00009F090000}"/>
    <cellStyle name="Moneda 2 3 4 3 2 2 2" xfId="1259" xr:uid="{00000000-0005-0000-0000-0000A0090000}"/>
    <cellStyle name="Moneda 2 3 4 3 2 2 3" xfId="1260" xr:uid="{00000000-0005-0000-0000-0000A1090000}"/>
    <cellStyle name="Moneda 2 3 4 3 2 3" xfId="1261" xr:uid="{00000000-0005-0000-0000-0000A2090000}"/>
    <cellStyle name="Moneda 2 3 4 3 2 4" xfId="1262" xr:uid="{00000000-0005-0000-0000-0000A3090000}"/>
    <cellStyle name="Moneda 2 3 4 3 3" xfId="1263" xr:uid="{00000000-0005-0000-0000-0000A4090000}"/>
    <cellStyle name="Moneda 2 3 4 3 3 2" xfId="1264" xr:uid="{00000000-0005-0000-0000-0000A5090000}"/>
    <cellStyle name="Moneda 2 3 4 3 3 2 2" xfId="1265" xr:uid="{00000000-0005-0000-0000-0000A6090000}"/>
    <cellStyle name="Moneda 2 3 4 3 3 3" xfId="1266" xr:uid="{00000000-0005-0000-0000-0000A7090000}"/>
    <cellStyle name="Moneda 2 3 4 3 4" xfId="1267" xr:uid="{00000000-0005-0000-0000-0000A8090000}"/>
    <cellStyle name="Moneda 2 3 4 3 4 2" xfId="1268" xr:uid="{00000000-0005-0000-0000-0000A9090000}"/>
    <cellStyle name="Moneda 2 3 4 3 4 3" xfId="1269" xr:uid="{00000000-0005-0000-0000-0000AA090000}"/>
    <cellStyle name="Moneda 2 3 4 3 5" xfId="1270" xr:uid="{00000000-0005-0000-0000-0000AB090000}"/>
    <cellStyle name="Moneda 2 3 4 3 6" xfId="1271" xr:uid="{00000000-0005-0000-0000-0000AC090000}"/>
    <cellStyle name="Moneda 2 3 4 4" xfId="1272" xr:uid="{00000000-0005-0000-0000-0000AD090000}"/>
    <cellStyle name="Moneda 2 3 4 4 2" xfId="1273" xr:uid="{00000000-0005-0000-0000-0000AE090000}"/>
    <cellStyle name="Moneda 2 3 4 4 2 2" xfId="1274" xr:uid="{00000000-0005-0000-0000-0000AF090000}"/>
    <cellStyle name="Moneda 2 3 4 4 2 2 2" xfId="1275" xr:uid="{00000000-0005-0000-0000-0000B0090000}"/>
    <cellStyle name="Moneda 2 3 4 4 2 3" xfId="1276" xr:uid="{00000000-0005-0000-0000-0000B1090000}"/>
    <cellStyle name="Moneda 2 3 4 4 2 4" xfId="1277" xr:uid="{00000000-0005-0000-0000-0000B2090000}"/>
    <cellStyle name="Moneda 2 3 4 4 3" xfId="1278" xr:uid="{00000000-0005-0000-0000-0000B3090000}"/>
    <cellStyle name="Moneda 2 3 4 4 3 2" xfId="1279" xr:uid="{00000000-0005-0000-0000-0000B4090000}"/>
    <cellStyle name="Moneda 2 3 4 4 4" xfId="1280" xr:uid="{00000000-0005-0000-0000-0000B5090000}"/>
    <cellStyle name="Moneda 2 3 4 4 5" xfId="1281" xr:uid="{00000000-0005-0000-0000-0000B6090000}"/>
    <cellStyle name="Moneda 2 3 4 5" xfId="1282" xr:uid="{00000000-0005-0000-0000-0000B7090000}"/>
    <cellStyle name="Moneda 2 3 4 5 2" xfId="1283" xr:uid="{00000000-0005-0000-0000-0000B8090000}"/>
    <cellStyle name="Moneda 2 3 4 5 2 2" xfId="1284" xr:uid="{00000000-0005-0000-0000-0000B9090000}"/>
    <cellStyle name="Moneda 2 3 4 5 2 3" xfId="1285" xr:uid="{00000000-0005-0000-0000-0000BA090000}"/>
    <cellStyle name="Moneda 2 3 4 5 3" xfId="1286" xr:uid="{00000000-0005-0000-0000-0000BB090000}"/>
    <cellStyle name="Moneda 2 3 4 5 4" xfId="1287" xr:uid="{00000000-0005-0000-0000-0000BC090000}"/>
    <cellStyle name="Moneda 2 3 4 6" xfId="1288" xr:uid="{00000000-0005-0000-0000-0000BD090000}"/>
    <cellStyle name="Moneda 2 3 4 6 2" xfId="1289" xr:uid="{00000000-0005-0000-0000-0000BE090000}"/>
    <cellStyle name="Moneda 2 3 4 6 2 2" xfId="1290" xr:uid="{00000000-0005-0000-0000-0000BF090000}"/>
    <cellStyle name="Moneda 2 3 4 6 3" xfId="1291" xr:uid="{00000000-0005-0000-0000-0000C0090000}"/>
    <cellStyle name="Moneda 2 3 4 7" xfId="1292" xr:uid="{00000000-0005-0000-0000-0000C1090000}"/>
    <cellStyle name="Moneda 2 3 4 7 2" xfId="1293" xr:uid="{00000000-0005-0000-0000-0000C2090000}"/>
    <cellStyle name="Moneda 2 3 4 8" xfId="1294" xr:uid="{00000000-0005-0000-0000-0000C3090000}"/>
    <cellStyle name="Moneda 2 3 5" xfId="1295" xr:uid="{00000000-0005-0000-0000-0000C4090000}"/>
    <cellStyle name="Moneda 2 3 5 2" xfId="1296" xr:uid="{00000000-0005-0000-0000-0000C5090000}"/>
    <cellStyle name="Moneda 2 3 5 2 2" xfId="1297" xr:uid="{00000000-0005-0000-0000-0000C6090000}"/>
    <cellStyle name="Moneda 2 3 5 2 2 2" xfId="1298" xr:uid="{00000000-0005-0000-0000-0000C7090000}"/>
    <cellStyle name="Moneda 2 3 5 2 2 2 2" xfId="1299" xr:uid="{00000000-0005-0000-0000-0000C8090000}"/>
    <cellStyle name="Moneda 2 3 5 2 2 2 3" xfId="1300" xr:uid="{00000000-0005-0000-0000-0000C9090000}"/>
    <cellStyle name="Moneda 2 3 5 2 2 3" xfId="1301" xr:uid="{00000000-0005-0000-0000-0000CA090000}"/>
    <cellStyle name="Moneda 2 3 5 2 2 3 2" xfId="1302" xr:uid="{00000000-0005-0000-0000-0000CB090000}"/>
    <cellStyle name="Moneda 2 3 5 2 2 4" xfId="1303" xr:uid="{00000000-0005-0000-0000-0000CC090000}"/>
    <cellStyle name="Moneda 2 3 5 2 2 4 2" xfId="1304" xr:uid="{00000000-0005-0000-0000-0000CD090000}"/>
    <cellStyle name="Moneda 2 3 5 2 2 5" xfId="1305" xr:uid="{00000000-0005-0000-0000-0000CE090000}"/>
    <cellStyle name="Moneda 2 3 5 2 2 6" xfId="1306" xr:uid="{00000000-0005-0000-0000-0000CF090000}"/>
    <cellStyle name="Moneda 2 3 5 2 3" xfId="1307" xr:uid="{00000000-0005-0000-0000-0000D0090000}"/>
    <cellStyle name="Moneda 2 3 5 2 3 2" xfId="1308" xr:uid="{00000000-0005-0000-0000-0000D1090000}"/>
    <cellStyle name="Moneda 2 3 5 2 3 3" xfId="1309" xr:uid="{00000000-0005-0000-0000-0000D2090000}"/>
    <cellStyle name="Moneda 2 3 5 2 4" xfId="1310" xr:uid="{00000000-0005-0000-0000-0000D3090000}"/>
    <cellStyle name="Moneda 2 3 5 2 4 2" xfId="1311" xr:uid="{00000000-0005-0000-0000-0000D4090000}"/>
    <cellStyle name="Moneda 2 3 5 2 5" xfId="1312" xr:uid="{00000000-0005-0000-0000-0000D5090000}"/>
    <cellStyle name="Moneda 2 3 5 2 5 2" xfId="1313" xr:uid="{00000000-0005-0000-0000-0000D6090000}"/>
    <cellStyle name="Moneda 2 3 5 2 6" xfId="1314" xr:uid="{00000000-0005-0000-0000-0000D7090000}"/>
    <cellStyle name="Moneda 2 3 5 2 7" xfId="1315" xr:uid="{00000000-0005-0000-0000-0000D8090000}"/>
    <cellStyle name="Moneda 2 3 5 3" xfId="1316" xr:uid="{00000000-0005-0000-0000-0000D9090000}"/>
    <cellStyle name="Moneda 2 3 5 3 2" xfId="1317" xr:uid="{00000000-0005-0000-0000-0000DA090000}"/>
    <cellStyle name="Moneda 2 3 5 3 2 2" xfId="1318" xr:uid="{00000000-0005-0000-0000-0000DB090000}"/>
    <cellStyle name="Moneda 2 3 5 3 2 3" xfId="1319" xr:uid="{00000000-0005-0000-0000-0000DC090000}"/>
    <cellStyle name="Moneda 2 3 5 3 3" xfId="1320" xr:uid="{00000000-0005-0000-0000-0000DD090000}"/>
    <cellStyle name="Moneda 2 3 5 3 3 2" xfId="1321" xr:uid="{00000000-0005-0000-0000-0000DE090000}"/>
    <cellStyle name="Moneda 2 3 5 3 4" xfId="1322" xr:uid="{00000000-0005-0000-0000-0000DF090000}"/>
    <cellStyle name="Moneda 2 3 5 3 4 2" xfId="1323" xr:uid="{00000000-0005-0000-0000-0000E0090000}"/>
    <cellStyle name="Moneda 2 3 5 3 5" xfId="1324" xr:uid="{00000000-0005-0000-0000-0000E1090000}"/>
    <cellStyle name="Moneda 2 3 5 3 6" xfId="1325" xr:uid="{00000000-0005-0000-0000-0000E2090000}"/>
    <cellStyle name="Moneda 2 3 5 4" xfId="1326" xr:uid="{00000000-0005-0000-0000-0000E3090000}"/>
    <cellStyle name="Moneda 2 3 5 4 2" xfId="1327" xr:uid="{00000000-0005-0000-0000-0000E4090000}"/>
    <cellStyle name="Moneda 2 3 5 4 3" xfId="1328" xr:uid="{00000000-0005-0000-0000-0000E5090000}"/>
    <cellStyle name="Moneda 2 3 5 5" xfId="1329" xr:uid="{00000000-0005-0000-0000-0000E6090000}"/>
    <cellStyle name="Moneda 2 3 5 5 2" xfId="1330" xr:uid="{00000000-0005-0000-0000-0000E7090000}"/>
    <cellStyle name="Moneda 2 3 5 6" xfId="1331" xr:uid="{00000000-0005-0000-0000-0000E8090000}"/>
    <cellStyle name="Moneda 2 3 5 6 2" xfId="1332" xr:uid="{00000000-0005-0000-0000-0000E9090000}"/>
    <cellStyle name="Moneda 2 3 5 7" xfId="1333" xr:uid="{00000000-0005-0000-0000-0000EA090000}"/>
    <cellStyle name="Moneda 2 3 5 8" xfId="1334" xr:uid="{00000000-0005-0000-0000-0000EB090000}"/>
    <cellStyle name="Moneda 2 3 6" xfId="1335" xr:uid="{00000000-0005-0000-0000-0000EC090000}"/>
    <cellStyle name="Moneda 2 3 6 2" xfId="1336" xr:uid="{00000000-0005-0000-0000-0000ED090000}"/>
    <cellStyle name="Moneda 2 3 6 2 2" xfId="1337" xr:uid="{00000000-0005-0000-0000-0000EE090000}"/>
    <cellStyle name="Moneda 2 3 6 2 2 2" xfId="1338" xr:uid="{00000000-0005-0000-0000-0000EF090000}"/>
    <cellStyle name="Moneda 2 3 6 2 2 2 2" xfId="1339" xr:uid="{00000000-0005-0000-0000-0000F0090000}"/>
    <cellStyle name="Moneda 2 3 6 2 2 3" xfId="1340" xr:uid="{00000000-0005-0000-0000-0000F1090000}"/>
    <cellStyle name="Moneda 2 3 6 2 3" xfId="1341" xr:uid="{00000000-0005-0000-0000-0000F2090000}"/>
    <cellStyle name="Moneda 2 3 6 2 3 2" xfId="1342" xr:uid="{00000000-0005-0000-0000-0000F3090000}"/>
    <cellStyle name="Moneda 2 3 6 2 3 3" xfId="1343" xr:uid="{00000000-0005-0000-0000-0000F4090000}"/>
    <cellStyle name="Moneda 2 3 6 2 4" xfId="1344" xr:uid="{00000000-0005-0000-0000-0000F5090000}"/>
    <cellStyle name="Moneda 2 3 6 2 4 2" xfId="1345" xr:uid="{00000000-0005-0000-0000-0000F6090000}"/>
    <cellStyle name="Moneda 2 3 6 2 5" xfId="1346" xr:uid="{00000000-0005-0000-0000-0000F7090000}"/>
    <cellStyle name="Moneda 2 3 6 2 6" xfId="1347" xr:uid="{00000000-0005-0000-0000-0000F8090000}"/>
    <cellStyle name="Moneda 2 3 6 3" xfId="1348" xr:uid="{00000000-0005-0000-0000-0000F9090000}"/>
    <cellStyle name="Moneda 2 3 6 3 2" xfId="1349" xr:uid="{00000000-0005-0000-0000-0000FA090000}"/>
    <cellStyle name="Moneda 2 3 6 3 2 2" xfId="1350" xr:uid="{00000000-0005-0000-0000-0000FB090000}"/>
    <cellStyle name="Moneda 2 3 6 3 3" xfId="1351" xr:uid="{00000000-0005-0000-0000-0000FC090000}"/>
    <cellStyle name="Moneda 2 3 6 4" xfId="1352" xr:uid="{00000000-0005-0000-0000-0000FD090000}"/>
    <cellStyle name="Moneda 2 3 6 4 2" xfId="1353" xr:uid="{00000000-0005-0000-0000-0000FE090000}"/>
    <cellStyle name="Moneda 2 3 6 4 3" xfId="1354" xr:uid="{00000000-0005-0000-0000-0000FF090000}"/>
    <cellStyle name="Moneda 2 3 6 5" xfId="1355" xr:uid="{00000000-0005-0000-0000-0000000A0000}"/>
    <cellStyle name="Moneda 2 3 6 5 2" xfId="1356" xr:uid="{00000000-0005-0000-0000-0000010A0000}"/>
    <cellStyle name="Moneda 2 3 6 6" xfId="1357" xr:uid="{00000000-0005-0000-0000-0000020A0000}"/>
    <cellStyle name="Moneda 2 3 6 7" xfId="1358" xr:uid="{00000000-0005-0000-0000-0000030A0000}"/>
    <cellStyle name="Moneda 2 3 7" xfId="1359" xr:uid="{00000000-0005-0000-0000-0000040A0000}"/>
    <cellStyle name="Moneda 2 3 7 2" xfId="1360" xr:uid="{00000000-0005-0000-0000-0000050A0000}"/>
    <cellStyle name="Moneda 2 3 7 2 2" xfId="1361" xr:uid="{00000000-0005-0000-0000-0000060A0000}"/>
    <cellStyle name="Moneda 2 3 7 2 2 2" xfId="1362" xr:uid="{00000000-0005-0000-0000-0000070A0000}"/>
    <cellStyle name="Moneda 2 3 7 2 2 3" xfId="1363" xr:uid="{00000000-0005-0000-0000-0000080A0000}"/>
    <cellStyle name="Moneda 2 3 7 2 3" xfId="1364" xr:uid="{00000000-0005-0000-0000-0000090A0000}"/>
    <cellStyle name="Moneda 2 3 7 2 4" xfId="1365" xr:uid="{00000000-0005-0000-0000-00000A0A0000}"/>
    <cellStyle name="Moneda 2 3 7 3" xfId="1366" xr:uid="{00000000-0005-0000-0000-00000B0A0000}"/>
    <cellStyle name="Moneda 2 3 7 3 2" xfId="1367" xr:uid="{00000000-0005-0000-0000-00000C0A0000}"/>
    <cellStyle name="Moneda 2 3 7 3 2 2" xfId="1368" xr:uid="{00000000-0005-0000-0000-00000D0A0000}"/>
    <cellStyle name="Moneda 2 3 7 3 3" xfId="1369" xr:uid="{00000000-0005-0000-0000-00000E0A0000}"/>
    <cellStyle name="Moneda 2 3 7 4" xfId="1370" xr:uid="{00000000-0005-0000-0000-00000F0A0000}"/>
    <cellStyle name="Moneda 2 3 7 4 2" xfId="1371" xr:uid="{00000000-0005-0000-0000-0000100A0000}"/>
    <cellStyle name="Moneda 2 3 7 4 3" xfId="1372" xr:uid="{00000000-0005-0000-0000-0000110A0000}"/>
    <cellStyle name="Moneda 2 3 7 5" xfId="1373" xr:uid="{00000000-0005-0000-0000-0000120A0000}"/>
    <cellStyle name="Moneda 2 3 7 6" xfId="1374" xr:uid="{00000000-0005-0000-0000-0000130A0000}"/>
    <cellStyle name="Moneda 2 3 8" xfId="1375" xr:uid="{00000000-0005-0000-0000-0000140A0000}"/>
    <cellStyle name="Moneda 2 3 8 2" xfId="1376" xr:uid="{00000000-0005-0000-0000-0000150A0000}"/>
    <cellStyle name="Moneda 2 3 8 2 2" xfId="1377" xr:uid="{00000000-0005-0000-0000-0000160A0000}"/>
    <cellStyle name="Moneda 2 3 8 2 3" xfId="1378" xr:uid="{00000000-0005-0000-0000-0000170A0000}"/>
    <cellStyle name="Moneda 2 3 8 3" xfId="1379" xr:uid="{00000000-0005-0000-0000-0000180A0000}"/>
    <cellStyle name="Moneda 2 3 8 4" xfId="1380" xr:uid="{00000000-0005-0000-0000-0000190A0000}"/>
    <cellStyle name="Moneda 2 3 9" xfId="1381" xr:uid="{00000000-0005-0000-0000-00001A0A0000}"/>
    <cellStyle name="Moneda 2 3 9 2" xfId="1382" xr:uid="{00000000-0005-0000-0000-00001B0A0000}"/>
    <cellStyle name="Moneda 2 3 9 2 2" xfId="1383" xr:uid="{00000000-0005-0000-0000-00001C0A0000}"/>
    <cellStyle name="Moneda 2 3 9 3" xfId="1384" xr:uid="{00000000-0005-0000-0000-00001D0A0000}"/>
    <cellStyle name="Moneda 2 4" xfId="1385" xr:uid="{00000000-0005-0000-0000-00001E0A0000}"/>
    <cellStyle name="Moneda 2 4 2" xfId="1386" xr:uid="{00000000-0005-0000-0000-00001F0A0000}"/>
    <cellStyle name="Moneda 2 4 3" xfId="2923" xr:uid="{00000000-0005-0000-0000-0000200A0000}"/>
    <cellStyle name="Moneda 2 5" xfId="1387" xr:uid="{00000000-0005-0000-0000-0000210A0000}"/>
    <cellStyle name="Moneda 2 5 2" xfId="1388" xr:uid="{00000000-0005-0000-0000-0000220A0000}"/>
    <cellStyle name="Moneda 2 5 2 2" xfId="1389" xr:uid="{00000000-0005-0000-0000-0000230A0000}"/>
    <cellStyle name="Moneda 2 5 3" xfId="1390" xr:uid="{00000000-0005-0000-0000-0000240A0000}"/>
    <cellStyle name="Moneda 2 5 3 2" xfId="1391" xr:uid="{00000000-0005-0000-0000-0000250A0000}"/>
    <cellStyle name="Moneda 2 5 4" xfId="1392" xr:uid="{00000000-0005-0000-0000-0000260A0000}"/>
    <cellStyle name="Moneda 2 5 4 2" xfId="1393" xr:uid="{00000000-0005-0000-0000-0000270A0000}"/>
    <cellStyle name="Moneda 2 5 5" xfId="1394" xr:uid="{00000000-0005-0000-0000-0000280A0000}"/>
    <cellStyle name="Moneda 2 6" xfId="1395" xr:uid="{00000000-0005-0000-0000-0000290A0000}"/>
    <cellStyle name="Moneda 20" xfId="1396" xr:uid="{00000000-0005-0000-0000-00002A0A0000}"/>
    <cellStyle name="Moneda 20 2" xfId="1397" xr:uid="{00000000-0005-0000-0000-00002B0A0000}"/>
    <cellStyle name="Moneda 20 2 2" xfId="1398" xr:uid="{00000000-0005-0000-0000-00002C0A0000}"/>
    <cellStyle name="Moneda 20 2 2 2" xfId="1399" xr:uid="{00000000-0005-0000-0000-00002D0A0000}"/>
    <cellStyle name="Moneda 20 2 2 2 2" xfId="1400" xr:uid="{00000000-0005-0000-0000-00002E0A0000}"/>
    <cellStyle name="Moneda 20 2 2 3" xfId="1401" xr:uid="{00000000-0005-0000-0000-00002F0A0000}"/>
    <cellStyle name="Moneda 20 2 2 3 2" xfId="1402" xr:uid="{00000000-0005-0000-0000-0000300A0000}"/>
    <cellStyle name="Moneda 20 2 2 4" xfId="1403" xr:uid="{00000000-0005-0000-0000-0000310A0000}"/>
    <cellStyle name="Moneda 20 2 2 4 2" xfId="1404" xr:uid="{00000000-0005-0000-0000-0000320A0000}"/>
    <cellStyle name="Moneda 20 2 2 5" xfId="1405" xr:uid="{00000000-0005-0000-0000-0000330A0000}"/>
    <cellStyle name="Moneda 20 2 3" xfId="1406" xr:uid="{00000000-0005-0000-0000-0000340A0000}"/>
    <cellStyle name="Moneda 20 2 3 2" xfId="1407" xr:uid="{00000000-0005-0000-0000-0000350A0000}"/>
    <cellStyle name="Moneda 20 2 4" xfId="1408" xr:uid="{00000000-0005-0000-0000-0000360A0000}"/>
    <cellStyle name="Moneda 20 2 4 2" xfId="1409" xr:uid="{00000000-0005-0000-0000-0000370A0000}"/>
    <cellStyle name="Moneda 20 2 5" xfId="1410" xr:uid="{00000000-0005-0000-0000-0000380A0000}"/>
    <cellStyle name="Moneda 20 2 5 2" xfId="1411" xr:uid="{00000000-0005-0000-0000-0000390A0000}"/>
    <cellStyle name="Moneda 20 2 6" xfId="1412" xr:uid="{00000000-0005-0000-0000-00003A0A0000}"/>
    <cellStyle name="Moneda 20 2 7" xfId="1413" xr:uid="{00000000-0005-0000-0000-00003B0A0000}"/>
    <cellStyle name="Moneda 20 3" xfId="1414" xr:uid="{00000000-0005-0000-0000-00003C0A0000}"/>
    <cellStyle name="Moneda 20 3 2" xfId="1415" xr:uid="{00000000-0005-0000-0000-00003D0A0000}"/>
    <cellStyle name="Moneda 20 3 2 2" xfId="1416" xr:uid="{00000000-0005-0000-0000-00003E0A0000}"/>
    <cellStyle name="Moneda 20 3 3" xfId="1417" xr:uid="{00000000-0005-0000-0000-00003F0A0000}"/>
    <cellStyle name="Moneda 20 3 3 2" xfId="1418" xr:uid="{00000000-0005-0000-0000-0000400A0000}"/>
    <cellStyle name="Moneda 20 3 4" xfId="1419" xr:uid="{00000000-0005-0000-0000-0000410A0000}"/>
    <cellStyle name="Moneda 20 3 4 2" xfId="1420" xr:uid="{00000000-0005-0000-0000-0000420A0000}"/>
    <cellStyle name="Moneda 20 3 5" xfId="1421" xr:uid="{00000000-0005-0000-0000-0000430A0000}"/>
    <cellStyle name="Moneda 20 4" xfId="1422" xr:uid="{00000000-0005-0000-0000-0000440A0000}"/>
    <cellStyle name="Moneda 20 4 2" xfId="1423" xr:uid="{00000000-0005-0000-0000-0000450A0000}"/>
    <cellStyle name="Moneda 20 5" xfId="1424" xr:uid="{00000000-0005-0000-0000-0000460A0000}"/>
    <cellStyle name="Moneda 20 5 2" xfId="1425" xr:uid="{00000000-0005-0000-0000-0000470A0000}"/>
    <cellStyle name="Moneda 20 6" xfId="1426" xr:uid="{00000000-0005-0000-0000-0000480A0000}"/>
    <cellStyle name="Moneda 20 6 2" xfId="1427" xr:uid="{00000000-0005-0000-0000-0000490A0000}"/>
    <cellStyle name="Moneda 20 7" xfId="1428" xr:uid="{00000000-0005-0000-0000-00004A0A0000}"/>
    <cellStyle name="Moneda 20 8" xfId="1429" xr:uid="{00000000-0005-0000-0000-00004B0A0000}"/>
    <cellStyle name="Moneda 21" xfId="1430" xr:uid="{00000000-0005-0000-0000-00004C0A0000}"/>
    <cellStyle name="Moneda 21 2" xfId="1431" xr:uid="{00000000-0005-0000-0000-00004D0A0000}"/>
    <cellStyle name="Moneda 21 2 2" xfId="1432" xr:uid="{00000000-0005-0000-0000-00004E0A0000}"/>
    <cellStyle name="Moneda 21 2 2 2" xfId="1433" xr:uid="{00000000-0005-0000-0000-00004F0A0000}"/>
    <cellStyle name="Moneda 21 2 2 2 2" xfId="1434" xr:uid="{00000000-0005-0000-0000-0000500A0000}"/>
    <cellStyle name="Moneda 21 2 2 3" xfId="1435" xr:uid="{00000000-0005-0000-0000-0000510A0000}"/>
    <cellStyle name="Moneda 21 2 2 3 2" xfId="1436" xr:uid="{00000000-0005-0000-0000-0000520A0000}"/>
    <cellStyle name="Moneda 21 2 2 4" xfId="1437" xr:uid="{00000000-0005-0000-0000-0000530A0000}"/>
    <cellStyle name="Moneda 21 2 2 4 2" xfId="1438" xr:uid="{00000000-0005-0000-0000-0000540A0000}"/>
    <cellStyle name="Moneda 21 2 2 5" xfId="1439" xr:uid="{00000000-0005-0000-0000-0000550A0000}"/>
    <cellStyle name="Moneda 21 2 3" xfId="1440" xr:uid="{00000000-0005-0000-0000-0000560A0000}"/>
    <cellStyle name="Moneda 21 2 3 2" xfId="1441" xr:uid="{00000000-0005-0000-0000-0000570A0000}"/>
    <cellStyle name="Moneda 21 2 4" xfId="1442" xr:uid="{00000000-0005-0000-0000-0000580A0000}"/>
    <cellStyle name="Moneda 21 2 4 2" xfId="1443" xr:uid="{00000000-0005-0000-0000-0000590A0000}"/>
    <cellStyle name="Moneda 21 2 5" xfId="1444" xr:uid="{00000000-0005-0000-0000-00005A0A0000}"/>
    <cellStyle name="Moneda 21 2 5 2" xfId="1445" xr:uid="{00000000-0005-0000-0000-00005B0A0000}"/>
    <cellStyle name="Moneda 21 2 6" xfId="1446" xr:uid="{00000000-0005-0000-0000-00005C0A0000}"/>
    <cellStyle name="Moneda 21 2 7" xfId="1447" xr:uid="{00000000-0005-0000-0000-00005D0A0000}"/>
    <cellStyle name="Moneda 21 3" xfId="1448" xr:uid="{00000000-0005-0000-0000-00005E0A0000}"/>
    <cellStyle name="Moneda 21 3 2" xfId="1449" xr:uid="{00000000-0005-0000-0000-00005F0A0000}"/>
    <cellStyle name="Moneda 21 3 2 2" xfId="1450" xr:uid="{00000000-0005-0000-0000-0000600A0000}"/>
    <cellStyle name="Moneda 21 3 3" xfId="1451" xr:uid="{00000000-0005-0000-0000-0000610A0000}"/>
    <cellStyle name="Moneda 21 3 3 2" xfId="1452" xr:uid="{00000000-0005-0000-0000-0000620A0000}"/>
    <cellStyle name="Moneda 21 3 4" xfId="1453" xr:uid="{00000000-0005-0000-0000-0000630A0000}"/>
    <cellStyle name="Moneda 21 3 4 2" xfId="1454" xr:uid="{00000000-0005-0000-0000-0000640A0000}"/>
    <cellStyle name="Moneda 21 3 5" xfId="1455" xr:uid="{00000000-0005-0000-0000-0000650A0000}"/>
    <cellStyle name="Moneda 21 4" xfId="1456" xr:uid="{00000000-0005-0000-0000-0000660A0000}"/>
    <cellStyle name="Moneda 21 4 2" xfId="1457" xr:uid="{00000000-0005-0000-0000-0000670A0000}"/>
    <cellStyle name="Moneda 21 5" xfId="1458" xr:uid="{00000000-0005-0000-0000-0000680A0000}"/>
    <cellStyle name="Moneda 21 5 2" xfId="1459" xr:uid="{00000000-0005-0000-0000-0000690A0000}"/>
    <cellStyle name="Moneda 21 6" xfId="1460" xr:uid="{00000000-0005-0000-0000-00006A0A0000}"/>
    <cellStyle name="Moneda 21 6 2" xfId="1461" xr:uid="{00000000-0005-0000-0000-00006B0A0000}"/>
    <cellStyle name="Moneda 21 7" xfId="1462" xr:uid="{00000000-0005-0000-0000-00006C0A0000}"/>
    <cellStyle name="Moneda 21 8" xfId="1463" xr:uid="{00000000-0005-0000-0000-00006D0A0000}"/>
    <cellStyle name="Moneda 22" xfId="1464" xr:uid="{00000000-0005-0000-0000-00006E0A0000}"/>
    <cellStyle name="Moneda 22 2" xfId="1465" xr:uid="{00000000-0005-0000-0000-00006F0A0000}"/>
    <cellStyle name="Moneda 22 2 2" xfId="1466" xr:uid="{00000000-0005-0000-0000-0000700A0000}"/>
    <cellStyle name="Moneda 22 2 2 2" xfId="1467" xr:uid="{00000000-0005-0000-0000-0000710A0000}"/>
    <cellStyle name="Moneda 22 2 2 2 2" xfId="1468" xr:uid="{00000000-0005-0000-0000-0000720A0000}"/>
    <cellStyle name="Moneda 22 2 2 3" xfId="1469" xr:uid="{00000000-0005-0000-0000-0000730A0000}"/>
    <cellStyle name="Moneda 22 2 2 3 2" xfId="1470" xr:uid="{00000000-0005-0000-0000-0000740A0000}"/>
    <cellStyle name="Moneda 22 2 2 4" xfId="1471" xr:uid="{00000000-0005-0000-0000-0000750A0000}"/>
    <cellStyle name="Moneda 22 2 2 4 2" xfId="1472" xr:uid="{00000000-0005-0000-0000-0000760A0000}"/>
    <cellStyle name="Moneda 22 2 2 5" xfId="1473" xr:uid="{00000000-0005-0000-0000-0000770A0000}"/>
    <cellStyle name="Moneda 22 2 3" xfId="1474" xr:uid="{00000000-0005-0000-0000-0000780A0000}"/>
    <cellStyle name="Moneda 22 2 3 2" xfId="1475" xr:uid="{00000000-0005-0000-0000-0000790A0000}"/>
    <cellStyle name="Moneda 22 2 4" xfId="1476" xr:uid="{00000000-0005-0000-0000-00007A0A0000}"/>
    <cellStyle name="Moneda 22 2 4 2" xfId="1477" xr:uid="{00000000-0005-0000-0000-00007B0A0000}"/>
    <cellStyle name="Moneda 22 2 5" xfId="1478" xr:uid="{00000000-0005-0000-0000-00007C0A0000}"/>
    <cellStyle name="Moneda 22 2 5 2" xfId="1479" xr:uid="{00000000-0005-0000-0000-00007D0A0000}"/>
    <cellStyle name="Moneda 22 2 6" xfId="1480" xr:uid="{00000000-0005-0000-0000-00007E0A0000}"/>
    <cellStyle name="Moneda 22 3" xfId="1481" xr:uid="{00000000-0005-0000-0000-00007F0A0000}"/>
    <cellStyle name="Moneda 22 3 2" xfId="1482" xr:uid="{00000000-0005-0000-0000-0000800A0000}"/>
    <cellStyle name="Moneda 22 3 2 2" xfId="1483" xr:uid="{00000000-0005-0000-0000-0000810A0000}"/>
    <cellStyle name="Moneda 22 3 3" xfId="1484" xr:uid="{00000000-0005-0000-0000-0000820A0000}"/>
    <cellStyle name="Moneda 22 3 3 2" xfId="1485" xr:uid="{00000000-0005-0000-0000-0000830A0000}"/>
    <cellStyle name="Moneda 22 3 4" xfId="1486" xr:uid="{00000000-0005-0000-0000-0000840A0000}"/>
    <cellStyle name="Moneda 22 3 4 2" xfId="1487" xr:uid="{00000000-0005-0000-0000-0000850A0000}"/>
    <cellStyle name="Moneda 22 3 5" xfId="1488" xr:uid="{00000000-0005-0000-0000-0000860A0000}"/>
    <cellStyle name="Moneda 22 4" xfId="1489" xr:uid="{00000000-0005-0000-0000-0000870A0000}"/>
    <cellStyle name="Moneda 22 4 2" xfId="1490" xr:uid="{00000000-0005-0000-0000-0000880A0000}"/>
    <cellStyle name="Moneda 22 5" xfId="1491" xr:uid="{00000000-0005-0000-0000-0000890A0000}"/>
    <cellStyle name="Moneda 22 5 2" xfId="1492" xr:uid="{00000000-0005-0000-0000-00008A0A0000}"/>
    <cellStyle name="Moneda 22 6" xfId="1493" xr:uid="{00000000-0005-0000-0000-00008B0A0000}"/>
    <cellStyle name="Moneda 22 6 2" xfId="1494" xr:uid="{00000000-0005-0000-0000-00008C0A0000}"/>
    <cellStyle name="Moneda 22 7" xfId="1495" xr:uid="{00000000-0005-0000-0000-00008D0A0000}"/>
    <cellStyle name="Moneda 22 8" xfId="1496" xr:uid="{00000000-0005-0000-0000-00008E0A0000}"/>
    <cellStyle name="Moneda 23" xfId="1497" xr:uid="{00000000-0005-0000-0000-00008F0A0000}"/>
    <cellStyle name="Moneda 23 2" xfId="1498" xr:uid="{00000000-0005-0000-0000-0000900A0000}"/>
    <cellStyle name="Moneda 23 2 2" xfId="1499" xr:uid="{00000000-0005-0000-0000-0000910A0000}"/>
    <cellStyle name="Moneda 23 2 2 2" xfId="1500" xr:uid="{00000000-0005-0000-0000-0000920A0000}"/>
    <cellStyle name="Moneda 23 2 3" xfId="1501" xr:uid="{00000000-0005-0000-0000-0000930A0000}"/>
    <cellStyle name="Moneda 23 2 3 2" xfId="1502" xr:uid="{00000000-0005-0000-0000-0000940A0000}"/>
    <cellStyle name="Moneda 23 2 4" xfId="1503" xr:uid="{00000000-0005-0000-0000-0000950A0000}"/>
    <cellStyle name="Moneda 23 2 4 2" xfId="1504" xr:uid="{00000000-0005-0000-0000-0000960A0000}"/>
    <cellStyle name="Moneda 23 2 5" xfId="1505" xr:uid="{00000000-0005-0000-0000-0000970A0000}"/>
    <cellStyle name="Moneda 23 3" xfId="1506" xr:uid="{00000000-0005-0000-0000-0000980A0000}"/>
    <cellStyle name="Moneda 23 3 2" xfId="1507" xr:uid="{00000000-0005-0000-0000-0000990A0000}"/>
    <cellStyle name="Moneda 23 4" xfId="1508" xr:uid="{00000000-0005-0000-0000-00009A0A0000}"/>
    <cellStyle name="Moneda 23 4 2" xfId="1509" xr:uid="{00000000-0005-0000-0000-00009B0A0000}"/>
    <cellStyle name="Moneda 23 5" xfId="1510" xr:uid="{00000000-0005-0000-0000-00009C0A0000}"/>
    <cellStyle name="Moneda 23 5 2" xfId="1511" xr:uid="{00000000-0005-0000-0000-00009D0A0000}"/>
    <cellStyle name="Moneda 23 6" xfId="1512" xr:uid="{00000000-0005-0000-0000-00009E0A0000}"/>
    <cellStyle name="Moneda 23 7" xfId="1513" xr:uid="{00000000-0005-0000-0000-00009F0A0000}"/>
    <cellStyle name="Moneda 24" xfId="1514" xr:uid="{00000000-0005-0000-0000-0000A00A0000}"/>
    <cellStyle name="Moneda 24 2" xfId="1515" xr:uid="{00000000-0005-0000-0000-0000A10A0000}"/>
    <cellStyle name="Moneda 24 2 2" xfId="1516" xr:uid="{00000000-0005-0000-0000-0000A20A0000}"/>
    <cellStyle name="Moneda 24 2 2 2" xfId="1517" xr:uid="{00000000-0005-0000-0000-0000A30A0000}"/>
    <cellStyle name="Moneda 24 2 3" xfId="1518" xr:uid="{00000000-0005-0000-0000-0000A40A0000}"/>
    <cellStyle name="Moneda 24 2 3 2" xfId="1519" xr:uid="{00000000-0005-0000-0000-0000A50A0000}"/>
    <cellStyle name="Moneda 24 2 4" xfId="1520" xr:uid="{00000000-0005-0000-0000-0000A60A0000}"/>
    <cellStyle name="Moneda 24 2 4 2" xfId="1521" xr:uid="{00000000-0005-0000-0000-0000A70A0000}"/>
    <cellStyle name="Moneda 24 2 5" xfId="1522" xr:uid="{00000000-0005-0000-0000-0000A80A0000}"/>
    <cellStyle name="Moneda 24 3" xfId="1523" xr:uid="{00000000-0005-0000-0000-0000A90A0000}"/>
    <cellStyle name="Moneda 24 3 2" xfId="1524" xr:uid="{00000000-0005-0000-0000-0000AA0A0000}"/>
    <cellStyle name="Moneda 24 4" xfId="1525" xr:uid="{00000000-0005-0000-0000-0000AB0A0000}"/>
    <cellStyle name="Moneda 24 4 2" xfId="1526" xr:uid="{00000000-0005-0000-0000-0000AC0A0000}"/>
    <cellStyle name="Moneda 24 5" xfId="1527" xr:uid="{00000000-0005-0000-0000-0000AD0A0000}"/>
    <cellStyle name="Moneda 24 5 2" xfId="1528" xr:uid="{00000000-0005-0000-0000-0000AE0A0000}"/>
    <cellStyle name="Moneda 24 6" xfId="1529" xr:uid="{00000000-0005-0000-0000-0000AF0A0000}"/>
    <cellStyle name="Moneda 24 7" xfId="1530" xr:uid="{00000000-0005-0000-0000-0000B00A0000}"/>
    <cellStyle name="Moneda 25" xfId="1531" xr:uid="{00000000-0005-0000-0000-0000B10A0000}"/>
    <cellStyle name="Moneda 25 2" xfId="1532" xr:uid="{00000000-0005-0000-0000-0000B20A0000}"/>
    <cellStyle name="Moneda 25 2 2" xfId="1533" xr:uid="{00000000-0005-0000-0000-0000B30A0000}"/>
    <cellStyle name="Moneda 25 3" xfId="1534" xr:uid="{00000000-0005-0000-0000-0000B40A0000}"/>
    <cellStyle name="Moneda 25 3 2" xfId="1535" xr:uid="{00000000-0005-0000-0000-0000B50A0000}"/>
    <cellStyle name="Moneda 25 4" xfId="1536" xr:uid="{00000000-0005-0000-0000-0000B60A0000}"/>
    <cellStyle name="Moneda 25 4 2" xfId="1537" xr:uid="{00000000-0005-0000-0000-0000B70A0000}"/>
    <cellStyle name="Moneda 25 5" xfId="1538" xr:uid="{00000000-0005-0000-0000-0000B80A0000}"/>
    <cellStyle name="Moneda 26" xfId="1539" xr:uid="{00000000-0005-0000-0000-0000B90A0000}"/>
    <cellStyle name="Moneda 26 2" xfId="1540" xr:uid="{00000000-0005-0000-0000-0000BA0A0000}"/>
    <cellStyle name="Moneda 26 2 2" xfId="1541" xr:uid="{00000000-0005-0000-0000-0000BB0A0000}"/>
    <cellStyle name="Moneda 26 3" xfId="1542" xr:uid="{00000000-0005-0000-0000-0000BC0A0000}"/>
    <cellStyle name="Moneda 26 3 2" xfId="1543" xr:uid="{00000000-0005-0000-0000-0000BD0A0000}"/>
    <cellStyle name="Moneda 26 4" xfId="1544" xr:uid="{00000000-0005-0000-0000-0000BE0A0000}"/>
    <cellStyle name="Moneda 26 4 2" xfId="1545" xr:uid="{00000000-0005-0000-0000-0000BF0A0000}"/>
    <cellStyle name="Moneda 26 5" xfId="1546" xr:uid="{00000000-0005-0000-0000-0000C00A0000}"/>
    <cellStyle name="Moneda 27" xfId="1547" xr:uid="{00000000-0005-0000-0000-0000C10A0000}"/>
    <cellStyle name="Moneda 27 2" xfId="1548" xr:uid="{00000000-0005-0000-0000-0000C20A0000}"/>
    <cellStyle name="Moneda 27 2 2" xfId="1549" xr:uid="{00000000-0005-0000-0000-0000C30A0000}"/>
    <cellStyle name="Moneda 27 3" xfId="1550" xr:uid="{00000000-0005-0000-0000-0000C40A0000}"/>
    <cellStyle name="Moneda 27 3 2" xfId="1551" xr:uid="{00000000-0005-0000-0000-0000C50A0000}"/>
    <cellStyle name="Moneda 27 4" xfId="1552" xr:uid="{00000000-0005-0000-0000-0000C60A0000}"/>
    <cellStyle name="Moneda 27 4 2" xfId="1553" xr:uid="{00000000-0005-0000-0000-0000C70A0000}"/>
    <cellStyle name="Moneda 27 5" xfId="1554" xr:uid="{00000000-0005-0000-0000-0000C80A0000}"/>
    <cellStyle name="Moneda 28" xfId="1555" xr:uid="{00000000-0005-0000-0000-0000C90A0000}"/>
    <cellStyle name="Moneda 28 2" xfId="1556" xr:uid="{00000000-0005-0000-0000-0000CA0A0000}"/>
    <cellStyle name="Moneda 28 2 2" xfId="1557" xr:uid="{00000000-0005-0000-0000-0000CB0A0000}"/>
    <cellStyle name="Moneda 28 3" xfId="1558" xr:uid="{00000000-0005-0000-0000-0000CC0A0000}"/>
    <cellStyle name="Moneda 28 3 2" xfId="1559" xr:uid="{00000000-0005-0000-0000-0000CD0A0000}"/>
    <cellStyle name="Moneda 28 4" xfId="1560" xr:uid="{00000000-0005-0000-0000-0000CE0A0000}"/>
    <cellStyle name="Moneda 28 4 2" xfId="1561" xr:uid="{00000000-0005-0000-0000-0000CF0A0000}"/>
    <cellStyle name="Moneda 28 5" xfId="1562" xr:uid="{00000000-0005-0000-0000-0000D00A0000}"/>
    <cellStyle name="Moneda 29" xfId="1563" xr:uid="{00000000-0005-0000-0000-0000D10A0000}"/>
    <cellStyle name="Moneda 29 2" xfId="1564" xr:uid="{00000000-0005-0000-0000-0000D20A0000}"/>
    <cellStyle name="Moneda 29 2 2" xfId="1565" xr:uid="{00000000-0005-0000-0000-0000D30A0000}"/>
    <cellStyle name="Moneda 29 3" xfId="1566" xr:uid="{00000000-0005-0000-0000-0000D40A0000}"/>
    <cellStyle name="Moneda 29 3 2" xfId="1567" xr:uid="{00000000-0005-0000-0000-0000D50A0000}"/>
    <cellStyle name="Moneda 29 4" xfId="1568" xr:uid="{00000000-0005-0000-0000-0000D60A0000}"/>
    <cellStyle name="Moneda 29 4 2" xfId="1569" xr:uid="{00000000-0005-0000-0000-0000D70A0000}"/>
    <cellStyle name="Moneda 29 5" xfId="1570" xr:uid="{00000000-0005-0000-0000-0000D80A0000}"/>
    <cellStyle name="Moneda 3" xfId="14" xr:uid="{00000000-0005-0000-0000-0000D90A0000}"/>
    <cellStyle name="Moneda 3 10" xfId="1571" xr:uid="{00000000-0005-0000-0000-0000DA0A0000}"/>
    <cellStyle name="Moneda 3 10 2" xfId="1572" xr:uid="{00000000-0005-0000-0000-0000DB0A0000}"/>
    <cellStyle name="Moneda 3 10 2 2" xfId="1573" xr:uid="{00000000-0005-0000-0000-0000DC0A0000}"/>
    <cellStyle name="Moneda 3 10 3" xfId="1574" xr:uid="{00000000-0005-0000-0000-0000DD0A0000}"/>
    <cellStyle name="Moneda 3 10 3 2" xfId="1575" xr:uid="{00000000-0005-0000-0000-0000DE0A0000}"/>
    <cellStyle name="Moneda 3 10 4" xfId="1576" xr:uid="{00000000-0005-0000-0000-0000DF0A0000}"/>
    <cellStyle name="Moneda 3 10 4 2" xfId="1577" xr:uid="{00000000-0005-0000-0000-0000E00A0000}"/>
    <cellStyle name="Moneda 3 10 5" xfId="1578" xr:uid="{00000000-0005-0000-0000-0000E10A0000}"/>
    <cellStyle name="Moneda 3 11" xfId="1579" xr:uid="{00000000-0005-0000-0000-0000E20A0000}"/>
    <cellStyle name="Moneda 3 11 2" xfId="1580" xr:uid="{00000000-0005-0000-0000-0000E30A0000}"/>
    <cellStyle name="Moneda 3 12" xfId="1581" xr:uid="{00000000-0005-0000-0000-0000E40A0000}"/>
    <cellStyle name="Moneda 3 12 2" xfId="1582" xr:uid="{00000000-0005-0000-0000-0000E50A0000}"/>
    <cellStyle name="Moneda 3 13" xfId="1583" xr:uid="{00000000-0005-0000-0000-0000E60A0000}"/>
    <cellStyle name="Moneda 3 13 2" xfId="1584" xr:uid="{00000000-0005-0000-0000-0000E70A0000}"/>
    <cellStyle name="Moneda 3 14" xfId="1585" xr:uid="{00000000-0005-0000-0000-0000E80A0000}"/>
    <cellStyle name="Moneda 3 14 2" xfId="1586" xr:uid="{00000000-0005-0000-0000-0000E90A0000}"/>
    <cellStyle name="Moneda 3 15" xfId="1587" xr:uid="{00000000-0005-0000-0000-0000EA0A0000}"/>
    <cellStyle name="Moneda 3 15 10" xfId="4611" xr:uid="{B46487FF-DB26-4274-99B7-B3D67610C68C}"/>
    <cellStyle name="Moneda 3 15 11" xfId="6288" xr:uid="{BA2C68CF-7F24-4413-8A3E-F8517647C843}"/>
    <cellStyle name="Moneda 3 15 2" xfId="1588" xr:uid="{00000000-0005-0000-0000-0000EB0A0000}"/>
    <cellStyle name="Moneda 3 15 3" xfId="1589" xr:uid="{00000000-0005-0000-0000-0000EC0A0000}"/>
    <cellStyle name="Moneda 3 15 3 2" xfId="2924" xr:uid="{00000000-0005-0000-0000-0000ED0A0000}"/>
    <cellStyle name="Moneda 3 15 4" xfId="2993" xr:uid="{00000000-0005-0000-0000-0000EE0A0000}"/>
    <cellStyle name="Moneda 3 15 4 2" xfId="3195" xr:uid="{00000000-0005-0000-0000-0000EF0A0000}"/>
    <cellStyle name="Moneda 3 15 4 2 2" xfId="3588" xr:uid="{00000000-0005-0000-0000-0000F00A0000}"/>
    <cellStyle name="Moneda 3 15 4 2 2 2" xfId="5292" xr:uid="{F7341A34-B79F-4172-8399-B8559BA2A7F9}"/>
    <cellStyle name="Moneda 3 15 4 2 2 3" xfId="6969" xr:uid="{0DD84252-3D0C-46DE-8A91-58F0664CE868}"/>
    <cellStyle name="Moneda 3 15 4 2 3" xfId="3983" xr:uid="{00000000-0005-0000-0000-0000F10A0000}"/>
    <cellStyle name="Moneda 3 15 4 2 3 2" xfId="5681" xr:uid="{9C088534-3995-47B4-B129-C7B91C8ADE2C}"/>
    <cellStyle name="Moneda 3 15 4 2 3 3" xfId="7358" xr:uid="{E949AA13-660F-4EAF-86BC-27C8B8638308}"/>
    <cellStyle name="Moneda 3 15 4 2 4" xfId="4490" xr:uid="{D2B7789B-BA23-4436-947C-E1F642D302F6}"/>
    <cellStyle name="Moneda 3 15 4 2 4 2" xfId="6171" xr:uid="{1E664589-2FB9-4585-8D14-04E9B5742F73}"/>
    <cellStyle name="Moneda 3 15 4 2 4 3" xfId="7848" xr:uid="{930FE355-9A95-47F9-98AF-04F675EEDB18}"/>
    <cellStyle name="Moneda 3 15 4 2 5" xfId="4904" xr:uid="{5BC42128-61A5-4FA8-8D89-68A0A710777A}"/>
    <cellStyle name="Moneda 3 15 4 2 6" xfId="6581" xr:uid="{BAA291A7-D086-4196-A02F-CB59EFDEF518}"/>
    <cellStyle name="Moneda 3 15 4 3" xfId="3394" xr:uid="{00000000-0005-0000-0000-0000F20A0000}"/>
    <cellStyle name="Moneda 3 15 4 3 2" xfId="5098" xr:uid="{C40AAD21-2BCE-4F22-9E2A-ABD690170D8E}"/>
    <cellStyle name="Moneda 3 15 4 3 3" xfId="6775" xr:uid="{20B60C01-59F5-4F2D-BC1A-BBF2DFF0EDFB}"/>
    <cellStyle name="Moneda 3 15 4 4" xfId="3789" xr:uid="{00000000-0005-0000-0000-0000F30A0000}"/>
    <cellStyle name="Moneda 3 15 4 4 2" xfId="5487" xr:uid="{56B3E190-3788-4A3D-8919-1AE127478176}"/>
    <cellStyle name="Moneda 3 15 4 4 3" xfId="7164" xr:uid="{1D68FBBE-7DFF-4F5E-BA44-8CF90B4979A4}"/>
    <cellStyle name="Moneda 3 15 4 5" xfId="4296" xr:uid="{EA3933C7-9153-496A-AA9A-39979EC5EE8C}"/>
    <cellStyle name="Moneda 3 15 4 5 2" xfId="5977" xr:uid="{3E28282F-9A3C-487A-B45B-2A4E63E2E11D}"/>
    <cellStyle name="Moneda 3 15 4 5 3" xfId="7654" xr:uid="{FE0C5624-012C-4F20-BAFF-42E568BB07E8}"/>
    <cellStyle name="Moneda 3 15 4 6" xfId="4710" xr:uid="{7C94E8C0-4043-4BA0-82CD-1BE663A085F8}"/>
    <cellStyle name="Moneda 3 15 4 7" xfId="6387" xr:uid="{0E63A671-9E33-45C7-A92D-155DC1690B04}"/>
    <cellStyle name="Moneda 3 15 5" xfId="3099" xr:uid="{00000000-0005-0000-0000-0000F40A0000}"/>
    <cellStyle name="Moneda 3 15 5 2" xfId="3492" xr:uid="{00000000-0005-0000-0000-0000F50A0000}"/>
    <cellStyle name="Moneda 3 15 5 2 2" xfId="5196" xr:uid="{3B91B8DD-6183-4157-9111-D572F7845D5E}"/>
    <cellStyle name="Moneda 3 15 5 2 3" xfId="6873" xr:uid="{90AC9637-DCEA-468A-B7A1-220DDB260479}"/>
    <cellStyle name="Moneda 3 15 5 3" xfId="3887" xr:uid="{00000000-0005-0000-0000-0000F60A0000}"/>
    <cellStyle name="Moneda 3 15 5 3 2" xfId="5585" xr:uid="{5C42893C-7111-49BC-B69F-15A7152B4D25}"/>
    <cellStyle name="Moneda 3 15 5 3 3" xfId="7262" xr:uid="{0BC6F82B-29BA-4D4C-B849-C29AB7C285CA}"/>
    <cellStyle name="Moneda 3 15 5 4" xfId="4394" xr:uid="{22C8807E-CE24-4878-B5A3-64298DB30CF0}"/>
    <cellStyle name="Moneda 3 15 5 4 2" xfId="6075" xr:uid="{5B6CCFB4-CD47-4586-BA78-D655719BF76E}"/>
    <cellStyle name="Moneda 3 15 5 4 3" xfId="7752" xr:uid="{52A69C13-337D-4ABC-9B80-01E9926F1D42}"/>
    <cellStyle name="Moneda 3 15 5 5" xfId="4808" xr:uid="{E5E5D59C-5CF4-471F-B665-B6410D55F95B}"/>
    <cellStyle name="Moneda 3 15 5 6" xfId="6485" xr:uid="{E4ED45F5-23D8-40B1-97B5-EB8989501D62}"/>
    <cellStyle name="Moneda 3 15 6" xfId="3298" xr:uid="{00000000-0005-0000-0000-0000F70A0000}"/>
    <cellStyle name="Moneda 3 15 6 2" xfId="5002" xr:uid="{61905990-127D-4F32-A837-D5445416C1DD}"/>
    <cellStyle name="Moneda 3 15 6 3" xfId="6679" xr:uid="{23A53097-448C-4A70-8975-F5F148DF8752}"/>
    <cellStyle name="Moneda 3 15 7" xfId="3691" xr:uid="{00000000-0005-0000-0000-0000F80A0000}"/>
    <cellStyle name="Moneda 3 15 7 2" xfId="5390" xr:uid="{9386EC30-A880-4798-A350-955E54FEA60F}"/>
    <cellStyle name="Moneda 3 15 7 3" xfId="7067" xr:uid="{955C5701-FC14-4576-8358-9651E1010A27}"/>
    <cellStyle name="Moneda 3 15 8" xfId="4089" xr:uid="{00000000-0005-0000-0000-0000F90A0000}"/>
    <cellStyle name="Moneda 3 15 8 2" xfId="5781" xr:uid="{410F297A-1C65-4E60-84D2-1F5D3CA1D586}"/>
    <cellStyle name="Moneda 3 15 8 3" xfId="7458" xr:uid="{A13D2283-39C0-40B6-98B0-9D28AEC631B0}"/>
    <cellStyle name="Moneda 3 15 9" xfId="4194" xr:uid="{8DF98FEA-D6E6-4915-A7E7-C92E967DD6BB}"/>
    <cellStyle name="Moneda 3 15 9 2" xfId="5879" xr:uid="{E987C567-5796-4678-97D7-1B027C9C1492}"/>
    <cellStyle name="Moneda 3 15 9 3" xfId="7556" xr:uid="{134DFB2F-2E0C-43D1-8779-5C7018F249A3}"/>
    <cellStyle name="Moneda 3 16" xfId="1590" xr:uid="{00000000-0005-0000-0000-0000FA0A0000}"/>
    <cellStyle name="Moneda 3 16 2" xfId="2925" xr:uid="{00000000-0005-0000-0000-0000FB0A0000}"/>
    <cellStyle name="Moneda 3 17" xfId="4561" xr:uid="{DD886D9C-6B2C-43ED-92C9-09E0BA9A771B}"/>
    <cellStyle name="Moneda 3 2" xfId="1591" xr:uid="{00000000-0005-0000-0000-0000FC0A0000}"/>
    <cellStyle name="Moneda 3 2 10" xfId="1592" xr:uid="{00000000-0005-0000-0000-0000FD0A0000}"/>
    <cellStyle name="Moneda 3 2 10 2" xfId="1593" xr:uid="{00000000-0005-0000-0000-0000FE0A0000}"/>
    <cellStyle name="Moneda 3 2 11" xfId="1594" xr:uid="{00000000-0005-0000-0000-0000FF0A0000}"/>
    <cellStyle name="Moneda 3 2 2" xfId="1595" xr:uid="{00000000-0005-0000-0000-0000000B0000}"/>
    <cellStyle name="Moneda 3 2 2 2" xfId="1596" xr:uid="{00000000-0005-0000-0000-0000010B0000}"/>
    <cellStyle name="Moneda 3 2 2 2 2" xfId="1597" xr:uid="{00000000-0005-0000-0000-0000020B0000}"/>
    <cellStyle name="Moneda 3 2 2 2 2 2" xfId="1598" xr:uid="{00000000-0005-0000-0000-0000030B0000}"/>
    <cellStyle name="Moneda 3 2 2 2 2 2 2" xfId="1599" xr:uid="{00000000-0005-0000-0000-0000040B0000}"/>
    <cellStyle name="Moneda 3 2 2 2 2 3" xfId="1600" xr:uid="{00000000-0005-0000-0000-0000050B0000}"/>
    <cellStyle name="Moneda 3 2 2 2 2 3 2" xfId="1601" xr:uid="{00000000-0005-0000-0000-0000060B0000}"/>
    <cellStyle name="Moneda 3 2 2 2 2 4" xfId="1602" xr:uid="{00000000-0005-0000-0000-0000070B0000}"/>
    <cellStyle name="Moneda 3 2 2 2 2 4 2" xfId="1603" xr:uid="{00000000-0005-0000-0000-0000080B0000}"/>
    <cellStyle name="Moneda 3 2 2 2 2 5" xfId="1604" xr:uid="{00000000-0005-0000-0000-0000090B0000}"/>
    <cellStyle name="Moneda 3 2 2 2 3" xfId="1605" xr:uid="{00000000-0005-0000-0000-00000A0B0000}"/>
    <cellStyle name="Moneda 3 2 2 2 3 2" xfId="1606" xr:uid="{00000000-0005-0000-0000-00000B0B0000}"/>
    <cellStyle name="Moneda 3 2 2 2 4" xfId="1607" xr:uid="{00000000-0005-0000-0000-00000C0B0000}"/>
    <cellStyle name="Moneda 3 2 2 2 4 2" xfId="1608" xr:uid="{00000000-0005-0000-0000-00000D0B0000}"/>
    <cellStyle name="Moneda 3 2 2 2 5" xfId="1609" xr:uid="{00000000-0005-0000-0000-00000E0B0000}"/>
    <cellStyle name="Moneda 3 2 2 2 5 2" xfId="1610" xr:uid="{00000000-0005-0000-0000-00000F0B0000}"/>
    <cellStyle name="Moneda 3 2 2 2 6" xfId="1611" xr:uid="{00000000-0005-0000-0000-0000100B0000}"/>
    <cellStyle name="Moneda 3 2 2 3" xfId="1612" xr:uid="{00000000-0005-0000-0000-0000110B0000}"/>
    <cellStyle name="Moneda 3 2 2 3 2" xfId="1613" xr:uid="{00000000-0005-0000-0000-0000120B0000}"/>
    <cellStyle name="Moneda 3 2 2 3 2 2" xfId="1614" xr:uid="{00000000-0005-0000-0000-0000130B0000}"/>
    <cellStyle name="Moneda 3 2 2 3 2 2 2" xfId="1615" xr:uid="{00000000-0005-0000-0000-0000140B0000}"/>
    <cellStyle name="Moneda 3 2 2 3 2 3" xfId="1616" xr:uid="{00000000-0005-0000-0000-0000150B0000}"/>
    <cellStyle name="Moneda 3 2 2 3 3" xfId="1617" xr:uid="{00000000-0005-0000-0000-0000160B0000}"/>
    <cellStyle name="Moneda 3 2 2 3 3 2" xfId="1618" xr:uid="{00000000-0005-0000-0000-0000170B0000}"/>
    <cellStyle name="Moneda 3 2 2 3 4" xfId="1619" xr:uid="{00000000-0005-0000-0000-0000180B0000}"/>
    <cellStyle name="Moneda 3 2 2 3 4 2" xfId="1620" xr:uid="{00000000-0005-0000-0000-0000190B0000}"/>
    <cellStyle name="Moneda 3 2 2 3 5" xfId="1621" xr:uid="{00000000-0005-0000-0000-00001A0B0000}"/>
    <cellStyle name="Moneda 3 2 2 4" xfId="1622" xr:uid="{00000000-0005-0000-0000-00001B0B0000}"/>
    <cellStyle name="Moneda 3 2 2 4 2" xfId="1623" xr:uid="{00000000-0005-0000-0000-00001C0B0000}"/>
    <cellStyle name="Moneda 3 2 2 4 2 2" xfId="1624" xr:uid="{00000000-0005-0000-0000-00001D0B0000}"/>
    <cellStyle name="Moneda 3 2 2 4 2 2 2" xfId="1625" xr:uid="{00000000-0005-0000-0000-00001E0B0000}"/>
    <cellStyle name="Moneda 3 2 2 4 2 3" xfId="1626" xr:uid="{00000000-0005-0000-0000-00001F0B0000}"/>
    <cellStyle name="Moneda 3 2 2 4 3" xfId="1627" xr:uid="{00000000-0005-0000-0000-0000200B0000}"/>
    <cellStyle name="Moneda 3 2 2 4 3 2" xfId="1628" xr:uid="{00000000-0005-0000-0000-0000210B0000}"/>
    <cellStyle name="Moneda 3 2 2 4 4" xfId="1629" xr:uid="{00000000-0005-0000-0000-0000220B0000}"/>
    <cellStyle name="Moneda 3 2 2 5" xfId="1630" xr:uid="{00000000-0005-0000-0000-0000230B0000}"/>
    <cellStyle name="Moneda 3 2 2 5 2" xfId="1631" xr:uid="{00000000-0005-0000-0000-0000240B0000}"/>
    <cellStyle name="Moneda 3 2 2 5 2 2" xfId="1632" xr:uid="{00000000-0005-0000-0000-0000250B0000}"/>
    <cellStyle name="Moneda 3 2 2 5 3" xfId="1633" xr:uid="{00000000-0005-0000-0000-0000260B0000}"/>
    <cellStyle name="Moneda 3 2 2 6" xfId="1634" xr:uid="{00000000-0005-0000-0000-0000270B0000}"/>
    <cellStyle name="Moneda 3 2 2 6 2" xfId="1635" xr:uid="{00000000-0005-0000-0000-0000280B0000}"/>
    <cellStyle name="Moneda 3 2 2 7" xfId="1636" xr:uid="{00000000-0005-0000-0000-0000290B0000}"/>
    <cellStyle name="Moneda 3 2 3" xfId="1637" xr:uid="{00000000-0005-0000-0000-00002A0B0000}"/>
    <cellStyle name="Moneda 3 2 3 2" xfId="1638" xr:uid="{00000000-0005-0000-0000-00002B0B0000}"/>
    <cellStyle name="Moneda 3 2 3 2 2" xfId="1639" xr:uid="{00000000-0005-0000-0000-00002C0B0000}"/>
    <cellStyle name="Moneda 3 2 3 2 2 2" xfId="1640" xr:uid="{00000000-0005-0000-0000-00002D0B0000}"/>
    <cellStyle name="Moneda 3 2 3 2 2 2 2" xfId="1641" xr:uid="{00000000-0005-0000-0000-00002E0B0000}"/>
    <cellStyle name="Moneda 3 2 3 2 2 3" xfId="1642" xr:uid="{00000000-0005-0000-0000-00002F0B0000}"/>
    <cellStyle name="Moneda 3 2 3 2 2 3 2" xfId="1643" xr:uid="{00000000-0005-0000-0000-0000300B0000}"/>
    <cellStyle name="Moneda 3 2 3 2 2 4" xfId="1644" xr:uid="{00000000-0005-0000-0000-0000310B0000}"/>
    <cellStyle name="Moneda 3 2 3 2 2 4 2" xfId="1645" xr:uid="{00000000-0005-0000-0000-0000320B0000}"/>
    <cellStyle name="Moneda 3 2 3 2 2 5" xfId="1646" xr:uid="{00000000-0005-0000-0000-0000330B0000}"/>
    <cellStyle name="Moneda 3 2 3 2 3" xfId="1647" xr:uid="{00000000-0005-0000-0000-0000340B0000}"/>
    <cellStyle name="Moneda 3 2 3 2 3 2" xfId="1648" xr:uid="{00000000-0005-0000-0000-0000350B0000}"/>
    <cellStyle name="Moneda 3 2 3 2 4" xfId="1649" xr:uid="{00000000-0005-0000-0000-0000360B0000}"/>
    <cellStyle name="Moneda 3 2 3 2 4 2" xfId="1650" xr:uid="{00000000-0005-0000-0000-0000370B0000}"/>
    <cellStyle name="Moneda 3 2 3 2 5" xfId="1651" xr:uid="{00000000-0005-0000-0000-0000380B0000}"/>
    <cellStyle name="Moneda 3 2 3 2 5 2" xfId="1652" xr:uid="{00000000-0005-0000-0000-0000390B0000}"/>
    <cellStyle name="Moneda 3 2 3 2 6" xfId="1653" xr:uid="{00000000-0005-0000-0000-00003A0B0000}"/>
    <cellStyle name="Moneda 3 2 3 3" xfId="1654" xr:uid="{00000000-0005-0000-0000-00003B0B0000}"/>
    <cellStyle name="Moneda 3 2 3 3 2" xfId="1655" xr:uid="{00000000-0005-0000-0000-00003C0B0000}"/>
    <cellStyle name="Moneda 3 2 3 3 2 2" xfId="1656" xr:uid="{00000000-0005-0000-0000-00003D0B0000}"/>
    <cellStyle name="Moneda 3 2 3 3 3" xfId="1657" xr:uid="{00000000-0005-0000-0000-00003E0B0000}"/>
    <cellStyle name="Moneda 3 2 3 3 3 2" xfId="1658" xr:uid="{00000000-0005-0000-0000-00003F0B0000}"/>
    <cellStyle name="Moneda 3 2 3 3 4" xfId="1659" xr:uid="{00000000-0005-0000-0000-0000400B0000}"/>
    <cellStyle name="Moneda 3 2 3 3 4 2" xfId="1660" xr:uid="{00000000-0005-0000-0000-0000410B0000}"/>
    <cellStyle name="Moneda 3 2 3 3 5" xfId="1661" xr:uid="{00000000-0005-0000-0000-0000420B0000}"/>
    <cellStyle name="Moneda 3 2 3 4" xfId="1662" xr:uid="{00000000-0005-0000-0000-0000430B0000}"/>
    <cellStyle name="Moneda 3 2 3 4 2" xfId="1663" xr:uid="{00000000-0005-0000-0000-0000440B0000}"/>
    <cellStyle name="Moneda 3 2 3 5" xfId="1664" xr:uid="{00000000-0005-0000-0000-0000450B0000}"/>
    <cellStyle name="Moneda 3 2 3 5 2" xfId="1665" xr:uid="{00000000-0005-0000-0000-0000460B0000}"/>
    <cellStyle name="Moneda 3 2 3 6" xfId="1666" xr:uid="{00000000-0005-0000-0000-0000470B0000}"/>
    <cellStyle name="Moneda 3 2 3 6 2" xfId="1667" xr:uid="{00000000-0005-0000-0000-0000480B0000}"/>
    <cellStyle name="Moneda 3 2 3 7" xfId="1668" xr:uid="{00000000-0005-0000-0000-0000490B0000}"/>
    <cellStyle name="Moneda 3 2 4" xfId="1669" xr:uid="{00000000-0005-0000-0000-00004A0B0000}"/>
    <cellStyle name="Moneda 3 2 4 2" xfId="1670" xr:uid="{00000000-0005-0000-0000-00004B0B0000}"/>
    <cellStyle name="Moneda 3 2 4 2 2" xfId="1671" xr:uid="{00000000-0005-0000-0000-00004C0B0000}"/>
    <cellStyle name="Moneda 3 2 4 2 2 2" xfId="1672" xr:uid="{00000000-0005-0000-0000-00004D0B0000}"/>
    <cellStyle name="Moneda 3 2 4 2 2 2 2" xfId="1673" xr:uid="{00000000-0005-0000-0000-00004E0B0000}"/>
    <cellStyle name="Moneda 3 2 4 2 2 3" xfId="1674" xr:uid="{00000000-0005-0000-0000-00004F0B0000}"/>
    <cellStyle name="Moneda 3 2 4 2 2 3 2" xfId="1675" xr:uid="{00000000-0005-0000-0000-0000500B0000}"/>
    <cellStyle name="Moneda 3 2 4 2 2 4" xfId="1676" xr:uid="{00000000-0005-0000-0000-0000510B0000}"/>
    <cellStyle name="Moneda 3 2 4 2 2 4 2" xfId="1677" xr:uid="{00000000-0005-0000-0000-0000520B0000}"/>
    <cellStyle name="Moneda 3 2 4 2 2 5" xfId="1678" xr:uid="{00000000-0005-0000-0000-0000530B0000}"/>
    <cellStyle name="Moneda 3 2 4 2 3" xfId="1679" xr:uid="{00000000-0005-0000-0000-0000540B0000}"/>
    <cellStyle name="Moneda 3 2 4 2 3 2" xfId="1680" xr:uid="{00000000-0005-0000-0000-0000550B0000}"/>
    <cellStyle name="Moneda 3 2 4 2 4" xfId="1681" xr:uid="{00000000-0005-0000-0000-0000560B0000}"/>
    <cellStyle name="Moneda 3 2 4 2 4 2" xfId="1682" xr:uid="{00000000-0005-0000-0000-0000570B0000}"/>
    <cellStyle name="Moneda 3 2 4 2 5" xfId="1683" xr:uid="{00000000-0005-0000-0000-0000580B0000}"/>
    <cellStyle name="Moneda 3 2 4 2 5 2" xfId="1684" xr:uid="{00000000-0005-0000-0000-0000590B0000}"/>
    <cellStyle name="Moneda 3 2 4 2 6" xfId="1685" xr:uid="{00000000-0005-0000-0000-00005A0B0000}"/>
    <cellStyle name="Moneda 3 2 4 3" xfId="1686" xr:uid="{00000000-0005-0000-0000-00005B0B0000}"/>
    <cellStyle name="Moneda 3 2 4 3 2" xfId="1687" xr:uid="{00000000-0005-0000-0000-00005C0B0000}"/>
    <cellStyle name="Moneda 3 2 4 3 2 2" xfId="1688" xr:uid="{00000000-0005-0000-0000-00005D0B0000}"/>
    <cellStyle name="Moneda 3 2 4 3 3" xfId="1689" xr:uid="{00000000-0005-0000-0000-00005E0B0000}"/>
    <cellStyle name="Moneda 3 2 4 3 3 2" xfId="1690" xr:uid="{00000000-0005-0000-0000-00005F0B0000}"/>
    <cellStyle name="Moneda 3 2 4 3 4" xfId="1691" xr:uid="{00000000-0005-0000-0000-0000600B0000}"/>
    <cellStyle name="Moneda 3 2 4 3 4 2" xfId="1692" xr:uid="{00000000-0005-0000-0000-0000610B0000}"/>
    <cellStyle name="Moneda 3 2 4 3 5" xfId="1693" xr:uid="{00000000-0005-0000-0000-0000620B0000}"/>
    <cellStyle name="Moneda 3 2 4 4" xfId="1694" xr:uid="{00000000-0005-0000-0000-0000630B0000}"/>
    <cellStyle name="Moneda 3 2 4 4 2" xfId="1695" xr:uid="{00000000-0005-0000-0000-0000640B0000}"/>
    <cellStyle name="Moneda 3 2 4 5" xfId="1696" xr:uid="{00000000-0005-0000-0000-0000650B0000}"/>
    <cellStyle name="Moneda 3 2 4 5 2" xfId="1697" xr:uid="{00000000-0005-0000-0000-0000660B0000}"/>
    <cellStyle name="Moneda 3 2 4 6" xfId="1698" xr:uid="{00000000-0005-0000-0000-0000670B0000}"/>
    <cellStyle name="Moneda 3 2 4 6 2" xfId="1699" xr:uid="{00000000-0005-0000-0000-0000680B0000}"/>
    <cellStyle name="Moneda 3 2 4 7" xfId="1700" xr:uid="{00000000-0005-0000-0000-0000690B0000}"/>
    <cellStyle name="Moneda 3 2 5" xfId="1701" xr:uid="{00000000-0005-0000-0000-00006A0B0000}"/>
    <cellStyle name="Moneda 3 2 5 2" xfId="1702" xr:uid="{00000000-0005-0000-0000-00006B0B0000}"/>
    <cellStyle name="Moneda 3 2 5 2 2" xfId="1703" xr:uid="{00000000-0005-0000-0000-00006C0B0000}"/>
    <cellStyle name="Moneda 3 2 5 2 2 2" xfId="1704" xr:uid="{00000000-0005-0000-0000-00006D0B0000}"/>
    <cellStyle name="Moneda 3 2 5 2 3" xfId="1705" xr:uid="{00000000-0005-0000-0000-00006E0B0000}"/>
    <cellStyle name="Moneda 3 2 5 2 3 2" xfId="1706" xr:uid="{00000000-0005-0000-0000-00006F0B0000}"/>
    <cellStyle name="Moneda 3 2 5 2 4" xfId="1707" xr:uid="{00000000-0005-0000-0000-0000700B0000}"/>
    <cellStyle name="Moneda 3 2 5 2 4 2" xfId="1708" xr:uid="{00000000-0005-0000-0000-0000710B0000}"/>
    <cellStyle name="Moneda 3 2 5 2 5" xfId="1709" xr:uid="{00000000-0005-0000-0000-0000720B0000}"/>
    <cellStyle name="Moneda 3 2 5 3" xfId="1710" xr:uid="{00000000-0005-0000-0000-0000730B0000}"/>
    <cellStyle name="Moneda 3 2 5 3 2" xfId="1711" xr:uid="{00000000-0005-0000-0000-0000740B0000}"/>
    <cellStyle name="Moneda 3 2 5 4" xfId="1712" xr:uid="{00000000-0005-0000-0000-0000750B0000}"/>
    <cellStyle name="Moneda 3 2 5 4 2" xfId="1713" xr:uid="{00000000-0005-0000-0000-0000760B0000}"/>
    <cellStyle name="Moneda 3 2 5 5" xfId="1714" xr:uid="{00000000-0005-0000-0000-0000770B0000}"/>
    <cellStyle name="Moneda 3 2 5 5 2" xfId="1715" xr:uid="{00000000-0005-0000-0000-0000780B0000}"/>
    <cellStyle name="Moneda 3 2 5 6" xfId="1716" xr:uid="{00000000-0005-0000-0000-0000790B0000}"/>
    <cellStyle name="Moneda 3 2 6" xfId="1717" xr:uid="{00000000-0005-0000-0000-00007A0B0000}"/>
    <cellStyle name="Moneda 3 2 6 2" xfId="1718" xr:uid="{00000000-0005-0000-0000-00007B0B0000}"/>
    <cellStyle name="Moneda 3 2 6 2 2" xfId="1719" xr:uid="{00000000-0005-0000-0000-00007C0B0000}"/>
    <cellStyle name="Moneda 3 2 6 2 3" xfId="1720" xr:uid="{00000000-0005-0000-0000-00007D0B0000}"/>
    <cellStyle name="Moneda 3 2 6 2 3 2" xfId="2926" xr:uid="{00000000-0005-0000-0000-00007E0B0000}"/>
    <cellStyle name="Moneda 3 2 6 3" xfId="1721" xr:uid="{00000000-0005-0000-0000-00007F0B0000}"/>
    <cellStyle name="Moneda 3 2 6 4" xfId="1722" xr:uid="{00000000-0005-0000-0000-0000800B0000}"/>
    <cellStyle name="Moneda 3 2 6 4 2" xfId="2927" xr:uid="{00000000-0005-0000-0000-0000810B0000}"/>
    <cellStyle name="Moneda 3 2 7" xfId="1723" xr:uid="{00000000-0005-0000-0000-0000820B0000}"/>
    <cellStyle name="Moneda 3 2 7 2" xfId="1724" xr:uid="{00000000-0005-0000-0000-0000830B0000}"/>
    <cellStyle name="Moneda 3 2 7 2 2" xfId="1725" xr:uid="{00000000-0005-0000-0000-0000840B0000}"/>
    <cellStyle name="Moneda 3 2 7 3" xfId="1726" xr:uid="{00000000-0005-0000-0000-0000850B0000}"/>
    <cellStyle name="Moneda 3 2 7 3 2" xfId="1727" xr:uid="{00000000-0005-0000-0000-0000860B0000}"/>
    <cellStyle name="Moneda 3 2 7 4" xfId="1728" xr:uid="{00000000-0005-0000-0000-0000870B0000}"/>
    <cellStyle name="Moneda 3 2 7 4 2" xfId="1729" xr:uid="{00000000-0005-0000-0000-0000880B0000}"/>
    <cellStyle name="Moneda 3 2 7 5" xfId="1730" xr:uid="{00000000-0005-0000-0000-0000890B0000}"/>
    <cellStyle name="Moneda 3 2 8" xfId="1731" xr:uid="{00000000-0005-0000-0000-00008A0B0000}"/>
    <cellStyle name="Moneda 3 2 8 2" xfId="1732" xr:uid="{00000000-0005-0000-0000-00008B0B0000}"/>
    <cellStyle name="Moneda 3 2 8 3" xfId="1733" xr:uid="{00000000-0005-0000-0000-00008C0B0000}"/>
    <cellStyle name="Moneda 3 2 8 4" xfId="2928" xr:uid="{00000000-0005-0000-0000-00008D0B0000}"/>
    <cellStyle name="Moneda 3 2 9" xfId="1734" xr:uid="{00000000-0005-0000-0000-00008E0B0000}"/>
    <cellStyle name="Moneda 3 2 9 2" xfId="1735" xr:uid="{00000000-0005-0000-0000-00008F0B0000}"/>
    <cellStyle name="Moneda 3 3" xfId="1736" xr:uid="{00000000-0005-0000-0000-0000900B0000}"/>
    <cellStyle name="Moneda 3 3 2" xfId="1737" xr:uid="{00000000-0005-0000-0000-0000910B0000}"/>
    <cellStyle name="Moneda 3 3 2 2" xfId="1738" xr:uid="{00000000-0005-0000-0000-0000920B0000}"/>
    <cellStyle name="Moneda 3 3 2 2 2" xfId="1739" xr:uid="{00000000-0005-0000-0000-0000930B0000}"/>
    <cellStyle name="Moneda 3 3 2 2 2 2" xfId="1740" xr:uid="{00000000-0005-0000-0000-0000940B0000}"/>
    <cellStyle name="Moneda 3 3 2 2 3" xfId="1741" xr:uid="{00000000-0005-0000-0000-0000950B0000}"/>
    <cellStyle name="Moneda 3 3 2 2 3 2" xfId="1742" xr:uid="{00000000-0005-0000-0000-0000960B0000}"/>
    <cellStyle name="Moneda 3 3 2 2 4" xfId="1743" xr:uid="{00000000-0005-0000-0000-0000970B0000}"/>
    <cellStyle name="Moneda 3 3 2 2 4 2" xfId="1744" xr:uid="{00000000-0005-0000-0000-0000980B0000}"/>
    <cellStyle name="Moneda 3 3 2 2 5" xfId="1745" xr:uid="{00000000-0005-0000-0000-0000990B0000}"/>
    <cellStyle name="Moneda 3 3 2 3" xfId="1746" xr:uid="{00000000-0005-0000-0000-00009A0B0000}"/>
    <cellStyle name="Moneda 3 3 2 3 2" xfId="1747" xr:uid="{00000000-0005-0000-0000-00009B0B0000}"/>
    <cellStyle name="Moneda 3 3 2 4" xfId="1748" xr:uid="{00000000-0005-0000-0000-00009C0B0000}"/>
    <cellStyle name="Moneda 3 3 2 4 2" xfId="1749" xr:uid="{00000000-0005-0000-0000-00009D0B0000}"/>
    <cellStyle name="Moneda 3 3 2 5" xfId="1750" xr:uid="{00000000-0005-0000-0000-00009E0B0000}"/>
    <cellStyle name="Moneda 3 3 2 5 2" xfId="1751" xr:uid="{00000000-0005-0000-0000-00009F0B0000}"/>
    <cellStyle name="Moneda 3 3 2 6" xfId="1752" xr:uid="{00000000-0005-0000-0000-0000A00B0000}"/>
    <cellStyle name="Moneda 3 3 2 7" xfId="1753" xr:uid="{00000000-0005-0000-0000-0000A10B0000}"/>
    <cellStyle name="Moneda 3 3 3" xfId="1754" xr:uid="{00000000-0005-0000-0000-0000A20B0000}"/>
    <cellStyle name="Moneda 3 3 3 2" xfId="1755" xr:uid="{00000000-0005-0000-0000-0000A30B0000}"/>
    <cellStyle name="Moneda 3 3 3 2 2" xfId="1756" xr:uid="{00000000-0005-0000-0000-0000A40B0000}"/>
    <cellStyle name="Moneda 3 3 3 3" xfId="1757" xr:uid="{00000000-0005-0000-0000-0000A50B0000}"/>
    <cellStyle name="Moneda 3 3 3 3 2" xfId="1758" xr:uid="{00000000-0005-0000-0000-0000A60B0000}"/>
    <cellStyle name="Moneda 3 3 3 4" xfId="1759" xr:uid="{00000000-0005-0000-0000-0000A70B0000}"/>
    <cellStyle name="Moneda 3 3 3 4 2" xfId="1760" xr:uid="{00000000-0005-0000-0000-0000A80B0000}"/>
    <cellStyle name="Moneda 3 3 3 5" xfId="1761" xr:uid="{00000000-0005-0000-0000-0000A90B0000}"/>
    <cellStyle name="Moneda 3 3 4" xfId="1762" xr:uid="{00000000-0005-0000-0000-0000AA0B0000}"/>
    <cellStyle name="Moneda 3 3 4 2" xfId="1763" xr:uid="{00000000-0005-0000-0000-0000AB0B0000}"/>
    <cellStyle name="Moneda 3 3 5" xfId="1764" xr:uid="{00000000-0005-0000-0000-0000AC0B0000}"/>
    <cellStyle name="Moneda 3 3 5 2" xfId="1765" xr:uid="{00000000-0005-0000-0000-0000AD0B0000}"/>
    <cellStyle name="Moneda 3 3 6" xfId="1766" xr:uid="{00000000-0005-0000-0000-0000AE0B0000}"/>
    <cellStyle name="Moneda 3 3 6 2" xfId="1767" xr:uid="{00000000-0005-0000-0000-0000AF0B0000}"/>
    <cellStyle name="Moneda 3 3 7" xfId="1768" xr:uid="{00000000-0005-0000-0000-0000B00B0000}"/>
    <cellStyle name="Moneda 3 3 8" xfId="1769" xr:uid="{00000000-0005-0000-0000-0000B10B0000}"/>
    <cellStyle name="Moneda 3 4" xfId="1770" xr:uid="{00000000-0005-0000-0000-0000B20B0000}"/>
    <cellStyle name="Moneda 3 4 2" xfId="1771" xr:uid="{00000000-0005-0000-0000-0000B30B0000}"/>
    <cellStyle name="Moneda 3 4 2 2" xfId="1772" xr:uid="{00000000-0005-0000-0000-0000B40B0000}"/>
    <cellStyle name="Moneda 3 4 2 2 2" xfId="1773" xr:uid="{00000000-0005-0000-0000-0000B50B0000}"/>
    <cellStyle name="Moneda 3 4 2 2 2 2" xfId="1774" xr:uid="{00000000-0005-0000-0000-0000B60B0000}"/>
    <cellStyle name="Moneda 3 4 2 2 3" xfId="1775" xr:uid="{00000000-0005-0000-0000-0000B70B0000}"/>
    <cellStyle name="Moneda 3 4 2 2 3 2" xfId="1776" xr:uid="{00000000-0005-0000-0000-0000B80B0000}"/>
    <cellStyle name="Moneda 3 4 2 2 4" xfId="1777" xr:uid="{00000000-0005-0000-0000-0000B90B0000}"/>
    <cellStyle name="Moneda 3 4 2 2 4 2" xfId="1778" xr:uid="{00000000-0005-0000-0000-0000BA0B0000}"/>
    <cellStyle name="Moneda 3 4 2 2 5" xfId="1779" xr:uid="{00000000-0005-0000-0000-0000BB0B0000}"/>
    <cellStyle name="Moneda 3 4 2 3" xfId="1780" xr:uid="{00000000-0005-0000-0000-0000BC0B0000}"/>
    <cellStyle name="Moneda 3 4 2 3 2" xfId="1781" xr:uid="{00000000-0005-0000-0000-0000BD0B0000}"/>
    <cellStyle name="Moneda 3 4 2 4" xfId="1782" xr:uid="{00000000-0005-0000-0000-0000BE0B0000}"/>
    <cellStyle name="Moneda 3 4 2 4 2" xfId="1783" xr:uid="{00000000-0005-0000-0000-0000BF0B0000}"/>
    <cellStyle name="Moneda 3 4 2 5" xfId="1784" xr:uid="{00000000-0005-0000-0000-0000C00B0000}"/>
    <cellStyle name="Moneda 3 4 2 5 2" xfId="1785" xr:uid="{00000000-0005-0000-0000-0000C10B0000}"/>
    <cellStyle name="Moneda 3 4 2 6" xfId="1786" xr:uid="{00000000-0005-0000-0000-0000C20B0000}"/>
    <cellStyle name="Moneda 3 4 3" xfId="1787" xr:uid="{00000000-0005-0000-0000-0000C30B0000}"/>
    <cellStyle name="Moneda 3 4 3 2" xfId="1788" xr:uid="{00000000-0005-0000-0000-0000C40B0000}"/>
    <cellStyle name="Moneda 3 4 3 2 2" xfId="1789" xr:uid="{00000000-0005-0000-0000-0000C50B0000}"/>
    <cellStyle name="Moneda 3 4 3 3" xfId="1790" xr:uid="{00000000-0005-0000-0000-0000C60B0000}"/>
    <cellStyle name="Moneda 3 4 3 3 2" xfId="1791" xr:uid="{00000000-0005-0000-0000-0000C70B0000}"/>
    <cellStyle name="Moneda 3 4 3 4" xfId="1792" xr:uid="{00000000-0005-0000-0000-0000C80B0000}"/>
    <cellStyle name="Moneda 3 4 3 4 2" xfId="1793" xr:uid="{00000000-0005-0000-0000-0000C90B0000}"/>
    <cellStyle name="Moneda 3 4 3 5" xfId="1794" xr:uid="{00000000-0005-0000-0000-0000CA0B0000}"/>
    <cellStyle name="Moneda 3 4 4" xfId="1795" xr:uid="{00000000-0005-0000-0000-0000CB0B0000}"/>
    <cellStyle name="Moneda 3 4 4 2" xfId="1796" xr:uid="{00000000-0005-0000-0000-0000CC0B0000}"/>
    <cellStyle name="Moneda 3 4 5" xfId="1797" xr:uid="{00000000-0005-0000-0000-0000CD0B0000}"/>
    <cellStyle name="Moneda 3 4 5 2" xfId="1798" xr:uid="{00000000-0005-0000-0000-0000CE0B0000}"/>
    <cellStyle name="Moneda 3 4 6" xfId="1799" xr:uid="{00000000-0005-0000-0000-0000CF0B0000}"/>
    <cellStyle name="Moneda 3 4 6 2" xfId="1800" xr:uid="{00000000-0005-0000-0000-0000D00B0000}"/>
    <cellStyle name="Moneda 3 4 7" xfId="1801" xr:uid="{00000000-0005-0000-0000-0000D10B0000}"/>
    <cellStyle name="Moneda 3 5" xfId="1802" xr:uid="{00000000-0005-0000-0000-0000D20B0000}"/>
    <cellStyle name="Moneda 3 5 10" xfId="3100" xr:uid="{00000000-0005-0000-0000-0000D30B0000}"/>
    <cellStyle name="Moneda 3 5 10 2" xfId="3493" xr:uid="{00000000-0005-0000-0000-0000D40B0000}"/>
    <cellStyle name="Moneda 3 5 10 2 2" xfId="5197" xr:uid="{FC3E79FB-65F9-45F7-B30F-4534034F3700}"/>
    <cellStyle name="Moneda 3 5 10 2 3" xfId="6874" xr:uid="{F9EB6D33-F399-4A66-9BD5-BC4C5D428004}"/>
    <cellStyle name="Moneda 3 5 10 3" xfId="3888" xr:uid="{00000000-0005-0000-0000-0000D50B0000}"/>
    <cellStyle name="Moneda 3 5 10 3 2" xfId="5586" xr:uid="{CDBDAA6D-D5BB-4820-9132-AF6F3DFF731B}"/>
    <cellStyle name="Moneda 3 5 10 3 3" xfId="7263" xr:uid="{035C8E52-D857-4964-94DA-96E933440194}"/>
    <cellStyle name="Moneda 3 5 10 4" xfId="4395" xr:uid="{A39CBF26-0960-4CDD-B444-258758F47C04}"/>
    <cellStyle name="Moneda 3 5 10 4 2" xfId="6076" xr:uid="{78C6E001-A747-4DFE-A9E5-2DB4D45DF307}"/>
    <cellStyle name="Moneda 3 5 10 4 3" xfId="7753" xr:uid="{E05D0AF4-F8F7-45D7-AD7F-DD504BA8C6D0}"/>
    <cellStyle name="Moneda 3 5 10 5" xfId="4809" xr:uid="{5E95E86B-221B-4187-A8A0-60D46636F6B1}"/>
    <cellStyle name="Moneda 3 5 10 6" xfId="6486" xr:uid="{723ADAC2-2639-46F1-A855-73EBC8829CA7}"/>
    <cellStyle name="Moneda 3 5 11" xfId="3299" xr:uid="{00000000-0005-0000-0000-0000D60B0000}"/>
    <cellStyle name="Moneda 3 5 11 2" xfId="5003" xr:uid="{E477620F-E8CD-42F2-8958-C90F60180C71}"/>
    <cellStyle name="Moneda 3 5 11 3" xfId="6680" xr:uid="{7A54B877-6034-4758-BA48-456758F0476B}"/>
    <cellStyle name="Moneda 3 5 12" xfId="3692" xr:uid="{00000000-0005-0000-0000-0000D70B0000}"/>
    <cellStyle name="Moneda 3 5 12 2" xfId="5391" xr:uid="{67CCE511-468B-4FD2-8AAF-48AFF615EEF1}"/>
    <cellStyle name="Moneda 3 5 12 3" xfId="7068" xr:uid="{226BCF97-CB9B-4BE9-9394-CBA0B69D407F}"/>
    <cellStyle name="Moneda 3 5 13" xfId="4090" xr:uid="{00000000-0005-0000-0000-0000D80B0000}"/>
    <cellStyle name="Moneda 3 5 13 2" xfId="5782" xr:uid="{278F8369-266E-49CD-8843-16CE344E4558}"/>
    <cellStyle name="Moneda 3 5 13 3" xfId="7459" xr:uid="{BFF7EC4D-A4D0-43CF-A451-A0AA96FAA628}"/>
    <cellStyle name="Moneda 3 5 14" xfId="4195" xr:uid="{97BA2CB6-B110-42DE-9562-7BD4BA1C6169}"/>
    <cellStyle name="Moneda 3 5 14 2" xfId="5880" xr:uid="{A4E47744-D42F-4848-8A51-BC50305FED62}"/>
    <cellStyle name="Moneda 3 5 14 3" xfId="7557" xr:uid="{89BC1D90-15BC-4F43-829F-198D5C2BE458}"/>
    <cellStyle name="Moneda 3 5 15" xfId="4612" xr:uid="{2B216C26-A9C0-41D8-AC92-C136F8C2142B}"/>
    <cellStyle name="Moneda 3 5 16" xfId="6289" xr:uid="{F6C7ABB9-A335-4CDE-82A7-0F92F47D46B9}"/>
    <cellStyle name="Moneda 3 5 2" xfId="1803" xr:uid="{00000000-0005-0000-0000-0000D90B0000}"/>
    <cellStyle name="Moneda 3 5 2 2" xfId="1804" xr:uid="{00000000-0005-0000-0000-0000DA0B0000}"/>
    <cellStyle name="Moneda 3 5 2 2 2" xfId="1805" xr:uid="{00000000-0005-0000-0000-0000DB0B0000}"/>
    <cellStyle name="Moneda 3 5 2 2 2 2" xfId="1806" xr:uid="{00000000-0005-0000-0000-0000DC0B0000}"/>
    <cellStyle name="Moneda 3 5 2 2 3" xfId="1807" xr:uid="{00000000-0005-0000-0000-0000DD0B0000}"/>
    <cellStyle name="Moneda 3 5 2 2 3 2" xfId="1808" xr:uid="{00000000-0005-0000-0000-0000DE0B0000}"/>
    <cellStyle name="Moneda 3 5 2 2 4" xfId="1809" xr:uid="{00000000-0005-0000-0000-0000DF0B0000}"/>
    <cellStyle name="Moneda 3 5 2 2 4 2" xfId="1810" xr:uid="{00000000-0005-0000-0000-0000E00B0000}"/>
    <cellStyle name="Moneda 3 5 2 2 5" xfId="1811" xr:uid="{00000000-0005-0000-0000-0000E10B0000}"/>
    <cellStyle name="Moneda 3 5 2 3" xfId="1812" xr:uid="{00000000-0005-0000-0000-0000E20B0000}"/>
    <cellStyle name="Moneda 3 5 2 3 2" xfId="1813" xr:uid="{00000000-0005-0000-0000-0000E30B0000}"/>
    <cellStyle name="Moneda 3 5 2 4" xfId="1814" xr:uid="{00000000-0005-0000-0000-0000E40B0000}"/>
    <cellStyle name="Moneda 3 5 2 4 2" xfId="1815" xr:uid="{00000000-0005-0000-0000-0000E50B0000}"/>
    <cellStyle name="Moneda 3 5 2 5" xfId="1816" xr:uid="{00000000-0005-0000-0000-0000E60B0000}"/>
    <cellStyle name="Moneda 3 5 2 5 2" xfId="1817" xr:uid="{00000000-0005-0000-0000-0000E70B0000}"/>
    <cellStyle name="Moneda 3 5 2 6" xfId="1818" xr:uid="{00000000-0005-0000-0000-0000E80B0000}"/>
    <cellStyle name="Moneda 3 5 3" xfId="1819" xr:uid="{00000000-0005-0000-0000-0000E90B0000}"/>
    <cellStyle name="Moneda 3 5 3 2" xfId="1820" xr:uid="{00000000-0005-0000-0000-0000EA0B0000}"/>
    <cellStyle name="Moneda 3 5 3 2 2" xfId="1821" xr:uid="{00000000-0005-0000-0000-0000EB0B0000}"/>
    <cellStyle name="Moneda 3 5 3 3" xfId="1822" xr:uid="{00000000-0005-0000-0000-0000EC0B0000}"/>
    <cellStyle name="Moneda 3 5 3 3 2" xfId="1823" xr:uid="{00000000-0005-0000-0000-0000ED0B0000}"/>
    <cellStyle name="Moneda 3 5 3 4" xfId="1824" xr:uid="{00000000-0005-0000-0000-0000EE0B0000}"/>
    <cellStyle name="Moneda 3 5 3 4 2" xfId="1825" xr:uid="{00000000-0005-0000-0000-0000EF0B0000}"/>
    <cellStyle name="Moneda 3 5 3 5" xfId="1826" xr:uid="{00000000-0005-0000-0000-0000F00B0000}"/>
    <cellStyle name="Moneda 3 5 4" xfId="1827" xr:uid="{00000000-0005-0000-0000-0000F10B0000}"/>
    <cellStyle name="Moneda 3 5 4 2" xfId="1828" xr:uid="{00000000-0005-0000-0000-0000F20B0000}"/>
    <cellStyle name="Moneda 3 5 5" xfId="1829" xr:uid="{00000000-0005-0000-0000-0000F30B0000}"/>
    <cellStyle name="Moneda 3 5 5 2" xfId="1830" xr:uid="{00000000-0005-0000-0000-0000F40B0000}"/>
    <cellStyle name="Moneda 3 5 6" xfId="1831" xr:uid="{00000000-0005-0000-0000-0000F50B0000}"/>
    <cellStyle name="Moneda 3 5 6 2" xfId="1832" xr:uid="{00000000-0005-0000-0000-0000F60B0000}"/>
    <cellStyle name="Moneda 3 5 7" xfId="1833" xr:uid="{00000000-0005-0000-0000-0000F70B0000}"/>
    <cellStyle name="Moneda 3 5 8" xfId="1834" xr:uid="{00000000-0005-0000-0000-0000F80B0000}"/>
    <cellStyle name="Moneda 3 5 9" xfId="2994" xr:uid="{00000000-0005-0000-0000-0000F90B0000}"/>
    <cellStyle name="Moneda 3 5 9 2" xfId="3196" xr:uid="{00000000-0005-0000-0000-0000FA0B0000}"/>
    <cellStyle name="Moneda 3 5 9 2 2" xfId="3589" xr:uid="{00000000-0005-0000-0000-0000FB0B0000}"/>
    <cellStyle name="Moneda 3 5 9 2 2 2" xfId="5293" xr:uid="{DBF62793-8C79-457B-B4BA-81C1062598E5}"/>
    <cellStyle name="Moneda 3 5 9 2 2 3" xfId="6970" xr:uid="{3B7015E0-8C4E-4323-8236-74FE48895943}"/>
    <cellStyle name="Moneda 3 5 9 2 3" xfId="3984" xr:uid="{00000000-0005-0000-0000-0000FC0B0000}"/>
    <cellStyle name="Moneda 3 5 9 2 3 2" xfId="5682" xr:uid="{AD6E05C0-F423-41B9-81C4-8BAE45629047}"/>
    <cellStyle name="Moneda 3 5 9 2 3 3" xfId="7359" xr:uid="{0072CB8C-ECB0-46D8-801A-AA1D25859020}"/>
    <cellStyle name="Moneda 3 5 9 2 4" xfId="4491" xr:uid="{21C51A2A-1D0D-4DB7-8D5F-31B449600F82}"/>
    <cellStyle name="Moneda 3 5 9 2 4 2" xfId="6172" xr:uid="{3270D651-05FE-4FC4-AAA3-EA755A73B0E1}"/>
    <cellStyle name="Moneda 3 5 9 2 4 3" xfId="7849" xr:uid="{7F3C10D0-B33C-4DC9-A2FE-27426EF43279}"/>
    <cellStyle name="Moneda 3 5 9 2 5" xfId="4905" xr:uid="{39F02E59-F755-45CF-A205-87AE885434D8}"/>
    <cellStyle name="Moneda 3 5 9 2 6" xfId="6582" xr:uid="{E6597FE7-6A60-44D2-95EF-827A5DCF7E1C}"/>
    <cellStyle name="Moneda 3 5 9 3" xfId="3395" xr:uid="{00000000-0005-0000-0000-0000FD0B0000}"/>
    <cellStyle name="Moneda 3 5 9 3 2" xfId="5099" xr:uid="{D1D0FED5-3FC7-4F55-97C0-31A8CDF12125}"/>
    <cellStyle name="Moneda 3 5 9 3 3" xfId="6776" xr:uid="{2B92EE70-0B4A-4B77-9026-619181B19538}"/>
    <cellStyle name="Moneda 3 5 9 4" xfId="3790" xr:uid="{00000000-0005-0000-0000-0000FE0B0000}"/>
    <cellStyle name="Moneda 3 5 9 4 2" xfId="5488" xr:uid="{46838F22-BC5F-4A23-88FF-A99364EA28C2}"/>
    <cellStyle name="Moneda 3 5 9 4 3" xfId="7165" xr:uid="{CE65D070-4F43-4B3E-9D7F-EAA287F65827}"/>
    <cellStyle name="Moneda 3 5 9 5" xfId="4297" xr:uid="{29BD5CBE-18CC-447D-93F9-FE5EC15B7D39}"/>
    <cellStyle name="Moneda 3 5 9 5 2" xfId="5978" xr:uid="{3829CF3E-0AD7-4FA5-BA9D-9CD145F9CEA5}"/>
    <cellStyle name="Moneda 3 5 9 5 3" xfId="7655" xr:uid="{38FA6AAD-804F-4CE4-A9A9-A5CC923CB637}"/>
    <cellStyle name="Moneda 3 5 9 6" xfId="4711" xr:uid="{6946B500-A424-47C0-8712-2542ED97E240}"/>
    <cellStyle name="Moneda 3 5 9 7" xfId="6388" xr:uid="{F6F92907-0060-4A55-98F2-9D90ABD93512}"/>
    <cellStyle name="Moneda 3 6" xfId="1835" xr:uid="{00000000-0005-0000-0000-0000FF0B0000}"/>
    <cellStyle name="Moneda 3 6 2" xfId="1836" xr:uid="{00000000-0005-0000-0000-0000000C0000}"/>
    <cellStyle name="Moneda 3 6 2 2" xfId="1837" xr:uid="{00000000-0005-0000-0000-0000010C0000}"/>
    <cellStyle name="Moneda 3 6 2 2 2" xfId="1838" xr:uid="{00000000-0005-0000-0000-0000020C0000}"/>
    <cellStyle name="Moneda 3 6 2 2 2 2" xfId="2932" xr:uid="{00000000-0005-0000-0000-0000030C0000}"/>
    <cellStyle name="Moneda 3 6 2 2 3" xfId="2931" xr:uid="{00000000-0005-0000-0000-0000040C0000}"/>
    <cellStyle name="Moneda 3 6 2 3" xfId="1839" xr:uid="{00000000-0005-0000-0000-0000050C0000}"/>
    <cellStyle name="Moneda 3 6 2 3 2" xfId="2933" xr:uid="{00000000-0005-0000-0000-0000060C0000}"/>
    <cellStyle name="Moneda 3 6 2 4" xfId="2930" xr:uid="{00000000-0005-0000-0000-0000070C0000}"/>
    <cellStyle name="Moneda 3 6 3" xfId="1840" xr:uid="{00000000-0005-0000-0000-0000080C0000}"/>
    <cellStyle name="Moneda 3 6 3 2" xfId="2934" xr:uid="{00000000-0005-0000-0000-0000090C0000}"/>
    <cellStyle name="Moneda 3 6 4" xfId="2929" xr:uid="{00000000-0005-0000-0000-00000A0C0000}"/>
    <cellStyle name="Moneda 3 7" xfId="1841" xr:uid="{00000000-0005-0000-0000-00000B0C0000}"/>
    <cellStyle name="Moneda 3 7 2" xfId="1842" xr:uid="{00000000-0005-0000-0000-00000C0C0000}"/>
    <cellStyle name="Moneda 3 7 2 2" xfId="1843" xr:uid="{00000000-0005-0000-0000-00000D0C0000}"/>
    <cellStyle name="Moneda 3 7 2 2 2" xfId="2937" xr:uid="{00000000-0005-0000-0000-00000E0C0000}"/>
    <cellStyle name="Moneda 3 7 2 3" xfId="2936" xr:uid="{00000000-0005-0000-0000-00000F0C0000}"/>
    <cellStyle name="Moneda 3 7 3" xfId="1844" xr:uid="{00000000-0005-0000-0000-0000100C0000}"/>
    <cellStyle name="Moneda 3 7 3 2" xfId="2938" xr:uid="{00000000-0005-0000-0000-0000110C0000}"/>
    <cellStyle name="Moneda 3 7 4" xfId="2935" xr:uid="{00000000-0005-0000-0000-0000120C0000}"/>
    <cellStyle name="Moneda 3 8" xfId="1845" xr:uid="{00000000-0005-0000-0000-0000130C0000}"/>
    <cellStyle name="Moneda 3 8 2" xfId="1846" xr:uid="{00000000-0005-0000-0000-0000140C0000}"/>
    <cellStyle name="Moneda 3 8 2 2" xfId="1847" xr:uid="{00000000-0005-0000-0000-0000150C0000}"/>
    <cellStyle name="Moneda 3 8 2 2 2" xfId="1848" xr:uid="{00000000-0005-0000-0000-0000160C0000}"/>
    <cellStyle name="Moneda 3 8 2 3" xfId="1849" xr:uid="{00000000-0005-0000-0000-0000170C0000}"/>
    <cellStyle name="Moneda 3 8 2 3 2" xfId="1850" xr:uid="{00000000-0005-0000-0000-0000180C0000}"/>
    <cellStyle name="Moneda 3 8 2 4" xfId="1851" xr:uid="{00000000-0005-0000-0000-0000190C0000}"/>
    <cellStyle name="Moneda 3 8 2 4 2" xfId="1852" xr:uid="{00000000-0005-0000-0000-00001A0C0000}"/>
    <cellStyle name="Moneda 3 8 2 5" xfId="1853" xr:uid="{00000000-0005-0000-0000-00001B0C0000}"/>
    <cellStyle name="Moneda 3 8 3" xfId="1854" xr:uid="{00000000-0005-0000-0000-00001C0C0000}"/>
    <cellStyle name="Moneda 3 8 3 2" xfId="1855" xr:uid="{00000000-0005-0000-0000-00001D0C0000}"/>
    <cellStyle name="Moneda 3 8 4" xfId="1856" xr:uid="{00000000-0005-0000-0000-00001E0C0000}"/>
    <cellStyle name="Moneda 3 8 4 2" xfId="1857" xr:uid="{00000000-0005-0000-0000-00001F0C0000}"/>
    <cellStyle name="Moneda 3 8 5" xfId="1858" xr:uid="{00000000-0005-0000-0000-0000200C0000}"/>
    <cellStyle name="Moneda 3 8 5 2" xfId="1859" xr:uid="{00000000-0005-0000-0000-0000210C0000}"/>
    <cellStyle name="Moneda 3 8 6" xfId="1860" xr:uid="{00000000-0005-0000-0000-0000220C0000}"/>
    <cellStyle name="Moneda 3 9" xfId="1861" xr:uid="{00000000-0005-0000-0000-0000230C0000}"/>
    <cellStyle name="Moneda 3 9 2" xfId="1862" xr:uid="{00000000-0005-0000-0000-0000240C0000}"/>
    <cellStyle name="Moneda 3 9 2 2" xfId="2940" xr:uid="{00000000-0005-0000-0000-0000250C0000}"/>
    <cellStyle name="Moneda 3 9 3" xfId="2939" xr:uid="{00000000-0005-0000-0000-0000260C0000}"/>
    <cellStyle name="Moneda 30" xfId="1863" xr:uid="{00000000-0005-0000-0000-0000270C0000}"/>
    <cellStyle name="Moneda 30 2" xfId="1864" xr:uid="{00000000-0005-0000-0000-0000280C0000}"/>
    <cellStyle name="Moneda 30 2 2" xfId="1865" xr:uid="{00000000-0005-0000-0000-0000290C0000}"/>
    <cellStyle name="Moneda 30 3" xfId="1866" xr:uid="{00000000-0005-0000-0000-00002A0C0000}"/>
    <cellStyle name="Moneda 30 3 2" xfId="1867" xr:uid="{00000000-0005-0000-0000-00002B0C0000}"/>
    <cellStyle name="Moneda 30 4" xfId="1868" xr:uid="{00000000-0005-0000-0000-00002C0C0000}"/>
    <cellStyle name="Moneda 30 4 2" xfId="1869" xr:uid="{00000000-0005-0000-0000-00002D0C0000}"/>
    <cellStyle name="Moneda 30 5" xfId="1870" xr:uid="{00000000-0005-0000-0000-00002E0C0000}"/>
    <cellStyle name="Moneda 31" xfId="1871" xr:uid="{00000000-0005-0000-0000-00002F0C0000}"/>
    <cellStyle name="Moneda 31 2" xfId="1872" xr:uid="{00000000-0005-0000-0000-0000300C0000}"/>
    <cellStyle name="Moneda 32" xfId="1873" xr:uid="{00000000-0005-0000-0000-0000310C0000}"/>
    <cellStyle name="Moneda 32 2" xfId="1874" xr:uid="{00000000-0005-0000-0000-0000320C0000}"/>
    <cellStyle name="Moneda 33" xfId="1875" xr:uid="{00000000-0005-0000-0000-0000330C0000}"/>
    <cellStyle name="Moneda 33 2" xfId="1876" xr:uid="{00000000-0005-0000-0000-0000340C0000}"/>
    <cellStyle name="Moneda 34" xfId="1877" xr:uid="{00000000-0005-0000-0000-0000350C0000}"/>
    <cellStyle name="Moneda 34 2" xfId="1878" xr:uid="{00000000-0005-0000-0000-0000360C0000}"/>
    <cellStyle name="Moneda 35" xfId="1879" xr:uid="{00000000-0005-0000-0000-0000370C0000}"/>
    <cellStyle name="Moneda 35 2" xfId="1880" xr:uid="{00000000-0005-0000-0000-0000380C0000}"/>
    <cellStyle name="Moneda 36" xfId="1881" xr:uid="{00000000-0005-0000-0000-0000390C0000}"/>
    <cellStyle name="Moneda 36 2" xfId="1882" xr:uid="{00000000-0005-0000-0000-00003A0C0000}"/>
    <cellStyle name="Moneda 37" xfId="1883" xr:uid="{00000000-0005-0000-0000-00003B0C0000}"/>
    <cellStyle name="Moneda 37 2" xfId="1884" xr:uid="{00000000-0005-0000-0000-00003C0C0000}"/>
    <cellStyle name="Moneda 38" xfId="1885" xr:uid="{00000000-0005-0000-0000-00003D0C0000}"/>
    <cellStyle name="Moneda 38 2" xfId="1886" xr:uid="{00000000-0005-0000-0000-00003E0C0000}"/>
    <cellStyle name="Moneda 39" xfId="1887" xr:uid="{00000000-0005-0000-0000-00003F0C0000}"/>
    <cellStyle name="Moneda 39 2" xfId="1888" xr:uid="{00000000-0005-0000-0000-0000400C0000}"/>
    <cellStyle name="Moneda 4" xfId="15" xr:uid="{00000000-0005-0000-0000-0000410C0000}"/>
    <cellStyle name="Moneda 4 2" xfId="1889" xr:uid="{00000000-0005-0000-0000-0000420C0000}"/>
    <cellStyle name="Moneda 4 3" xfId="1890" xr:uid="{00000000-0005-0000-0000-0000430C0000}"/>
    <cellStyle name="Moneda 4 4" xfId="1891" xr:uid="{00000000-0005-0000-0000-0000440C0000}"/>
    <cellStyle name="Moneda 40" xfId="1892" xr:uid="{00000000-0005-0000-0000-0000450C0000}"/>
    <cellStyle name="Moneda 40 2" xfId="1893" xr:uid="{00000000-0005-0000-0000-0000460C0000}"/>
    <cellStyle name="Moneda 41" xfId="1894" xr:uid="{00000000-0005-0000-0000-0000470C0000}"/>
    <cellStyle name="Moneda 41 2" xfId="1895" xr:uid="{00000000-0005-0000-0000-0000480C0000}"/>
    <cellStyle name="Moneda 42" xfId="1896" xr:uid="{00000000-0005-0000-0000-0000490C0000}"/>
    <cellStyle name="Moneda 42 2" xfId="1897" xr:uid="{00000000-0005-0000-0000-00004A0C0000}"/>
    <cellStyle name="Moneda 43" xfId="1898" xr:uid="{00000000-0005-0000-0000-00004B0C0000}"/>
    <cellStyle name="Moneda 43 2" xfId="1899" xr:uid="{00000000-0005-0000-0000-00004C0C0000}"/>
    <cellStyle name="Moneda 44" xfId="1900" xr:uid="{00000000-0005-0000-0000-00004D0C0000}"/>
    <cellStyle name="Moneda 44 2" xfId="1901" xr:uid="{00000000-0005-0000-0000-00004E0C0000}"/>
    <cellStyle name="Moneda 45" xfId="1902" xr:uid="{00000000-0005-0000-0000-00004F0C0000}"/>
    <cellStyle name="Moneda 45 2" xfId="1903" xr:uid="{00000000-0005-0000-0000-0000500C0000}"/>
    <cellStyle name="Moneda 46" xfId="1904" xr:uid="{00000000-0005-0000-0000-0000510C0000}"/>
    <cellStyle name="Moneda 46 2" xfId="1905" xr:uid="{00000000-0005-0000-0000-0000520C0000}"/>
    <cellStyle name="Moneda 47" xfId="1906" xr:uid="{00000000-0005-0000-0000-0000530C0000}"/>
    <cellStyle name="Moneda 47 2" xfId="1907" xr:uid="{00000000-0005-0000-0000-0000540C0000}"/>
    <cellStyle name="Moneda 48" xfId="1908" xr:uid="{00000000-0005-0000-0000-0000550C0000}"/>
    <cellStyle name="Moneda 48 2" xfId="1909" xr:uid="{00000000-0005-0000-0000-0000560C0000}"/>
    <cellStyle name="Moneda 49" xfId="1910" xr:uid="{00000000-0005-0000-0000-0000570C0000}"/>
    <cellStyle name="Moneda 5" xfId="1911" xr:uid="{00000000-0005-0000-0000-0000580C0000}"/>
    <cellStyle name="Moneda 5 2" xfId="1912" xr:uid="{00000000-0005-0000-0000-0000590C0000}"/>
    <cellStyle name="Moneda 5 3" xfId="1913" xr:uid="{00000000-0005-0000-0000-00005A0C0000}"/>
    <cellStyle name="Moneda 5 4" xfId="1914" xr:uid="{00000000-0005-0000-0000-00005B0C0000}"/>
    <cellStyle name="Moneda 5 5" xfId="1915" xr:uid="{00000000-0005-0000-0000-00005C0C0000}"/>
    <cellStyle name="Moneda 50" xfId="1916" xr:uid="{00000000-0005-0000-0000-00005D0C0000}"/>
    <cellStyle name="Moneda 51" xfId="1917" xr:uid="{00000000-0005-0000-0000-00005E0C0000}"/>
    <cellStyle name="Moneda 52" xfId="1918" xr:uid="{00000000-0005-0000-0000-00005F0C0000}"/>
    <cellStyle name="Moneda 53" xfId="2870" xr:uid="{00000000-0005-0000-0000-0000600C0000}"/>
    <cellStyle name="Moneda 54" xfId="2942" xr:uid="{00000000-0005-0000-0000-0000610C0000}"/>
    <cellStyle name="Moneda 55" xfId="2946" xr:uid="{00000000-0005-0000-0000-0000620C0000}"/>
    <cellStyle name="Moneda 56" xfId="2999" xr:uid="{00000000-0005-0000-0000-0000630C0000}"/>
    <cellStyle name="Moneda 57" xfId="3049" xr:uid="{00000000-0005-0000-0000-0000640C0000}"/>
    <cellStyle name="Moneda 58" xfId="2996" xr:uid="{00000000-0005-0000-0000-0000650C0000}"/>
    <cellStyle name="Moneda 59" xfId="3053" xr:uid="{00000000-0005-0000-0000-0000660C0000}"/>
    <cellStyle name="Moneda 6" xfId="1919" xr:uid="{00000000-0005-0000-0000-0000670C0000}"/>
    <cellStyle name="Moneda 6 10" xfId="1920" xr:uid="{00000000-0005-0000-0000-0000680C0000}"/>
    <cellStyle name="Moneda 6 10 2" xfId="1921" xr:uid="{00000000-0005-0000-0000-0000690C0000}"/>
    <cellStyle name="Moneda 6 11" xfId="1922" xr:uid="{00000000-0005-0000-0000-00006A0C0000}"/>
    <cellStyle name="Moneda 6 11 2" xfId="1923" xr:uid="{00000000-0005-0000-0000-00006B0C0000}"/>
    <cellStyle name="Moneda 6 12" xfId="1924" xr:uid="{00000000-0005-0000-0000-00006C0C0000}"/>
    <cellStyle name="Moneda 6 2" xfId="1925" xr:uid="{00000000-0005-0000-0000-00006D0C0000}"/>
    <cellStyle name="Moneda 6 2 10" xfId="1926" xr:uid="{00000000-0005-0000-0000-00006E0C0000}"/>
    <cellStyle name="Moneda 6 2 11" xfId="1927" xr:uid="{00000000-0005-0000-0000-00006F0C0000}"/>
    <cellStyle name="Moneda 6 2 2" xfId="1928" xr:uid="{00000000-0005-0000-0000-0000700C0000}"/>
    <cellStyle name="Moneda 6 2 2 2" xfId="1929" xr:uid="{00000000-0005-0000-0000-0000710C0000}"/>
    <cellStyle name="Moneda 6 2 2 2 2" xfId="1930" xr:uid="{00000000-0005-0000-0000-0000720C0000}"/>
    <cellStyle name="Moneda 6 2 2 2 2 2" xfId="1931" xr:uid="{00000000-0005-0000-0000-0000730C0000}"/>
    <cellStyle name="Moneda 6 2 2 2 2 2 2" xfId="1932" xr:uid="{00000000-0005-0000-0000-0000740C0000}"/>
    <cellStyle name="Moneda 6 2 2 2 2 3" xfId="1933" xr:uid="{00000000-0005-0000-0000-0000750C0000}"/>
    <cellStyle name="Moneda 6 2 2 2 2 3 2" xfId="1934" xr:uid="{00000000-0005-0000-0000-0000760C0000}"/>
    <cellStyle name="Moneda 6 2 2 2 2 4" xfId="1935" xr:uid="{00000000-0005-0000-0000-0000770C0000}"/>
    <cellStyle name="Moneda 6 2 2 2 2 4 2" xfId="1936" xr:uid="{00000000-0005-0000-0000-0000780C0000}"/>
    <cellStyle name="Moneda 6 2 2 2 2 5" xfId="1937" xr:uid="{00000000-0005-0000-0000-0000790C0000}"/>
    <cellStyle name="Moneda 6 2 2 2 3" xfId="1938" xr:uid="{00000000-0005-0000-0000-00007A0C0000}"/>
    <cellStyle name="Moneda 6 2 2 2 3 2" xfId="1939" xr:uid="{00000000-0005-0000-0000-00007B0C0000}"/>
    <cellStyle name="Moneda 6 2 2 2 4" xfId="1940" xr:uid="{00000000-0005-0000-0000-00007C0C0000}"/>
    <cellStyle name="Moneda 6 2 2 2 4 2" xfId="1941" xr:uid="{00000000-0005-0000-0000-00007D0C0000}"/>
    <cellStyle name="Moneda 6 2 2 2 5" xfId="1942" xr:uid="{00000000-0005-0000-0000-00007E0C0000}"/>
    <cellStyle name="Moneda 6 2 2 2 5 2" xfId="1943" xr:uid="{00000000-0005-0000-0000-00007F0C0000}"/>
    <cellStyle name="Moneda 6 2 2 2 6" xfId="1944" xr:uid="{00000000-0005-0000-0000-0000800C0000}"/>
    <cellStyle name="Moneda 6 2 2 3" xfId="1945" xr:uid="{00000000-0005-0000-0000-0000810C0000}"/>
    <cellStyle name="Moneda 6 2 2 3 2" xfId="1946" xr:uid="{00000000-0005-0000-0000-0000820C0000}"/>
    <cellStyle name="Moneda 6 2 2 3 2 2" xfId="1947" xr:uid="{00000000-0005-0000-0000-0000830C0000}"/>
    <cellStyle name="Moneda 6 2 2 3 3" xfId="1948" xr:uid="{00000000-0005-0000-0000-0000840C0000}"/>
    <cellStyle name="Moneda 6 2 2 3 3 2" xfId="1949" xr:uid="{00000000-0005-0000-0000-0000850C0000}"/>
    <cellStyle name="Moneda 6 2 2 3 4" xfId="1950" xr:uid="{00000000-0005-0000-0000-0000860C0000}"/>
    <cellStyle name="Moneda 6 2 2 3 4 2" xfId="1951" xr:uid="{00000000-0005-0000-0000-0000870C0000}"/>
    <cellStyle name="Moneda 6 2 2 3 5" xfId="1952" xr:uid="{00000000-0005-0000-0000-0000880C0000}"/>
    <cellStyle name="Moneda 6 2 2 4" xfId="1953" xr:uid="{00000000-0005-0000-0000-0000890C0000}"/>
    <cellStyle name="Moneda 6 2 2 4 2" xfId="1954" xr:uid="{00000000-0005-0000-0000-00008A0C0000}"/>
    <cellStyle name="Moneda 6 2 2 5" xfId="1955" xr:uid="{00000000-0005-0000-0000-00008B0C0000}"/>
    <cellStyle name="Moneda 6 2 2 5 2" xfId="1956" xr:uid="{00000000-0005-0000-0000-00008C0C0000}"/>
    <cellStyle name="Moneda 6 2 2 6" xfId="1957" xr:uid="{00000000-0005-0000-0000-00008D0C0000}"/>
    <cellStyle name="Moneda 6 2 2 6 2" xfId="1958" xr:uid="{00000000-0005-0000-0000-00008E0C0000}"/>
    <cellStyle name="Moneda 6 2 2 7" xfId="1959" xr:uid="{00000000-0005-0000-0000-00008F0C0000}"/>
    <cellStyle name="Moneda 6 2 3" xfId="1960" xr:uid="{00000000-0005-0000-0000-0000900C0000}"/>
    <cellStyle name="Moneda 6 2 3 2" xfId="1961" xr:uid="{00000000-0005-0000-0000-0000910C0000}"/>
    <cellStyle name="Moneda 6 2 3 2 2" xfId="1962" xr:uid="{00000000-0005-0000-0000-0000920C0000}"/>
    <cellStyle name="Moneda 6 2 3 2 2 2" xfId="1963" xr:uid="{00000000-0005-0000-0000-0000930C0000}"/>
    <cellStyle name="Moneda 6 2 3 2 2 2 2" xfId="1964" xr:uid="{00000000-0005-0000-0000-0000940C0000}"/>
    <cellStyle name="Moneda 6 2 3 2 2 3" xfId="1965" xr:uid="{00000000-0005-0000-0000-0000950C0000}"/>
    <cellStyle name="Moneda 6 2 3 2 2 3 2" xfId="1966" xr:uid="{00000000-0005-0000-0000-0000960C0000}"/>
    <cellStyle name="Moneda 6 2 3 2 2 4" xfId="1967" xr:uid="{00000000-0005-0000-0000-0000970C0000}"/>
    <cellStyle name="Moneda 6 2 3 2 2 4 2" xfId="1968" xr:uid="{00000000-0005-0000-0000-0000980C0000}"/>
    <cellStyle name="Moneda 6 2 3 2 2 5" xfId="1969" xr:uid="{00000000-0005-0000-0000-0000990C0000}"/>
    <cellStyle name="Moneda 6 2 3 2 3" xfId="1970" xr:uid="{00000000-0005-0000-0000-00009A0C0000}"/>
    <cellStyle name="Moneda 6 2 3 2 3 2" xfId="1971" xr:uid="{00000000-0005-0000-0000-00009B0C0000}"/>
    <cellStyle name="Moneda 6 2 3 2 4" xfId="1972" xr:uid="{00000000-0005-0000-0000-00009C0C0000}"/>
    <cellStyle name="Moneda 6 2 3 2 4 2" xfId="1973" xr:uid="{00000000-0005-0000-0000-00009D0C0000}"/>
    <cellStyle name="Moneda 6 2 3 2 5" xfId="1974" xr:uid="{00000000-0005-0000-0000-00009E0C0000}"/>
    <cellStyle name="Moneda 6 2 3 2 5 2" xfId="1975" xr:uid="{00000000-0005-0000-0000-00009F0C0000}"/>
    <cellStyle name="Moneda 6 2 3 2 6" xfId="1976" xr:uid="{00000000-0005-0000-0000-0000A00C0000}"/>
    <cellStyle name="Moneda 6 2 3 3" xfId="1977" xr:uid="{00000000-0005-0000-0000-0000A10C0000}"/>
    <cellStyle name="Moneda 6 2 3 3 2" xfId="1978" xr:uid="{00000000-0005-0000-0000-0000A20C0000}"/>
    <cellStyle name="Moneda 6 2 3 3 2 2" xfId="1979" xr:uid="{00000000-0005-0000-0000-0000A30C0000}"/>
    <cellStyle name="Moneda 6 2 3 3 3" xfId="1980" xr:uid="{00000000-0005-0000-0000-0000A40C0000}"/>
    <cellStyle name="Moneda 6 2 3 3 3 2" xfId="1981" xr:uid="{00000000-0005-0000-0000-0000A50C0000}"/>
    <cellStyle name="Moneda 6 2 3 3 4" xfId="1982" xr:uid="{00000000-0005-0000-0000-0000A60C0000}"/>
    <cellStyle name="Moneda 6 2 3 3 4 2" xfId="1983" xr:uid="{00000000-0005-0000-0000-0000A70C0000}"/>
    <cellStyle name="Moneda 6 2 3 3 5" xfId="1984" xr:uid="{00000000-0005-0000-0000-0000A80C0000}"/>
    <cellStyle name="Moneda 6 2 3 4" xfId="1985" xr:uid="{00000000-0005-0000-0000-0000A90C0000}"/>
    <cellStyle name="Moneda 6 2 3 4 2" xfId="1986" xr:uid="{00000000-0005-0000-0000-0000AA0C0000}"/>
    <cellStyle name="Moneda 6 2 3 5" xfId="1987" xr:uid="{00000000-0005-0000-0000-0000AB0C0000}"/>
    <cellStyle name="Moneda 6 2 3 5 2" xfId="1988" xr:uid="{00000000-0005-0000-0000-0000AC0C0000}"/>
    <cellStyle name="Moneda 6 2 3 6" xfId="1989" xr:uid="{00000000-0005-0000-0000-0000AD0C0000}"/>
    <cellStyle name="Moneda 6 2 3 6 2" xfId="1990" xr:uid="{00000000-0005-0000-0000-0000AE0C0000}"/>
    <cellStyle name="Moneda 6 2 3 7" xfId="1991" xr:uid="{00000000-0005-0000-0000-0000AF0C0000}"/>
    <cellStyle name="Moneda 6 2 4" xfId="1992" xr:uid="{00000000-0005-0000-0000-0000B00C0000}"/>
    <cellStyle name="Moneda 6 2 4 2" xfId="1993" xr:uid="{00000000-0005-0000-0000-0000B10C0000}"/>
    <cellStyle name="Moneda 6 2 4 2 2" xfId="1994" xr:uid="{00000000-0005-0000-0000-0000B20C0000}"/>
    <cellStyle name="Moneda 6 2 4 2 2 2" xfId="1995" xr:uid="{00000000-0005-0000-0000-0000B30C0000}"/>
    <cellStyle name="Moneda 6 2 4 2 2 2 2" xfId="1996" xr:uid="{00000000-0005-0000-0000-0000B40C0000}"/>
    <cellStyle name="Moneda 6 2 4 2 2 3" xfId="1997" xr:uid="{00000000-0005-0000-0000-0000B50C0000}"/>
    <cellStyle name="Moneda 6 2 4 2 2 3 2" xfId="1998" xr:uid="{00000000-0005-0000-0000-0000B60C0000}"/>
    <cellStyle name="Moneda 6 2 4 2 2 4" xfId="1999" xr:uid="{00000000-0005-0000-0000-0000B70C0000}"/>
    <cellStyle name="Moneda 6 2 4 2 2 4 2" xfId="2000" xr:uid="{00000000-0005-0000-0000-0000B80C0000}"/>
    <cellStyle name="Moneda 6 2 4 2 2 5" xfId="2001" xr:uid="{00000000-0005-0000-0000-0000B90C0000}"/>
    <cellStyle name="Moneda 6 2 4 2 3" xfId="2002" xr:uid="{00000000-0005-0000-0000-0000BA0C0000}"/>
    <cellStyle name="Moneda 6 2 4 2 3 2" xfId="2003" xr:uid="{00000000-0005-0000-0000-0000BB0C0000}"/>
    <cellStyle name="Moneda 6 2 4 2 4" xfId="2004" xr:uid="{00000000-0005-0000-0000-0000BC0C0000}"/>
    <cellStyle name="Moneda 6 2 4 2 4 2" xfId="2005" xr:uid="{00000000-0005-0000-0000-0000BD0C0000}"/>
    <cellStyle name="Moneda 6 2 4 2 5" xfId="2006" xr:uid="{00000000-0005-0000-0000-0000BE0C0000}"/>
    <cellStyle name="Moneda 6 2 4 2 5 2" xfId="2007" xr:uid="{00000000-0005-0000-0000-0000BF0C0000}"/>
    <cellStyle name="Moneda 6 2 4 2 6" xfId="2008" xr:uid="{00000000-0005-0000-0000-0000C00C0000}"/>
    <cellStyle name="Moneda 6 2 4 3" xfId="2009" xr:uid="{00000000-0005-0000-0000-0000C10C0000}"/>
    <cellStyle name="Moneda 6 2 4 3 2" xfId="2010" xr:uid="{00000000-0005-0000-0000-0000C20C0000}"/>
    <cellStyle name="Moneda 6 2 4 3 2 2" xfId="2011" xr:uid="{00000000-0005-0000-0000-0000C30C0000}"/>
    <cellStyle name="Moneda 6 2 4 3 3" xfId="2012" xr:uid="{00000000-0005-0000-0000-0000C40C0000}"/>
    <cellStyle name="Moneda 6 2 4 3 3 2" xfId="2013" xr:uid="{00000000-0005-0000-0000-0000C50C0000}"/>
    <cellStyle name="Moneda 6 2 4 3 4" xfId="2014" xr:uid="{00000000-0005-0000-0000-0000C60C0000}"/>
    <cellStyle name="Moneda 6 2 4 3 4 2" xfId="2015" xr:uid="{00000000-0005-0000-0000-0000C70C0000}"/>
    <cellStyle name="Moneda 6 2 4 3 5" xfId="2016" xr:uid="{00000000-0005-0000-0000-0000C80C0000}"/>
    <cellStyle name="Moneda 6 2 4 4" xfId="2017" xr:uid="{00000000-0005-0000-0000-0000C90C0000}"/>
    <cellStyle name="Moneda 6 2 4 4 2" xfId="2018" xr:uid="{00000000-0005-0000-0000-0000CA0C0000}"/>
    <cellStyle name="Moneda 6 2 4 5" xfId="2019" xr:uid="{00000000-0005-0000-0000-0000CB0C0000}"/>
    <cellStyle name="Moneda 6 2 4 5 2" xfId="2020" xr:uid="{00000000-0005-0000-0000-0000CC0C0000}"/>
    <cellStyle name="Moneda 6 2 4 6" xfId="2021" xr:uid="{00000000-0005-0000-0000-0000CD0C0000}"/>
    <cellStyle name="Moneda 6 2 4 6 2" xfId="2022" xr:uid="{00000000-0005-0000-0000-0000CE0C0000}"/>
    <cellStyle name="Moneda 6 2 4 7" xfId="2023" xr:uid="{00000000-0005-0000-0000-0000CF0C0000}"/>
    <cellStyle name="Moneda 6 2 5" xfId="2024" xr:uid="{00000000-0005-0000-0000-0000D00C0000}"/>
    <cellStyle name="Moneda 6 2 5 2" xfId="2025" xr:uid="{00000000-0005-0000-0000-0000D10C0000}"/>
    <cellStyle name="Moneda 6 2 5 2 2" xfId="2026" xr:uid="{00000000-0005-0000-0000-0000D20C0000}"/>
    <cellStyle name="Moneda 6 2 5 2 2 2" xfId="2027" xr:uid="{00000000-0005-0000-0000-0000D30C0000}"/>
    <cellStyle name="Moneda 6 2 5 2 3" xfId="2028" xr:uid="{00000000-0005-0000-0000-0000D40C0000}"/>
    <cellStyle name="Moneda 6 2 5 2 3 2" xfId="2029" xr:uid="{00000000-0005-0000-0000-0000D50C0000}"/>
    <cellStyle name="Moneda 6 2 5 2 4" xfId="2030" xr:uid="{00000000-0005-0000-0000-0000D60C0000}"/>
    <cellStyle name="Moneda 6 2 5 2 4 2" xfId="2031" xr:uid="{00000000-0005-0000-0000-0000D70C0000}"/>
    <cellStyle name="Moneda 6 2 5 2 5" xfId="2032" xr:uid="{00000000-0005-0000-0000-0000D80C0000}"/>
    <cellStyle name="Moneda 6 2 5 3" xfId="2033" xr:uid="{00000000-0005-0000-0000-0000D90C0000}"/>
    <cellStyle name="Moneda 6 2 5 3 2" xfId="2034" xr:uid="{00000000-0005-0000-0000-0000DA0C0000}"/>
    <cellStyle name="Moneda 6 2 5 4" xfId="2035" xr:uid="{00000000-0005-0000-0000-0000DB0C0000}"/>
    <cellStyle name="Moneda 6 2 5 4 2" xfId="2036" xr:uid="{00000000-0005-0000-0000-0000DC0C0000}"/>
    <cellStyle name="Moneda 6 2 5 5" xfId="2037" xr:uid="{00000000-0005-0000-0000-0000DD0C0000}"/>
    <cellStyle name="Moneda 6 2 5 5 2" xfId="2038" xr:uid="{00000000-0005-0000-0000-0000DE0C0000}"/>
    <cellStyle name="Moneda 6 2 5 6" xfId="2039" xr:uid="{00000000-0005-0000-0000-0000DF0C0000}"/>
    <cellStyle name="Moneda 6 2 6" xfId="2040" xr:uid="{00000000-0005-0000-0000-0000E00C0000}"/>
    <cellStyle name="Moneda 6 2 6 2" xfId="2041" xr:uid="{00000000-0005-0000-0000-0000E10C0000}"/>
    <cellStyle name="Moneda 6 2 6 2 2" xfId="2042" xr:uid="{00000000-0005-0000-0000-0000E20C0000}"/>
    <cellStyle name="Moneda 6 2 6 3" xfId="2043" xr:uid="{00000000-0005-0000-0000-0000E30C0000}"/>
    <cellStyle name="Moneda 6 2 6 3 2" xfId="2044" xr:uid="{00000000-0005-0000-0000-0000E40C0000}"/>
    <cellStyle name="Moneda 6 2 6 4" xfId="2045" xr:uid="{00000000-0005-0000-0000-0000E50C0000}"/>
    <cellStyle name="Moneda 6 2 6 4 2" xfId="2046" xr:uid="{00000000-0005-0000-0000-0000E60C0000}"/>
    <cellStyle name="Moneda 6 2 6 5" xfId="2047" xr:uid="{00000000-0005-0000-0000-0000E70C0000}"/>
    <cellStyle name="Moneda 6 2 7" xfId="2048" xr:uid="{00000000-0005-0000-0000-0000E80C0000}"/>
    <cellStyle name="Moneda 6 2 7 2" xfId="2049" xr:uid="{00000000-0005-0000-0000-0000E90C0000}"/>
    <cellStyle name="Moneda 6 2 8" xfId="2050" xr:uid="{00000000-0005-0000-0000-0000EA0C0000}"/>
    <cellStyle name="Moneda 6 2 8 2" xfId="2051" xr:uid="{00000000-0005-0000-0000-0000EB0C0000}"/>
    <cellStyle name="Moneda 6 2 9" xfId="2052" xr:uid="{00000000-0005-0000-0000-0000EC0C0000}"/>
    <cellStyle name="Moneda 6 2 9 2" xfId="2053" xr:uid="{00000000-0005-0000-0000-0000ED0C0000}"/>
    <cellStyle name="Moneda 6 3" xfId="2054" xr:uid="{00000000-0005-0000-0000-0000EE0C0000}"/>
    <cellStyle name="Moneda 6 3 2" xfId="2055" xr:uid="{00000000-0005-0000-0000-0000EF0C0000}"/>
    <cellStyle name="Moneda 6 3 2 2" xfId="2056" xr:uid="{00000000-0005-0000-0000-0000F00C0000}"/>
    <cellStyle name="Moneda 6 3 2 2 2" xfId="2057" xr:uid="{00000000-0005-0000-0000-0000F10C0000}"/>
    <cellStyle name="Moneda 6 3 2 2 2 2" xfId="2058" xr:uid="{00000000-0005-0000-0000-0000F20C0000}"/>
    <cellStyle name="Moneda 6 3 2 2 3" xfId="2059" xr:uid="{00000000-0005-0000-0000-0000F30C0000}"/>
    <cellStyle name="Moneda 6 3 2 2 3 2" xfId="2060" xr:uid="{00000000-0005-0000-0000-0000F40C0000}"/>
    <cellStyle name="Moneda 6 3 2 2 4" xfId="2061" xr:uid="{00000000-0005-0000-0000-0000F50C0000}"/>
    <cellStyle name="Moneda 6 3 2 2 4 2" xfId="2062" xr:uid="{00000000-0005-0000-0000-0000F60C0000}"/>
    <cellStyle name="Moneda 6 3 2 2 5" xfId="2063" xr:uid="{00000000-0005-0000-0000-0000F70C0000}"/>
    <cellStyle name="Moneda 6 3 2 3" xfId="2064" xr:uid="{00000000-0005-0000-0000-0000F80C0000}"/>
    <cellStyle name="Moneda 6 3 2 3 2" xfId="2065" xr:uid="{00000000-0005-0000-0000-0000F90C0000}"/>
    <cellStyle name="Moneda 6 3 2 4" xfId="2066" xr:uid="{00000000-0005-0000-0000-0000FA0C0000}"/>
    <cellStyle name="Moneda 6 3 2 4 2" xfId="2067" xr:uid="{00000000-0005-0000-0000-0000FB0C0000}"/>
    <cellStyle name="Moneda 6 3 2 5" xfId="2068" xr:uid="{00000000-0005-0000-0000-0000FC0C0000}"/>
    <cellStyle name="Moneda 6 3 2 5 2" xfId="2069" xr:uid="{00000000-0005-0000-0000-0000FD0C0000}"/>
    <cellStyle name="Moneda 6 3 2 6" xfId="2070" xr:uid="{00000000-0005-0000-0000-0000FE0C0000}"/>
    <cellStyle name="Moneda 6 3 3" xfId="2071" xr:uid="{00000000-0005-0000-0000-0000FF0C0000}"/>
    <cellStyle name="Moneda 6 3 3 2" xfId="2072" xr:uid="{00000000-0005-0000-0000-0000000D0000}"/>
    <cellStyle name="Moneda 6 3 3 2 2" xfId="2073" xr:uid="{00000000-0005-0000-0000-0000010D0000}"/>
    <cellStyle name="Moneda 6 3 3 3" xfId="2074" xr:uid="{00000000-0005-0000-0000-0000020D0000}"/>
    <cellStyle name="Moneda 6 3 3 3 2" xfId="2075" xr:uid="{00000000-0005-0000-0000-0000030D0000}"/>
    <cellStyle name="Moneda 6 3 3 4" xfId="2076" xr:uid="{00000000-0005-0000-0000-0000040D0000}"/>
    <cellStyle name="Moneda 6 3 3 4 2" xfId="2077" xr:uid="{00000000-0005-0000-0000-0000050D0000}"/>
    <cellStyle name="Moneda 6 3 3 5" xfId="2078" xr:uid="{00000000-0005-0000-0000-0000060D0000}"/>
    <cellStyle name="Moneda 6 3 4" xfId="2079" xr:uid="{00000000-0005-0000-0000-0000070D0000}"/>
    <cellStyle name="Moneda 6 3 4 2" xfId="2080" xr:uid="{00000000-0005-0000-0000-0000080D0000}"/>
    <cellStyle name="Moneda 6 3 5" xfId="2081" xr:uid="{00000000-0005-0000-0000-0000090D0000}"/>
    <cellStyle name="Moneda 6 3 5 2" xfId="2082" xr:uid="{00000000-0005-0000-0000-00000A0D0000}"/>
    <cellStyle name="Moneda 6 3 6" xfId="2083" xr:uid="{00000000-0005-0000-0000-00000B0D0000}"/>
    <cellStyle name="Moneda 6 3 6 2" xfId="2084" xr:uid="{00000000-0005-0000-0000-00000C0D0000}"/>
    <cellStyle name="Moneda 6 3 7" xfId="2085" xr:uid="{00000000-0005-0000-0000-00000D0D0000}"/>
    <cellStyle name="Moneda 6 4" xfId="2086" xr:uid="{00000000-0005-0000-0000-00000E0D0000}"/>
    <cellStyle name="Moneda 6 4 2" xfId="2087" xr:uid="{00000000-0005-0000-0000-00000F0D0000}"/>
    <cellStyle name="Moneda 6 4 2 2" xfId="2088" xr:uid="{00000000-0005-0000-0000-0000100D0000}"/>
    <cellStyle name="Moneda 6 4 2 2 2" xfId="2089" xr:uid="{00000000-0005-0000-0000-0000110D0000}"/>
    <cellStyle name="Moneda 6 4 2 2 2 2" xfId="2090" xr:uid="{00000000-0005-0000-0000-0000120D0000}"/>
    <cellStyle name="Moneda 6 4 2 2 3" xfId="2091" xr:uid="{00000000-0005-0000-0000-0000130D0000}"/>
    <cellStyle name="Moneda 6 4 2 2 3 2" xfId="2092" xr:uid="{00000000-0005-0000-0000-0000140D0000}"/>
    <cellStyle name="Moneda 6 4 2 2 4" xfId="2093" xr:uid="{00000000-0005-0000-0000-0000150D0000}"/>
    <cellStyle name="Moneda 6 4 2 2 4 2" xfId="2094" xr:uid="{00000000-0005-0000-0000-0000160D0000}"/>
    <cellStyle name="Moneda 6 4 2 2 5" xfId="2095" xr:uid="{00000000-0005-0000-0000-0000170D0000}"/>
    <cellStyle name="Moneda 6 4 2 3" xfId="2096" xr:uid="{00000000-0005-0000-0000-0000180D0000}"/>
    <cellStyle name="Moneda 6 4 2 3 2" xfId="2097" xr:uid="{00000000-0005-0000-0000-0000190D0000}"/>
    <cellStyle name="Moneda 6 4 2 4" xfId="2098" xr:uid="{00000000-0005-0000-0000-00001A0D0000}"/>
    <cellStyle name="Moneda 6 4 2 4 2" xfId="2099" xr:uid="{00000000-0005-0000-0000-00001B0D0000}"/>
    <cellStyle name="Moneda 6 4 2 5" xfId="2100" xr:uid="{00000000-0005-0000-0000-00001C0D0000}"/>
    <cellStyle name="Moneda 6 4 2 5 2" xfId="2101" xr:uid="{00000000-0005-0000-0000-00001D0D0000}"/>
    <cellStyle name="Moneda 6 4 2 6" xfId="2102" xr:uid="{00000000-0005-0000-0000-00001E0D0000}"/>
    <cellStyle name="Moneda 6 4 3" xfId="2103" xr:uid="{00000000-0005-0000-0000-00001F0D0000}"/>
    <cellStyle name="Moneda 6 4 3 2" xfId="2104" xr:uid="{00000000-0005-0000-0000-0000200D0000}"/>
    <cellStyle name="Moneda 6 4 3 2 2" xfId="2105" xr:uid="{00000000-0005-0000-0000-0000210D0000}"/>
    <cellStyle name="Moneda 6 4 3 3" xfId="2106" xr:uid="{00000000-0005-0000-0000-0000220D0000}"/>
    <cellStyle name="Moneda 6 4 3 3 2" xfId="2107" xr:uid="{00000000-0005-0000-0000-0000230D0000}"/>
    <cellStyle name="Moneda 6 4 3 4" xfId="2108" xr:uid="{00000000-0005-0000-0000-0000240D0000}"/>
    <cellStyle name="Moneda 6 4 3 4 2" xfId="2109" xr:uid="{00000000-0005-0000-0000-0000250D0000}"/>
    <cellStyle name="Moneda 6 4 3 5" xfId="2110" xr:uid="{00000000-0005-0000-0000-0000260D0000}"/>
    <cellStyle name="Moneda 6 4 4" xfId="2111" xr:uid="{00000000-0005-0000-0000-0000270D0000}"/>
    <cellStyle name="Moneda 6 4 4 2" xfId="2112" xr:uid="{00000000-0005-0000-0000-0000280D0000}"/>
    <cellStyle name="Moneda 6 4 5" xfId="2113" xr:uid="{00000000-0005-0000-0000-0000290D0000}"/>
    <cellStyle name="Moneda 6 4 5 2" xfId="2114" xr:uid="{00000000-0005-0000-0000-00002A0D0000}"/>
    <cellStyle name="Moneda 6 4 6" xfId="2115" xr:uid="{00000000-0005-0000-0000-00002B0D0000}"/>
    <cellStyle name="Moneda 6 4 6 2" xfId="2116" xr:uid="{00000000-0005-0000-0000-00002C0D0000}"/>
    <cellStyle name="Moneda 6 4 7" xfId="2117" xr:uid="{00000000-0005-0000-0000-00002D0D0000}"/>
    <cellStyle name="Moneda 6 5" xfId="2118" xr:uid="{00000000-0005-0000-0000-00002E0D0000}"/>
    <cellStyle name="Moneda 6 5 2" xfId="2119" xr:uid="{00000000-0005-0000-0000-00002F0D0000}"/>
    <cellStyle name="Moneda 6 5 2 2" xfId="2120" xr:uid="{00000000-0005-0000-0000-0000300D0000}"/>
    <cellStyle name="Moneda 6 5 2 2 2" xfId="2121" xr:uid="{00000000-0005-0000-0000-0000310D0000}"/>
    <cellStyle name="Moneda 6 5 2 2 2 2" xfId="2122" xr:uid="{00000000-0005-0000-0000-0000320D0000}"/>
    <cellStyle name="Moneda 6 5 2 2 3" xfId="2123" xr:uid="{00000000-0005-0000-0000-0000330D0000}"/>
    <cellStyle name="Moneda 6 5 2 2 3 2" xfId="2124" xr:uid="{00000000-0005-0000-0000-0000340D0000}"/>
    <cellStyle name="Moneda 6 5 2 2 4" xfId="2125" xr:uid="{00000000-0005-0000-0000-0000350D0000}"/>
    <cellStyle name="Moneda 6 5 2 2 4 2" xfId="2126" xr:uid="{00000000-0005-0000-0000-0000360D0000}"/>
    <cellStyle name="Moneda 6 5 2 2 5" xfId="2127" xr:uid="{00000000-0005-0000-0000-0000370D0000}"/>
    <cellStyle name="Moneda 6 5 2 3" xfId="2128" xr:uid="{00000000-0005-0000-0000-0000380D0000}"/>
    <cellStyle name="Moneda 6 5 2 3 2" xfId="2129" xr:uid="{00000000-0005-0000-0000-0000390D0000}"/>
    <cellStyle name="Moneda 6 5 2 4" xfId="2130" xr:uid="{00000000-0005-0000-0000-00003A0D0000}"/>
    <cellStyle name="Moneda 6 5 2 4 2" xfId="2131" xr:uid="{00000000-0005-0000-0000-00003B0D0000}"/>
    <cellStyle name="Moneda 6 5 2 5" xfId="2132" xr:uid="{00000000-0005-0000-0000-00003C0D0000}"/>
    <cellStyle name="Moneda 6 5 2 5 2" xfId="2133" xr:uid="{00000000-0005-0000-0000-00003D0D0000}"/>
    <cellStyle name="Moneda 6 5 2 6" xfId="2134" xr:uid="{00000000-0005-0000-0000-00003E0D0000}"/>
    <cellStyle name="Moneda 6 5 3" xfId="2135" xr:uid="{00000000-0005-0000-0000-00003F0D0000}"/>
    <cellStyle name="Moneda 6 5 3 2" xfId="2136" xr:uid="{00000000-0005-0000-0000-0000400D0000}"/>
    <cellStyle name="Moneda 6 5 3 2 2" xfId="2137" xr:uid="{00000000-0005-0000-0000-0000410D0000}"/>
    <cellStyle name="Moneda 6 5 3 3" xfId="2138" xr:uid="{00000000-0005-0000-0000-0000420D0000}"/>
    <cellStyle name="Moneda 6 5 3 3 2" xfId="2139" xr:uid="{00000000-0005-0000-0000-0000430D0000}"/>
    <cellStyle name="Moneda 6 5 3 4" xfId="2140" xr:uid="{00000000-0005-0000-0000-0000440D0000}"/>
    <cellStyle name="Moneda 6 5 3 4 2" xfId="2141" xr:uid="{00000000-0005-0000-0000-0000450D0000}"/>
    <cellStyle name="Moneda 6 5 3 5" xfId="2142" xr:uid="{00000000-0005-0000-0000-0000460D0000}"/>
    <cellStyle name="Moneda 6 5 4" xfId="2143" xr:uid="{00000000-0005-0000-0000-0000470D0000}"/>
    <cellStyle name="Moneda 6 5 4 2" xfId="2144" xr:uid="{00000000-0005-0000-0000-0000480D0000}"/>
    <cellStyle name="Moneda 6 5 5" xfId="2145" xr:uid="{00000000-0005-0000-0000-0000490D0000}"/>
    <cellStyle name="Moneda 6 5 5 2" xfId="2146" xr:uid="{00000000-0005-0000-0000-00004A0D0000}"/>
    <cellStyle name="Moneda 6 5 6" xfId="2147" xr:uid="{00000000-0005-0000-0000-00004B0D0000}"/>
    <cellStyle name="Moneda 6 5 6 2" xfId="2148" xr:uid="{00000000-0005-0000-0000-00004C0D0000}"/>
    <cellStyle name="Moneda 6 5 7" xfId="2149" xr:uid="{00000000-0005-0000-0000-00004D0D0000}"/>
    <cellStyle name="Moneda 6 6" xfId="2150" xr:uid="{00000000-0005-0000-0000-00004E0D0000}"/>
    <cellStyle name="Moneda 6 6 2" xfId="2151" xr:uid="{00000000-0005-0000-0000-00004F0D0000}"/>
    <cellStyle name="Moneda 6 6 2 2" xfId="2152" xr:uid="{00000000-0005-0000-0000-0000500D0000}"/>
    <cellStyle name="Moneda 6 6 2 2 2" xfId="2153" xr:uid="{00000000-0005-0000-0000-0000510D0000}"/>
    <cellStyle name="Moneda 6 6 2 3" xfId="2154" xr:uid="{00000000-0005-0000-0000-0000520D0000}"/>
    <cellStyle name="Moneda 6 6 2 3 2" xfId="2155" xr:uid="{00000000-0005-0000-0000-0000530D0000}"/>
    <cellStyle name="Moneda 6 6 2 4" xfId="2156" xr:uid="{00000000-0005-0000-0000-0000540D0000}"/>
    <cellStyle name="Moneda 6 6 2 4 2" xfId="2157" xr:uid="{00000000-0005-0000-0000-0000550D0000}"/>
    <cellStyle name="Moneda 6 6 2 5" xfId="2158" xr:uid="{00000000-0005-0000-0000-0000560D0000}"/>
    <cellStyle name="Moneda 6 6 3" xfId="2159" xr:uid="{00000000-0005-0000-0000-0000570D0000}"/>
    <cellStyle name="Moneda 6 6 3 2" xfId="2160" xr:uid="{00000000-0005-0000-0000-0000580D0000}"/>
    <cellStyle name="Moneda 6 6 4" xfId="2161" xr:uid="{00000000-0005-0000-0000-0000590D0000}"/>
    <cellStyle name="Moneda 6 6 4 2" xfId="2162" xr:uid="{00000000-0005-0000-0000-00005A0D0000}"/>
    <cellStyle name="Moneda 6 6 5" xfId="2163" xr:uid="{00000000-0005-0000-0000-00005B0D0000}"/>
    <cellStyle name="Moneda 6 6 5 2" xfId="2164" xr:uid="{00000000-0005-0000-0000-00005C0D0000}"/>
    <cellStyle name="Moneda 6 6 6" xfId="2165" xr:uid="{00000000-0005-0000-0000-00005D0D0000}"/>
    <cellStyle name="Moneda 6 7" xfId="2166" xr:uid="{00000000-0005-0000-0000-00005E0D0000}"/>
    <cellStyle name="Moneda 6 7 2" xfId="2167" xr:uid="{00000000-0005-0000-0000-00005F0D0000}"/>
    <cellStyle name="Moneda 6 7 2 2" xfId="2168" xr:uid="{00000000-0005-0000-0000-0000600D0000}"/>
    <cellStyle name="Moneda 6 7 3" xfId="2169" xr:uid="{00000000-0005-0000-0000-0000610D0000}"/>
    <cellStyle name="Moneda 6 7 3 2" xfId="2170" xr:uid="{00000000-0005-0000-0000-0000620D0000}"/>
    <cellStyle name="Moneda 6 7 4" xfId="2171" xr:uid="{00000000-0005-0000-0000-0000630D0000}"/>
    <cellStyle name="Moneda 6 7 4 2" xfId="2172" xr:uid="{00000000-0005-0000-0000-0000640D0000}"/>
    <cellStyle name="Moneda 6 7 5" xfId="2173" xr:uid="{00000000-0005-0000-0000-0000650D0000}"/>
    <cellStyle name="Moneda 6 8" xfId="2174" xr:uid="{00000000-0005-0000-0000-0000660D0000}"/>
    <cellStyle name="Moneda 6 8 2" xfId="2175" xr:uid="{00000000-0005-0000-0000-0000670D0000}"/>
    <cellStyle name="Moneda 6 9" xfId="2176" xr:uid="{00000000-0005-0000-0000-0000680D0000}"/>
    <cellStyle name="Moneda 6 9 2" xfId="2177" xr:uid="{00000000-0005-0000-0000-0000690D0000}"/>
    <cellStyle name="Moneda 60" xfId="3251" xr:uid="{00000000-0005-0000-0000-00006A0D0000}"/>
    <cellStyle name="Moneda 61" xfId="3644" xr:uid="{00000000-0005-0000-0000-00006B0D0000}"/>
    <cellStyle name="Moneda 62" xfId="3694" xr:uid="{00000000-0005-0000-0000-00006C0D0000}"/>
    <cellStyle name="Moneda 63" xfId="4037" xr:uid="{00000000-0005-0000-0000-00006D0D0000}"/>
    <cellStyle name="Moneda 64" xfId="4038" xr:uid="{00000000-0005-0000-0000-00006E0D0000}"/>
    <cellStyle name="Moneda 65" xfId="4143" xr:uid="{00000000-0005-0000-0000-00006F0D0000}"/>
    <cellStyle name="Moneda 66" xfId="4145" xr:uid="{00000000-0005-0000-0000-0000700D0000}"/>
    <cellStyle name="Moneda 67" xfId="4056" xr:uid="{00000000-0005-0000-0000-0000710D0000}"/>
    <cellStyle name="Moneda 68" xfId="4147" xr:uid="{69333ACB-E0F9-4724-8A61-3B1ABAD2DF57}"/>
    <cellStyle name="Moneda 69" xfId="4200" xr:uid="{DF46F8B8-EFAE-4828-A6DD-9175D10B53D2}"/>
    <cellStyle name="Moneda 7" xfId="2178" xr:uid="{00000000-0005-0000-0000-0000720D0000}"/>
    <cellStyle name="Moneda 7 10" xfId="2179" xr:uid="{00000000-0005-0000-0000-0000730D0000}"/>
    <cellStyle name="Moneda 7 10 2" xfId="2180" xr:uid="{00000000-0005-0000-0000-0000740D0000}"/>
    <cellStyle name="Moneda 7 11" xfId="2181" xr:uid="{00000000-0005-0000-0000-0000750D0000}"/>
    <cellStyle name="Moneda 7 12" xfId="2182" xr:uid="{00000000-0005-0000-0000-0000760D0000}"/>
    <cellStyle name="Moneda 7 2" xfId="2183" xr:uid="{00000000-0005-0000-0000-0000770D0000}"/>
    <cellStyle name="Moneda 7 2 10" xfId="2184" xr:uid="{00000000-0005-0000-0000-0000780D0000}"/>
    <cellStyle name="Moneda 7 2 11" xfId="2185" xr:uid="{00000000-0005-0000-0000-0000790D0000}"/>
    <cellStyle name="Moneda 7 2 2" xfId="2186" xr:uid="{00000000-0005-0000-0000-00007A0D0000}"/>
    <cellStyle name="Moneda 7 2 2 2" xfId="2187" xr:uid="{00000000-0005-0000-0000-00007B0D0000}"/>
    <cellStyle name="Moneda 7 2 2 2 2" xfId="2188" xr:uid="{00000000-0005-0000-0000-00007C0D0000}"/>
    <cellStyle name="Moneda 7 2 2 2 2 2" xfId="2189" xr:uid="{00000000-0005-0000-0000-00007D0D0000}"/>
    <cellStyle name="Moneda 7 2 2 2 2 2 2" xfId="2190" xr:uid="{00000000-0005-0000-0000-00007E0D0000}"/>
    <cellStyle name="Moneda 7 2 2 2 2 3" xfId="2191" xr:uid="{00000000-0005-0000-0000-00007F0D0000}"/>
    <cellStyle name="Moneda 7 2 2 2 2 3 2" xfId="2192" xr:uid="{00000000-0005-0000-0000-0000800D0000}"/>
    <cellStyle name="Moneda 7 2 2 2 2 4" xfId="2193" xr:uid="{00000000-0005-0000-0000-0000810D0000}"/>
    <cellStyle name="Moneda 7 2 2 2 2 4 2" xfId="2194" xr:uid="{00000000-0005-0000-0000-0000820D0000}"/>
    <cellStyle name="Moneda 7 2 2 2 2 5" xfId="2195" xr:uid="{00000000-0005-0000-0000-0000830D0000}"/>
    <cellStyle name="Moneda 7 2 2 2 3" xfId="2196" xr:uid="{00000000-0005-0000-0000-0000840D0000}"/>
    <cellStyle name="Moneda 7 2 2 2 3 2" xfId="2197" xr:uid="{00000000-0005-0000-0000-0000850D0000}"/>
    <cellStyle name="Moneda 7 2 2 2 4" xfId="2198" xr:uid="{00000000-0005-0000-0000-0000860D0000}"/>
    <cellStyle name="Moneda 7 2 2 2 4 2" xfId="2199" xr:uid="{00000000-0005-0000-0000-0000870D0000}"/>
    <cellStyle name="Moneda 7 2 2 2 5" xfId="2200" xr:uid="{00000000-0005-0000-0000-0000880D0000}"/>
    <cellStyle name="Moneda 7 2 2 2 5 2" xfId="2201" xr:uid="{00000000-0005-0000-0000-0000890D0000}"/>
    <cellStyle name="Moneda 7 2 2 2 6" xfId="2202" xr:uid="{00000000-0005-0000-0000-00008A0D0000}"/>
    <cellStyle name="Moneda 7 2 2 3" xfId="2203" xr:uid="{00000000-0005-0000-0000-00008B0D0000}"/>
    <cellStyle name="Moneda 7 2 2 3 2" xfId="2204" xr:uid="{00000000-0005-0000-0000-00008C0D0000}"/>
    <cellStyle name="Moneda 7 2 2 3 2 2" xfId="2205" xr:uid="{00000000-0005-0000-0000-00008D0D0000}"/>
    <cellStyle name="Moneda 7 2 2 3 3" xfId="2206" xr:uid="{00000000-0005-0000-0000-00008E0D0000}"/>
    <cellStyle name="Moneda 7 2 2 3 3 2" xfId="2207" xr:uid="{00000000-0005-0000-0000-00008F0D0000}"/>
    <cellStyle name="Moneda 7 2 2 3 4" xfId="2208" xr:uid="{00000000-0005-0000-0000-0000900D0000}"/>
    <cellStyle name="Moneda 7 2 2 3 4 2" xfId="2209" xr:uid="{00000000-0005-0000-0000-0000910D0000}"/>
    <cellStyle name="Moneda 7 2 2 3 5" xfId="2210" xr:uid="{00000000-0005-0000-0000-0000920D0000}"/>
    <cellStyle name="Moneda 7 2 2 4" xfId="2211" xr:uid="{00000000-0005-0000-0000-0000930D0000}"/>
    <cellStyle name="Moneda 7 2 2 4 2" xfId="2212" xr:uid="{00000000-0005-0000-0000-0000940D0000}"/>
    <cellStyle name="Moneda 7 2 2 5" xfId="2213" xr:uid="{00000000-0005-0000-0000-0000950D0000}"/>
    <cellStyle name="Moneda 7 2 2 5 2" xfId="2214" xr:uid="{00000000-0005-0000-0000-0000960D0000}"/>
    <cellStyle name="Moneda 7 2 2 6" xfId="2215" xr:uid="{00000000-0005-0000-0000-0000970D0000}"/>
    <cellStyle name="Moneda 7 2 2 6 2" xfId="2216" xr:uid="{00000000-0005-0000-0000-0000980D0000}"/>
    <cellStyle name="Moneda 7 2 2 7" xfId="2217" xr:uid="{00000000-0005-0000-0000-0000990D0000}"/>
    <cellStyle name="Moneda 7 2 3" xfId="2218" xr:uid="{00000000-0005-0000-0000-00009A0D0000}"/>
    <cellStyle name="Moneda 7 2 3 2" xfId="2219" xr:uid="{00000000-0005-0000-0000-00009B0D0000}"/>
    <cellStyle name="Moneda 7 2 3 2 2" xfId="2220" xr:uid="{00000000-0005-0000-0000-00009C0D0000}"/>
    <cellStyle name="Moneda 7 2 3 2 2 2" xfId="2221" xr:uid="{00000000-0005-0000-0000-00009D0D0000}"/>
    <cellStyle name="Moneda 7 2 3 2 2 2 2" xfId="2222" xr:uid="{00000000-0005-0000-0000-00009E0D0000}"/>
    <cellStyle name="Moneda 7 2 3 2 2 3" xfId="2223" xr:uid="{00000000-0005-0000-0000-00009F0D0000}"/>
    <cellStyle name="Moneda 7 2 3 2 2 3 2" xfId="2224" xr:uid="{00000000-0005-0000-0000-0000A00D0000}"/>
    <cellStyle name="Moneda 7 2 3 2 2 4" xfId="2225" xr:uid="{00000000-0005-0000-0000-0000A10D0000}"/>
    <cellStyle name="Moneda 7 2 3 2 2 4 2" xfId="2226" xr:uid="{00000000-0005-0000-0000-0000A20D0000}"/>
    <cellStyle name="Moneda 7 2 3 2 2 5" xfId="2227" xr:uid="{00000000-0005-0000-0000-0000A30D0000}"/>
    <cellStyle name="Moneda 7 2 3 2 3" xfId="2228" xr:uid="{00000000-0005-0000-0000-0000A40D0000}"/>
    <cellStyle name="Moneda 7 2 3 2 3 2" xfId="2229" xr:uid="{00000000-0005-0000-0000-0000A50D0000}"/>
    <cellStyle name="Moneda 7 2 3 2 4" xfId="2230" xr:uid="{00000000-0005-0000-0000-0000A60D0000}"/>
    <cellStyle name="Moneda 7 2 3 2 4 2" xfId="2231" xr:uid="{00000000-0005-0000-0000-0000A70D0000}"/>
    <cellStyle name="Moneda 7 2 3 2 5" xfId="2232" xr:uid="{00000000-0005-0000-0000-0000A80D0000}"/>
    <cellStyle name="Moneda 7 2 3 2 5 2" xfId="2233" xr:uid="{00000000-0005-0000-0000-0000A90D0000}"/>
    <cellStyle name="Moneda 7 2 3 2 6" xfId="2234" xr:uid="{00000000-0005-0000-0000-0000AA0D0000}"/>
    <cellStyle name="Moneda 7 2 3 3" xfId="2235" xr:uid="{00000000-0005-0000-0000-0000AB0D0000}"/>
    <cellStyle name="Moneda 7 2 3 3 2" xfId="2236" xr:uid="{00000000-0005-0000-0000-0000AC0D0000}"/>
    <cellStyle name="Moneda 7 2 3 3 2 2" xfId="2237" xr:uid="{00000000-0005-0000-0000-0000AD0D0000}"/>
    <cellStyle name="Moneda 7 2 3 3 3" xfId="2238" xr:uid="{00000000-0005-0000-0000-0000AE0D0000}"/>
    <cellStyle name="Moneda 7 2 3 3 3 2" xfId="2239" xr:uid="{00000000-0005-0000-0000-0000AF0D0000}"/>
    <cellStyle name="Moneda 7 2 3 3 4" xfId="2240" xr:uid="{00000000-0005-0000-0000-0000B00D0000}"/>
    <cellStyle name="Moneda 7 2 3 3 4 2" xfId="2241" xr:uid="{00000000-0005-0000-0000-0000B10D0000}"/>
    <cellStyle name="Moneda 7 2 3 3 5" xfId="2242" xr:uid="{00000000-0005-0000-0000-0000B20D0000}"/>
    <cellStyle name="Moneda 7 2 3 4" xfId="2243" xr:uid="{00000000-0005-0000-0000-0000B30D0000}"/>
    <cellStyle name="Moneda 7 2 3 4 2" xfId="2244" xr:uid="{00000000-0005-0000-0000-0000B40D0000}"/>
    <cellStyle name="Moneda 7 2 3 5" xfId="2245" xr:uid="{00000000-0005-0000-0000-0000B50D0000}"/>
    <cellStyle name="Moneda 7 2 3 5 2" xfId="2246" xr:uid="{00000000-0005-0000-0000-0000B60D0000}"/>
    <cellStyle name="Moneda 7 2 3 6" xfId="2247" xr:uid="{00000000-0005-0000-0000-0000B70D0000}"/>
    <cellStyle name="Moneda 7 2 3 6 2" xfId="2248" xr:uid="{00000000-0005-0000-0000-0000B80D0000}"/>
    <cellStyle name="Moneda 7 2 3 7" xfId="2249" xr:uid="{00000000-0005-0000-0000-0000B90D0000}"/>
    <cellStyle name="Moneda 7 2 4" xfId="2250" xr:uid="{00000000-0005-0000-0000-0000BA0D0000}"/>
    <cellStyle name="Moneda 7 2 4 2" xfId="2251" xr:uid="{00000000-0005-0000-0000-0000BB0D0000}"/>
    <cellStyle name="Moneda 7 2 4 2 2" xfId="2252" xr:uid="{00000000-0005-0000-0000-0000BC0D0000}"/>
    <cellStyle name="Moneda 7 2 4 2 2 2" xfId="2253" xr:uid="{00000000-0005-0000-0000-0000BD0D0000}"/>
    <cellStyle name="Moneda 7 2 4 2 2 2 2" xfId="2254" xr:uid="{00000000-0005-0000-0000-0000BE0D0000}"/>
    <cellStyle name="Moneda 7 2 4 2 2 3" xfId="2255" xr:uid="{00000000-0005-0000-0000-0000BF0D0000}"/>
    <cellStyle name="Moneda 7 2 4 2 2 3 2" xfId="2256" xr:uid="{00000000-0005-0000-0000-0000C00D0000}"/>
    <cellStyle name="Moneda 7 2 4 2 2 4" xfId="2257" xr:uid="{00000000-0005-0000-0000-0000C10D0000}"/>
    <cellStyle name="Moneda 7 2 4 2 2 4 2" xfId="2258" xr:uid="{00000000-0005-0000-0000-0000C20D0000}"/>
    <cellStyle name="Moneda 7 2 4 2 2 5" xfId="2259" xr:uid="{00000000-0005-0000-0000-0000C30D0000}"/>
    <cellStyle name="Moneda 7 2 4 2 3" xfId="2260" xr:uid="{00000000-0005-0000-0000-0000C40D0000}"/>
    <cellStyle name="Moneda 7 2 4 2 3 2" xfId="2261" xr:uid="{00000000-0005-0000-0000-0000C50D0000}"/>
    <cellStyle name="Moneda 7 2 4 2 4" xfId="2262" xr:uid="{00000000-0005-0000-0000-0000C60D0000}"/>
    <cellStyle name="Moneda 7 2 4 2 4 2" xfId="2263" xr:uid="{00000000-0005-0000-0000-0000C70D0000}"/>
    <cellStyle name="Moneda 7 2 4 2 5" xfId="2264" xr:uid="{00000000-0005-0000-0000-0000C80D0000}"/>
    <cellStyle name="Moneda 7 2 4 2 5 2" xfId="2265" xr:uid="{00000000-0005-0000-0000-0000C90D0000}"/>
    <cellStyle name="Moneda 7 2 4 2 6" xfId="2266" xr:uid="{00000000-0005-0000-0000-0000CA0D0000}"/>
    <cellStyle name="Moneda 7 2 4 3" xfId="2267" xr:uid="{00000000-0005-0000-0000-0000CB0D0000}"/>
    <cellStyle name="Moneda 7 2 4 3 2" xfId="2268" xr:uid="{00000000-0005-0000-0000-0000CC0D0000}"/>
    <cellStyle name="Moneda 7 2 4 3 2 2" xfId="2269" xr:uid="{00000000-0005-0000-0000-0000CD0D0000}"/>
    <cellStyle name="Moneda 7 2 4 3 3" xfId="2270" xr:uid="{00000000-0005-0000-0000-0000CE0D0000}"/>
    <cellStyle name="Moneda 7 2 4 3 3 2" xfId="2271" xr:uid="{00000000-0005-0000-0000-0000CF0D0000}"/>
    <cellStyle name="Moneda 7 2 4 3 4" xfId="2272" xr:uid="{00000000-0005-0000-0000-0000D00D0000}"/>
    <cellStyle name="Moneda 7 2 4 3 4 2" xfId="2273" xr:uid="{00000000-0005-0000-0000-0000D10D0000}"/>
    <cellStyle name="Moneda 7 2 4 3 5" xfId="2274" xr:uid="{00000000-0005-0000-0000-0000D20D0000}"/>
    <cellStyle name="Moneda 7 2 4 4" xfId="2275" xr:uid="{00000000-0005-0000-0000-0000D30D0000}"/>
    <cellStyle name="Moneda 7 2 4 4 2" xfId="2276" xr:uid="{00000000-0005-0000-0000-0000D40D0000}"/>
    <cellStyle name="Moneda 7 2 4 5" xfId="2277" xr:uid="{00000000-0005-0000-0000-0000D50D0000}"/>
    <cellStyle name="Moneda 7 2 4 5 2" xfId="2278" xr:uid="{00000000-0005-0000-0000-0000D60D0000}"/>
    <cellStyle name="Moneda 7 2 4 6" xfId="2279" xr:uid="{00000000-0005-0000-0000-0000D70D0000}"/>
    <cellStyle name="Moneda 7 2 4 6 2" xfId="2280" xr:uid="{00000000-0005-0000-0000-0000D80D0000}"/>
    <cellStyle name="Moneda 7 2 4 7" xfId="2281" xr:uid="{00000000-0005-0000-0000-0000D90D0000}"/>
    <cellStyle name="Moneda 7 2 5" xfId="2282" xr:uid="{00000000-0005-0000-0000-0000DA0D0000}"/>
    <cellStyle name="Moneda 7 2 5 2" xfId="2283" xr:uid="{00000000-0005-0000-0000-0000DB0D0000}"/>
    <cellStyle name="Moneda 7 2 5 2 2" xfId="2284" xr:uid="{00000000-0005-0000-0000-0000DC0D0000}"/>
    <cellStyle name="Moneda 7 2 5 2 2 2" xfId="2285" xr:uid="{00000000-0005-0000-0000-0000DD0D0000}"/>
    <cellStyle name="Moneda 7 2 5 2 3" xfId="2286" xr:uid="{00000000-0005-0000-0000-0000DE0D0000}"/>
    <cellStyle name="Moneda 7 2 5 2 3 2" xfId="2287" xr:uid="{00000000-0005-0000-0000-0000DF0D0000}"/>
    <cellStyle name="Moneda 7 2 5 2 4" xfId="2288" xr:uid="{00000000-0005-0000-0000-0000E00D0000}"/>
    <cellStyle name="Moneda 7 2 5 2 4 2" xfId="2289" xr:uid="{00000000-0005-0000-0000-0000E10D0000}"/>
    <cellStyle name="Moneda 7 2 5 2 5" xfId="2290" xr:uid="{00000000-0005-0000-0000-0000E20D0000}"/>
    <cellStyle name="Moneda 7 2 5 3" xfId="2291" xr:uid="{00000000-0005-0000-0000-0000E30D0000}"/>
    <cellStyle name="Moneda 7 2 5 3 2" xfId="2292" xr:uid="{00000000-0005-0000-0000-0000E40D0000}"/>
    <cellStyle name="Moneda 7 2 5 4" xfId="2293" xr:uid="{00000000-0005-0000-0000-0000E50D0000}"/>
    <cellStyle name="Moneda 7 2 5 4 2" xfId="2294" xr:uid="{00000000-0005-0000-0000-0000E60D0000}"/>
    <cellStyle name="Moneda 7 2 5 5" xfId="2295" xr:uid="{00000000-0005-0000-0000-0000E70D0000}"/>
    <cellStyle name="Moneda 7 2 5 5 2" xfId="2296" xr:uid="{00000000-0005-0000-0000-0000E80D0000}"/>
    <cellStyle name="Moneda 7 2 5 6" xfId="2297" xr:uid="{00000000-0005-0000-0000-0000E90D0000}"/>
    <cellStyle name="Moneda 7 2 6" xfId="2298" xr:uid="{00000000-0005-0000-0000-0000EA0D0000}"/>
    <cellStyle name="Moneda 7 2 6 2" xfId="2299" xr:uid="{00000000-0005-0000-0000-0000EB0D0000}"/>
    <cellStyle name="Moneda 7 2 6 2 2" xfId="2300" xr:uid="{00000000-0005-0000-0000-0000EC0D0000}"/>
    <cellStyle name="Moneda 7 2 6 3" xfId="2301" xr:uid="{00000000-0005-0000-0000-0000ED0D0000}"/>
    <cellStyle name="Moneda 7 2 6 3 2" xfId="2302" xr:uid="{00000000-0005-0000-0000-0000EE0D0000}"/>
    <cellStyle name="Moneda 7 2 6 4" xfId="2303" xr:uid="{00000000-0005-0000-0000-0000EF0D0000}"/>
    <cellStyle name="Moneda 7 2 6 4 2" xfId="2304" xr:uid="{00000000-0005-0000-0000-0000F00D0000}"/>
    <cellStyle name="Moneda 7 2 6 5" xfId="2305" xr:uid="{00000000-0005-0000-0000-0000F10D0000}"/>
    <cellStyle name="Moneda 7 2 7" xfId="2306" xr:uid="{00000000-0005-0000-0000-0000F20D0000}"/>
    <cellStyle name="Moneda 7 2 7 2" xfId="2307" xr:uid="{00000000-0005-0000-0000-0000F30D0000}"/>
    <cellStyle name="Moneda 7 2 8" xfId="2308" xr:uid="{00000000-0005-0000-0000-0000F40D0000}"/>
    <cellStyle name="Moneda 7 2 8 2" xfId="2309" xr:uid="{00000000-0005-0000-0000-0000F50D0000}"/>
    <cellStyle name="Moneda 7 2 9" xfId="2310" xr:uid="{00000000-0005-0000-0000-0000F60D0000}"/>
    <cellStyle name="Moneda 7 2 9 2" xfId="2311" xr:uid="{00000000-0005-0000-0000-0000F70D0000}"/>
    <cellStyle name="Moneda 7 3" xfId="2312" xr:uid="{00000000-0005-0000-0000-0000F80D0000}"/>
    <cellStyle name="Moneda 7 3 2" xfId="2313" xr:uid="{00000000-0005-0000-0000-0000F90D0000}"/>
    <cellStyle name="Moneda 7 3 2 2" xfId="2314" xr:uid="{00000000-0005-0000-0000-0000FA0D0000}"/>
    <cellStyle name="Moneda 7 3 2 2 2" xfId="2315" xr:uid="{00000000-0005-0000-0000-0000FB0D0000}"/>
    <cellStyle name="Moneda 7 3 2 2 2 2" xfId="2316" xr:uid="{00000000-0005-0000-0000-0000FC0D0000}"/>
    <cellStyle name="Moneda 7 3 2 2 3" xfId="2317" xr:uid="{00000000-0005-0000-0000-0000FD0D0000}"/>
    <cellStyle name="Moneda 7 3 2 2 3 2" xfId="2318" xr:uid="{00000000-0005-0000-0000-0000FE0D0000}"/>
    <cellStyle name="Moneda 7 3 2 2 4" xfId="2319" xr:uid="{00000000-0005-0000-0000-0000FF0D0000}"/>
    <cellStyle name="Moneda 7 3 2 2 4 2" xfId="2320" xr:uid="{00000000-0005-0000-0000-0000000E0000}"/>
    <cellStyle name="Moneda 7 3 2 2 5" xfId="2321" xr:uid="{00000000-0005-0000-0000-0000010E0000}"/>
    <cellStyle name="Moneda 7 3 2 3" xfId="2322" xr:uid="{00000000-0005-0000-0000-0000020E0000}"/>
    <cellStyle name="Moneda 7 3 2 3 2" xfId="2323" xr:uid="{00000000-0005-0000-0000-0000030E0000}"/>
    <cellStyle name="Moneda 7 3 2 4" xfId="2324" xr:uid="{00000000-0005-0000-0000-0000040E0000}"/>
    <cellStyle name="Moneda 7 3 2 4 2" xfId="2325" xr:uid="{00000000-0005-0000-0000-0000050E0000}"/>
    <cellStyle name="Moneda 7 3 2 5" xfId="2326" xr:uid="{00000000-0005-0000-0000-0000060E0000}"/>
    <cellStyle name="Moneda 7 3 2 5 2" xfId="2327" xr:uid="{00000000-0005-0000-0000-0000070E0000}"/>
    <cellStyle name="Moneda 7 3 2 6" xfId="2328" xr:uid="{00000000-0005-0000-0000-0000080E0000}"/>
    <cellStyle name="Moneda 7 3 3" xfId="2329" xr:uid="{00000000-0005-0000-0000-0000090E0000}"/>
    <cellStyle name="Moneda 7 3 3 2" xfId="2330" xr:uid="{00000000-0005-0000-0000-00000A0E0000}"/>
    <cellStyle name="Moneda 7 3 3 2 2" xfId="2331" xr:uid="{00000000-0005-0000-0000-00000B0E0000}"/>
    <cellStyle name="Moneda 7 3 3 3" xfId="2332" xr:uid="{00000000-0005-0000-0000-00000C0E0000}"/>
    <cellStyle name="Moneda 7 3 3 3 2" xfId="2333" xr:uid="{00000000-0005-0000-0000-00000D0E0000}"/>
    <cellStyle name="Moneda 7 3 3 4" xfId="2334" xr:uid="{00000000-0005-0000-0000-00000E0E0000}"/>
    <cellStyle name="Moneda 7 3 3 4 2" xfId="2335" xr:uid="{00000000-0005-0000-0000-00000F0E0000}"/>
    <cellStyle name="Moneda 7 3 3 5" xfId="2336" xr:uid="{00000000-0005-0000-0000-0000100E0000}"/>
    <cellStyle name="Moneda 7 3 4" xfId="2337" xr:uid="{00000000-0005-0000-0000-0000110E0000}"/>
    <cellStyle name="Moneda 7 3 4 2" xfId="2338" xr:uid="{00000000-0005-0000-0000-0000120E0000}"/>
    <cellStyle name="Moneda 7 3 5" xfId="2339" xr:uid="{00000000-0005-0000-0000-0000130E0000}"/>
    <cellStyle name="Moneda 7 3 5 2" xfId="2340" xr:uid="{00000000-0005-0000-0000-0000140E0000}"/>
    <cellStyle name="Moneda 7 3 6" xfId="2341" xr:uid="{00000000-0005-0000-0000-0000150E0000}"/>
    <cellStyle name="Moneda 7 3 6 2" xfId="2342" xr:uid="{00000000-0005-0000-0000-0000160E0000}"/>
    <cellStyle name="Moneda 7 3 7" xfId="2343" xr:uid="{00000000-0005-0000-0000-0000170E0000}"/>
    <cellStyle name="Moneda 7 4" xfId="2344" xr:uid="{00000000-0005-0000-0000-0000180E0000}"/>
    <cellStyle name="Moneda 7 4 2" xfId="2345" xr:uid="{00000000-0005-0000-0000-0000190E0000}"/>
    <cellStyle name="Moneda 7 4 2 2" xfId="2346" xr:uid="{00000000-0005-0000-0000-00001A0E0000}"/>
    <cellStyle name="Moneda 7 4 2 2 2" xfId="2347" xr:uid="{00000000-0005-0000-0000-00001B0E0000}"/>
    <cellStyle name="Moneda 7 4 2 2 2 2" xfId="2348" xr:uid="{00000000-0005-0000-0000-00001C0E0000}"/>
    <cellStyle name="Moneda 7 4 2 2 3" xfId="2349" xr:uid="{00000000-0005-0000-0000-00001D0E0000}"/>
    <cellStyle name="Moneda 7 4 2 2 3 2" xfId="2350" xr:uid="{00000000-0005-0000-0000-00001E0E0000}"/>
    <cellStyle name="Moneda 7 4 2 2 4" xfId="2351" xr:uid="{00000000-0005-0000-0000-00001F0E0000}"/>
    <cellStyle name="Moneda 7 4 2 2 4 2" xfId="2352" xr:uid="{00000000-0005-0000-0000-0000200E0000}"/>
    <cellStyle name="Moneda 7 4 2 2 5" xfId="2353" xr:uid="{00000000-0005-0000-0000-0000210E0000}"/>
    <cellStyle name="Moneda 7 4 2 3" xfId="2354" xr:uid="{00000000-0005-0000-0000-0000220E0000}"/>
    <cellStyle name="Moneda 7 4 2 3 2" xfId="2355" xr:uid="{00000000-0005-0000-0000-0000230E0000}"/>
    <cellStyle name="Moneda 7 4 2 4" xfId="2356" xr:uid="{00000000-0005-0000-0000-0000240E0000}"/>
    <cellStyle name="Moneda 7 4 2 4 2" xfId="2357" xr:uid="{00000000-0005-0000-0000-0000250E0000}"/>
    <cellStyle name="Moneda 7 4 2 5" xfId="2358" xr:uid="{00000000-0005-0000-0000-0000260E0000}"/>
    <cellStyle name="Moneda 7 4 2 5 2" xfId="2359" xr:uid="{00000000-0005-0000-0000-0000270E0000}"/>
    <cellStyle name="Moneda 7 4 2 6" xfId="2360" xr:uid="{00000000-0005-0000-0000-0000280E0000}"/>
    <cellStyle name="Moneda 7 4 3" xfId="2361" xr:uid="{00000000-0005-0000-0000-0000290E0000}"/>
    <cellStyle name="Moneda 7 4 3 2" xfId="2362" xr:uid="{00000000-0005-0000-0000-00002A0E0000}"/>
    <cellStyle name="Moneda 7 4 3 2 2" xfId="2363" xr:uid="{00000000-0005-0000-0000-00002B0E0000}"/>
    <cellStyle name="Moneda 7 4 3 3" xfId="2364" xr:uid="{00000000-0005-0000-0000-00002C0E0000}"/>
    <cellStyle name="Moneda 7 4 3 3 2" xfId="2365" xr:uid="{00000000-0005-0000-0000-00002D0E0000}"/>
    <cellStyle name="Moneda 7 4 3 4" xfId="2366" xr:uid="{00000000-0005-0000-0000-00002E0E0000}"/>
    <cellStyle name="Moneda 7 4 3 4 2" xfId="2367" xr:uid="{00000000-0005-0000-0000-00002F0E0000}"/>
    <cellStyle name="Moneda 7 4 3 5" xfId="2368" xr:uid="{00000000-0005-0000-0000-0000300E0000}"/>
    <cellStyle name="Moneda 7 4 4" xfId="2369" xr:uid="{00000000-0005-0000-0000-0000310E0000}"/>
    <cellStyle name="Moneda 7 4 4 2" xfId="2370" xr:uid="{00000000-0005-0000-0000-0000320E0000}"/>
    <cellStyle name="Moneda 7 4 5" xfId="2371" xr:uid="{00000000-0005-0000-0000-0000330E0000}"/>
    <cellStyle name="Moneda 7 4 5 2" xfId="2372" xr:uid="{00000000-0005-0000-0000-0000340E0000}"/>
    <cellStyle name="Moneda 7 4 6" xfId="2373" xr:uid="{00000000-0005-0000-0000-0000350E0000}"/>
    <cellStyle name="Moneda 7 4 6 2" xfId="2374" xr:uid="{00000000-0005-0000-0000-0000360E0000}"/>
    <cellStyle name="Moneda 7 4 7" xfId="2375" xr:uid="{00000000-0005-0000-0000-0000370E0000}"/>
    <cellStyle name="Moneda 7 5" xfId="2376" xr:uid="{00000000-0005-0000-0000-0000380E0000}"/>
    <cellStyle name="Moneda 7 5 2" xfId="2377" xr:uid="{00000000-0005-0000-0000-0000390E0000}"/>
    <cellStyle name="Moneda 7 5 2 2" xfId="2378" xr:uid="{00000000-0005-0000-0000-00003A0E0000}"/>
    <cellStyle name="Moneda 7 5 2 2 2" xfId="2379" xr:uid="{00000000-0005-0000-0000-00003B0E0000}"/>
    <cellStyle name="Moneda 7 5 2 2 2 2" xfId="2380" xr:uid="{00000000-0005-0000-0000-00003C0E0000}"/>
    <cellStyle name="Moneda 7 5 2 2 3" xfId="2381" xr:uid="{00000000-0005-0000-0000-00003D0E0000}"/>
    <cellStyle name="Moneda 7 5 2 2 3 2" xfId="2382" xr:uid="{00000000-0005-0000-0000-00003E0E0000}"/>
    <cellStyle name="Moneda 7 5 2 2 4" xfId="2383" xr:uid="{00000000-0005-0000-0000-00003F0E0000}"/>
    <cellStyle name="Moneda 7 5 2 2 4 2" xfId="2384" xr:uid="{00000000-0005-0000-0000-0000400E0000}"/>
    <cellStyle name="Moneda 7 5 2 2 5" xfId="2385" xr:uid="{00000000-0005-0000-0000-0000410E0000}"/>
    <cellStyle name="Moneda 7 5 2 3" xfId="2386" xr:uid="{00000000-0005-0000-0000-0000420E0000}"/>
    <cellStyle name="Moneda 7 5 2 3 2" xfId="2387" xr:uid="{00000000-0005-0000-0000-0000430E0000}"/>
    <cellStyle name="Moneda 7 5 2 4" xfId="2388" xr:uid="{00000000-0005-0000-0000-0000440E0000}"/>
    <cellStyle name="Moneda 7 5 2 4 2" xfId="2389" xr:uid="{00000000-0005-0000-0000-0000450E0000}"/>
    <cellStyle name="Moneda 7 5 2 5" xfId="2390" xr:uid="{00000000-0005-0000-0000-0000460E0000}"/>
    <cellStyle name="Moneda 7 5 2 5 2" xfId="2391" xr:uid="{00000000-0005-0000-0000-0000470E0000}"/>
    <cellStyle name="Moneda 7 5 2 6" xfId="2392" xr:uid="{00000000-0005-0000-0000-0000480E0000}"/>
    <cellStyle name="Moneda 7 5 3" xfId="2393" xr:uid="{00000000-0005-0000-0000-0000490E0000}"/>
    <cellStyle name="Moneda 7 5 3 2" xfId="2394" xr:uid="{00000000-0005-0000-0000-00004A0E0000}"/>
    <cellStyle name="Moneda 7 5 3 2 2" xfId="2395" xr:uid="{00000000-0005-0000-0000-00004B0E0000}"/>
    <cellStyle name="Moneda 7 5 3 3" xfId="2396" xr:uid="{00000000-0005-0000-0000-00004C0E0000}"/>
    <cellStyle name="Moneda 7 5 3 3 2" xfId="2397" xr:uid="{00000000-0005-0000-0000-00004D0E0000}"/>
    <cellStyle name="Moneda 7 5 3 4" xfId="2398" xr:uid="{00000000-0005-0000-0000-00004E0E0000}"/>
    <cellStyle name="Moneda 7 5 3 4 2" xfId="2399" xr:uid="{00000000-0005-0000-0000-00004F0E0000}"/>
    <cellStyle name="Moneda 7 5 3 5" xfId="2400" xr:uid="{00000000-0005-0000-0000-0000500E0000}"/>
    <cellStyle name="Moneda 7 5 4" xfId="2401" xr:uid="{00000000-0005-0000-0000-0000510E0000}"/>
    <cellStyle name="Moneda 7 5 4 2" xfId="2402" xr:uid="{00000000-0005-0000-0000-0000520E0000}"/>
    <cellStyle name="Moneda 7 5 5" xfId="2403" xr:uid="{00000000-0005-0000-0000-0000530E0000}"/>
    <cellStyle name="Moneda 7 5 5 2" xfId="2404" xr:uid="{00000000-0005-0000-0000-0000540E0000}"/>
    <cellStyle name="Moneda 7 5 6" xfId="2405" xr:uid="{00000000-0005-0000-0000-0000550E0000}"/>
    <cellStyle name="Moneda 7 5 6 2" xfId="2406" xr:uid="{00000000-0005-0000-0000-0000560E0000}"/>
    <cellStyle name="Moneda 7 5 7" xfId="2407" xr:uid="{00000000-0005-0000-0000-0000570E0000}"/>
    <cellStyle name="Moneda 7 6" xfId="2408" xr:uid="{00000000-0005-0000-0000-0000580E0000}"/>
    <cellStyle name="Moneda 7 6 2" xfId="2409" xr:uid="{00000000-0005-0000-0000-0000590E0000}"/>
    <cellStyle name="Moneda 7 6 2 2" xfId="2410" xr:uid="{00000000-0005-0000-0000-00005A0E0000}"/>
    <cellStyle name="Moneda 7 6 2 2 2" xfId="2411" xr:uid="{00000000-0005-0000-0000-00005B0E0000}"/>
    <cellStyle name="Moneda 7 6 2 3" xfId="2412" xr:uid="{00000000-0005-0000-0000-00005C0E0000}"/>
    <cellStyle name="Moneda 7 6 2 3 2" xfId="2413" xr:uid="{00000000-0005-0000-0000-00005D0E0000}"/>
    <cellStyle name="Moneda 7 6 2 4" xfId="2414" xr:uid="{00000000-0005-0000-0000-00005E0E0000}"/>
    <cellStyle name="Moneda 7 6 2 4 2" xfId="2415" xr:uid="{00000000-0005-0000-0000-00005F0E0000}"/>
    <cellStyle name="Moneda 7 6 2 5" xfId="2416" xr:uid="{00000000-0005-0000-0000-0000600E0000}"/>
    <cellStyle name="Moneda 7 6 3" xfId="2417" xr:uid="{00000000-0005-0000-0000-0000610E0000}"/>
    <cellStyle name="Moneda 7 6 3 2" xfId="2418" xr:uid="{00000000-0005-0000-0000-0000620E0000}"/>
    <cellStyle name="Moneda 7 6 4" xfId="2419" xr:uid="{00000000-0005-0000-0000-0000630E0000}"/>
    <cellStyle name="Moneda 7 6 4 2" xfId="2420" xr:uid="{00000000-0005-0000-0000-0000640E0000}"/>
    <cellStyle name="Moneda 7 6 5" xfId="2421" xr:uid="{00000000-0005-0000-0000-0000650E0000}"/>
    <cellStyle name="Moneda 7 6 5 2" xfId="2422" xr:uid="{00000000-0005-0000-0000-0000660E0000}"/>
    <cellStyle name="Moneda 7 6 6" xfId="2423" xr:uid="{00000000-0005-0000-0000-0000670E0000}"/>
    <cellStyle name="Moneda 7 7" xfId="2424" xr:uid="{00000000-0005-0000-0000-0000680E0000}"/>
    <cellStyle name="Moneda 7 7 2" xfId="2425" xr:uid="{00000000-0005-0000-0000-0000690E0000}"/>
    <cellStyle name="Moneda 7 7 2 2" xfId="2426" xr:uid="{00000000-0005-0000-0000-00006A0E0000}"/>
    <cellStyle name="Moneda 7 7 3" xfId="2427" xr:uid="{00000000-0005-0000-0000-00006B0E0000}"/>
    <cellStyle name="Moneda 7 7 3 2" xfId="2428" xr:uid="{00000000-0005-0000-0000-00006C0E0000}"/>
    <cellStyle name="Moneda 7 7 4" xfId="2429" xr:uid="{00000000-0005-0000-0000-00006D0E0000}"/>
    <cellStyle name="Moneda 7 7 4 2" xfId="2430" xr:uid="{00000000-0005-0000-0000-00006E0E0000}"/>
    <cellStyle name="Moneda 7 7 5" xfId="2431" xr:uid="{00000000-0005-0000-0000-00006F0E0000}"/>
    <cellStyle name="Moneda 7 8" xfId="2432" xr:uid="{00000000-0005-0000-0000-0000700E0000}"/>
    <cellStyle name="Moneda 7 8 2" xfId="2433" xr:uid="{00000000-0005-0000-0000-0000710E0000}"/>
    <cellStyle name="Moneda 7 9" xfId="2434" xr:uid="{00000000-0005-0000-0000-0000720E0000}"/>
    <cellStyle name="Moneda 7 9 2" xfId="2435" xr:uid="{00000000-0005-0000-0000-0000730E0000}"/>
    <cellStyle name="Moneda 70" xfId="4543" xr:uid="{46447475-A83C-4FE8-B8D3-88FE9543242B}"/>
    <cellStyle name="Moneda 71" xfId="4547" xr:uid="{FC28DAA2-115A-430B-AA7D-311CDEB0EA4C}"/>
    <cellStyle name="Moneda 72" xfId="4199" xr:uid="{540FEC56-5259-434F-95E9-8A2F4E62B00D}"/>
    <cellStyle name="Moneda 73" xfId="4546" xr:uid="{21B6CFA3-ACDF-49C0-BBB4-0C4BFF0DD412}"/>
    <cellStyle name="Moneda 74" xfId="4551" xr:uid="{C8749377-A868-4663-AB65-701669E10F5D}"/>
    <cellStyle name="Moneda 75" xfId="4560" xr:uid="{90D3B19B-0915-4CF4-9245-0A8205C4B5E8}"/>
    <cellStyle name="Moneda 76" xfId="6227" xr:uid="{BBD0D47F-4E77-40FD-AAA9-09DC7870FC8A}"/>
    <cellStyle name="Moneda 77" xfId="4555" xr:uid="{0B1E1D7F-5F20-4ADD-B3B2-FCC41D7ABA40}"/>
    <cellStyle name="Moneda 78" xfId="4614" xr:uid="{51292327-249A-4963-BD66-E96DBA8DABB8}"/>
    <cellStyle name="Moneda 79" xfId="4564" xr:uid="{6A4861FB-F9C7-41EE-B4AC-9B0244EFD05D}"/>
    <cellStyle name="Moneda 8" xfId="2436" xr:uid="{00000000-0005-0000-0000-0000740E0000}"/>
    <cellStyle name="Moneda 8 10" xfId="2437" xr:uid="{00000000-0005-0000-0000-0000750E0000}"/>
    <cellStyle name="Moneda 8 10 2" xfId="2438" xr:uid="{00000000-0005-0000-0000-0000760E0000}"/>
    <cellStyle name="Moneda 8 11" xfId="2439" xr:uid="{00000000-0005-0000-0000-0000770E0000}"/>
    <cellStyle name="Moneda 8 11 2" xfId="2440" xr:uid="{00000000-0005-0000-0000-0000780E0000}"/>
    <cellStyle name="Moneda 8 12" xfId="2441" xr:uid="{00000000-0005-0000-0000-0000790E0000}"/>
    <cellStyle name="Moneda 8 13" xfId="2442" xr:uid="{00000000-0005-0000-0000-00007A0E0000}"/>
    <cellStyle name="Moneda 8 2" xfId="2443" xr:uid="{00000000-0005-0000-0000-00007B0E0000}"/>
    <cellStyle name="Moneda 8 2 10" xfId="2444" xr:uid="{00000000-0005-0000-0000-00007C0E0000}"/>
    <cellStyle name="Moneda 8 2 11" xfId="2445" xr:uid="{00000000-0005-0000-0000-00007D0E0000}"/>
    <cellStyle name="Moneda 8 2 2" xfId="2446" xr:uid="{00000000-0005-0000-0000-00007E0E0000}"/>
    <cellStyle name="Moneda 8 2 2 2" xfId="2447" xr:uid="{00000000-0005-0000-0000-00007F0E0000}"/>
    <cellStyle name="Moneda 8 2 2 2 2" xfId="2448" xr:uid="{00000000-0005-0000-0000-0000800E0000}"/>
    <cellStyle name="Moneda 8 2 2 2 2 2" xfId="2449" xr:uid="{00000000-0005-0000-0000-0000810E0000}"/>
    <cellStyle name="Moneda 8 2 2 2 2 2 2" xfId="2450" xr:uid="{00000000-0005-0000-0000-0000820E0000}"/>
    <cellStyle name="Moneda 8 2 2 2 2 3" xfId="2451" xr:uid="{00000000-0005-0000-0000-0000830E0000}"/>
    <cellStyle name="Moneda 8 2 2 2 2 3 2" xfId="2452" xr:uid="{00000000-0005-0000-0000-0000840E0000}"/>
    <cellStyle name="Moneda 8 2 2 2 2 4" xfId="2453" xr:uid="{00000000-0005-0000-0000-0000850E0000}"/>
    <cellStyle name="Moneda 8 2 2 2 2 4 2" xfId="2454" xr:uid="{00000000-0005-0000-0000-0000860E0000}"/>
    <cellStyle name="Moneda 8 2 2 2 2 5" xfId="2455" xr:uid="{00000000-0005-0000-0000-0000870E0000}"/>
    <cellStyle name="Moneda 8 2 2 2 3" xfId="2456" xr:uid="{00000000-0005-0000-0000-0000880E0000}"/>
    <cellStyle name="Moneda 8 2 2 2 3 2" xfId="2457" xr:uid="{00000000-0005-0000-0000-0000890E0000}"/>
    <cellStyle name="Moneda 8 2 2 2 4" xfId="2458" xr:uid="{00000000-0005-0000-0000-00008A0E0000}"/>
    <cellStyle name="Moneda 8 2 2 2 4 2" xfId="2459" xr:uid="{00000000-0005-0000-0000-00008B0E0000}"/>
    <cellStyle name="Moneda 8 2 2 2 5" xfId="2460" xr:uid="{00000000-0005-0000-0000-00008C0E0000}"/>
    <cellStyle name="Moneda 8 2 2 2 5 2" xfId="2461" xr:uid="{00000000-0005-0000-0000-00008D0E0000}"/>
    <cellStyle name="Moneda 8 2 2 2 6" xfId="2462" xr:uid="{00000000-0005-0000-0000-00008E0E0000}"/>
    <cellStyle name="Moneda 8 2 2 3" xfId="2463" xr:uid="{00000000-0005-0000-0000-00008F0E0000}"/>
    <cellStyle name="Moneda 8 2 2 3 2" xfId="2464" xr:uid="{00000000-0005-0000-0000-0000900E0000}"/>
    <cellStyle name="Moneda 8 2 2 3 2 2" xfId="2465" xr:uid="{00000000-0005-0000-0000-0000910E0000}"/>
    <cellStyle name="Moneda 8 2 2 3 3" xfId="2466" xr:uid="{00000000-0005-0000-0000-0000920E0000}"/>
    <cellStyle name="Moneda 8 2 2 3 3 2" xfId="2467" xr:uid="{00000000-0005-0000-0000-0000930E0000}"/>
    <cellStyle name="Moneda 8 2 2 3 4" xfId="2468" xr:uid="{00000000-0005-0000-0000-0000940E0000}"/>
    <cellStyle name="Moneda 8 2 2 3 4 2" xfId="2469" xr:uid="{00000000-0005-0000-0000-0000950E0000}"/>
    <cellStyle name="Moneda 8 2 2 3 5" xfId="2470" xr:uid="{00000000-0005-0000-0000-0000960E0000}"/>
    <cellStyle name="Moneda 8 2 2 4" xfId="2471" xr:uid="{00000000-0005-0000-0000-0000970E0000}"/>
    <cellStyle name="Moneda 8 2 2 4 2" xfId="2472" xr:uid="{00000000-0005-0000-0000-0000980E0000}"/>
    <cellStyle name="Moneda 8 2 2 5" xfId="2473" xr:uid="{00000000-0005-0000-0000-0000990E0000}"/>
    <cellStyle name="Moneda 8 2 2 5 2" xfId="2474" xr:uid="{00000000-0005-0000-0000-00009A0E0000}"/>
    <cellStyle name="Moneda 8 2 2 6" xfId="2475" xr:uid="{00000000-0005-0000-0000-00009B0E0000}"/>
    <cellStyle name="Moneda 8 2 2 6 2" xfId="2476" xr:uid="{00000000-0005-0000-0000-00009C0E0000}"/>
    <cellStyle name="Moneda 8 2 2 7" xfId="2477" xr:uid="{00000000-0005-0000-0000-00009D0E0000}"/>
    <cellStyle name="Moneda 8 2 3" xfId="2478" xr:uid="{00000000-0005-0000-0000-00009E0E0000}"/>
    <cellStyle name="Moneda 8 2 3 2" xfId="2479" xr:uid="{00000000-0005-0000-0000-00009F0E0000}"/>
    <cellStyle name="Moneda 8 2 3 2 2" xfId="2480" xr:uid="{00000000-0005-0000-0000-0000A00E0000}"/>
    <cellStyle name="Moneda 8 2 3 2 2 2" xfId="2481" xr:uid="{00000000-0005-0000-0000-0000A10E0000}"/>
    <cellStyle name="Moneda 8 2 3 2 2 2 2" xfId="2482" xr:uid="{00000000-0005-0000-0000-0000A20E0000}"/>
    <cellStyle name="Moneda 8 2 3 2 2 3" xfId="2483" xr:uid="{00000000-0005-0000-0000-0000A30E0000}"/>
    <cellStyle name="Moneda 8 2 3 2 2 3 2" xfId="2484" xr:uid="{00000000-0005-0000-0000-0000A40E0000}"/>
    <cellStyle name="Moneda 8 2 3 2 2 4" xfId="2485" xr:uid="{00000000-0005-0000-0000-0000A50E0000}"/>
    <cellStyle name="Moneda 8 2 3 2 2 4 2" xfId="2486" xr:uid="{00000000-0005-0000-0000-0000A60E0000}"/>
    <cellStyle name="Moneda 8 2 3 2 2 5" xfId="2487" xr:uid="{00000000-0005-0000-0000-0000A70E0000}"/>
    <cellStyle name="Moneda 8 2 3 2 3" xfId="2488" xr:uid="{00000000-0005-0000-0000-0000A80E0000}"/>
    <cellStyle name="Moneda 8 2 3 2 3 2" xfId="2489" xr:uid="{00000000-0005-0000-0000-0000A90E0000}"/>
    <cellStyle name="Moneda 8 2 3 2 4" xfId="2490" xr:uid="{00000000-0005-0000-0000-0000AA0E0000}"/>
    <cellStyle name="Moneda 8 2 3 2 4 2" xfId="2491" xr:uid="{00000000-0005-0000-0000-0000AB0E0000}"/>
    <cellStyle name="Moneda 8 2 3 2 5" xfId="2492" xr:uid="{00000000-0005-0000-0000-0000AC0E0000}"/>
    <cellStyle name="Moneda 8 2 3 2 5 2" xfId="2493" xr:uid="{00000000-0005-0000-0000-0000AD0E0000}"/>
    <cellStyle name="Moneda 8 2 3 2 6" xfId="2494" xr:uid="{00000000-0005-0000-0000-0000AE0E0000}"/>
    <cellStyle name="Moneda 8 2 3 3" xfId="2495" xr:uid="{00000000-0005-0000-0000-0000AF0E0000}"/>
    <cellStyle name="Moneda 8 2 3 3 2" xfId="2496" xr:uid="{00000000-0005-0000-0000-0000B00E0000}"/>
    <cellStyle name="Moneda 8 2 3 3 2 2" xfId="2497" xr:uid="{00000000-0005-0000-0000-0000B10E0000}"/>
    <cellStyle name="Moneda 8 2 3 3 3" xfId="2498" xr:uid="{00000000-0005-0000-0000-0000B20E0000}"/>
    <cellStyle name="Moneda 8 2 3 3 3 2" xfId="2499" xr:uid="{00000000-0005-0000-0000-0000B30E0000}"/>
    <cellStyle name="Moneda 8 2 3 3 4" xfId="2500" xr:uid="{00000000-0005-0000-0000-0000B40E0000}"/>
    <cellStyle name="Moneda 8 2 3 3 4 2" xfId="2501" xr:uid="{00000000-0005-0000-0000-0000B50E0000}"/>
    <cellStyle name="Moneda 8 2 3 3 5" xfId="2502" xr:uid="{00000000-0005-0000-0000-0000B60E0000}"/>
    <cellStyle name="Moneda 8 2 3 4" xfId="2503" xr:uid="{00000000-0005-0000-0000-0000B70E0000}"/>
    <cellStyle name="Moneda 8 2 3 4 2" xfId="2504" xr:uid="{00000000-0005-0000-0000-0000B80E0000}"/>
    <cellStyle name="Moneda 8 2 3 5" xfId="2505" xr:uid="{00000000-0005-0000-0000-0000B90E0000}"/>
    <cellStyle name="Moneda 8 2 3 5 2" xfId="2506" xr:uid="{00000000-0005-0000-0000-0000BA0E0000}"/>
    <cellStyle name="Moneda 8 2 3 6" xfId="2507" xr:uid="{00000000-0005-0000-0000-0000BB0E0000}"/>
    <cellStyle name="Moneda 8 2 3 6 2" xfId="2508" xr:uid="{00000000-0005-0000-0000-0000BC0E0000}"/>
    <cellStyle name="Moneda 8 2 3 7" xfId="2509" xr:uid="{00000000-0005-0000-0000-0000BD0E0000}"/>
    <cellStyle name="Moneda 8 2 4" xfId="2510" xr:uid="{00000000-0005-0000-0000-0000BE0E0000}"/>
    <cellStyle name="Moneda 8 2 4 2" xfId="2511" xr:uid="{00000000-0005-0000-0000-0000BF0E0000}"/>
    <cellStyle name="Moneda 8 2 4 2 2" xfId="2512" xr:uid="{00000000-0005-0000-0000-0000C00E0000}"/>
    <cellStyle name="Moneda 8 2 4 2 2 2" xfId="2513" xr:uid="{00000000-0005-0000-0000-0000C10E0000}"/>
    <cellStyle name="Moneda 8 2 4 2 2 2 2" xfId="2514" xr:uid="{00000000-0005-0000-0000-0000C20E0000}"/>
    <cellStyle name="Moneda 8 2 4 2 2 3" xfId="2515" xr:uid="{00000000-0005-0000-0000-0000C30E0000}"/>
    <cellStyle name="Moneda 8 2 4 2 2 3 2" xfId="2516" xr:uid="{00000000-0005-0000-0000-0000C40E0000}"/>
    <cellStyle name="Moneda 8 2 4 2 2 4" xfId="2517" xr:uid="{00000000-0005-0000-0000-0000C50E0000}"/>
    <cellStyle name="Moneda 8 2 4 2 2 4 2" xfId="2518" xr:uid="{00000000-0005-0000-0000-0000C60E0000}"/>
    <cellStyle name="Moneda 8 2 4 2 2 5" xfId="2519" xr:uid="{00000000-0005-0000-0000-0000C70E0000}"/>
    <cellStyle name="Moneda 8 2 4 2 3" xfId="2520" xr:uid="{00000000-0005-0000-0000-0000C80E0000}"/>
    <cellStyle name="Moneda 8 2 4 2 3 2" xfId="2521" xr:uid="{00000000-0005-0000-0000-0000C90E0000}"/>
    <cellStyle name="Moneda 8 2 4 2 4" xfId="2522" xr:uid="{00000000-0005-0000-0000-0000CA0E0000}"/>
    <cellStyle name="Moneda 8 2 4 2 4 2" xfId="2523" xr:uid="{00000000-0005-0000-0000-0000CB0E0000}"/>
    <cellStyle name="Moneda 8 2 4 2 5" xfId="2524" xr:uid="{00000000-0005-0000-0000-0000CC0E0000}"/>
    <cellStyle name="Moneda 8 2 4 2 5 2" xfId="2525" xr:uid="{00000000-0005-0000-0000-0000CD0E0000}"/>
    <cellStyle name="Moneda 8 2 4 2 6" xfId="2526" xr:uid="{00000000-0005-0000-0000-0000CE0E0000}"/>
    <cellStyle name="Moneda 8 2 4 3" xfId="2527" xr:uid="{00000000-0005-0000-0000-0000CF0E0000}"/>
    <cellStyle name="Moneda 8 2 4 3 2" xfId="2528" xr:uid="{00000000-0005-0000-0000-0000D00E0000}"/>
    <cellStyle name="Moneda 8 2 4 3 2 2" xfId="2529" xr:uid="{00000000-0005-0000-0000-0000D10E0000}"/>
    <cellStyle name="Moneda 8 2 4 3 3" xfId="2530" xr:uid="{00000000-0005-0000-0000-0000D20E0000}"/>
    <cellStyle name="Moneda 8 2 4 3 3 2" xfId="2531" xr:uid="{00000000-0005-0000-0000-0000D30E0000}"/>
    <cellStyle name="Moneda 8 2 4 3 4" xfId="2532" xr:uid="{00000000-0005-0000-0000-0000D40E0000}"/>
    <cellStyle name="Moneda 8 2 4 3 4 2" xfId="2533" xr:uid="{00000000-0005-0000-0000-0000D50E0000}"/>
    <cellStyle name="Moneda 8 2 4 3 5" xfId="2534" xr:uid="{00000000-0005-0000-0000-0000D60E0000}"/>
    <cellStyle name="Moneda 8 2 4 4" xfId="2535" xr:uid="{00000000-0005-0000-0000-0000D70E0000}"/>
    <cellStyle name="Moneda 8 2 4 4 2" xfId="2536" xr:uid="{00000000-0005-0000-0000-0000D80E0000}"/>
    <cellStyle name="Moneda 8 2 4 5" xfId="2537" xr:uid="{00000000-0005-0000-0000-0000D90E0000}"/>
    <cellStyle name="Moneda 8 2 4 5 2" xfId="2538" xr:uid="{00000000-0005-0000-0000-0000DA0E0000}"/>
    <cellStyle name="Moneda 8 2 4 6" xfId="2539" xr:uid="{00000000-0005-0000-0000-0000DB0E0000}"/>
    <cellStyle name="Moneda 8 2 4 6 2" xfId="2540" xr:uid="{00000000-0005-0000-0000-0000DC0E0000}"/>
    <cellStyle name="Moneda 8 2 4 7" xfId="2541" xr:uid="{00000000-0005-0000-0000-0000DD0E0000}"/>
    <cellStyle name="Moneda 8 2 5" xfId="2542" xr:uid="{00000000-0005-0000-0000-0000DE0E0000}"/>
    <cellStyle name="Moneda 8 2 5 2" xfId="2543" xr:uid="{00000000-0005-0000-0000-0000DF0E0000}"/>
    <cellStyle name="Moneda 8 2 5 2 2" xfId="2544" xr:uid="{00000000-0005-0000-0000-0000E00E0000}"/>
    <cellStyle name="Moneda 8 2 5 2 2 2" xfId="2545" xr:uid="{00000000-0005-0000-0000-0000E10E0000}"/>
    <cellStyle name="Moneda 8 2 5 2 3" xfId="2546" xr:uid="{00000000-0005-0000-0000-0000E20E0000}"/>
    <cellStyle name="Moneda 8 2 5 2 3 2" xfId="2547" xr:uid="{00000000-0005-0000-0000-0000E30E0000}"/>
    <cellStyle name="Moneda 8 2 5 2 4" xfId="2548" xr:uid="{00000000-0005-0000-0000-0000E40E0000}"/>
    <cellStyle name="Moneda 8 2 5 2 4 2" xfId="2549" xr:uid="{00000000-0005-0000-0000-0000E50E0000}"/>
    <cellStyle name="Moneda 8 2 5 2 5" xfId="2550" xr:uid="{00000000-0005-0000-0000-0000E60E0000}"/>
    <cellStyle name="Moneda 8 2 5 3" xfId="2551" xr:uid="{00000000-0005-0000-0000-0000E70E0000}"/>
    <cellStyle name="Moneda 8 2 5 3 2" xfId="2552" xr:uid="{00000000-0005-0000-0000-0000E80E0000}"/>
    <cellStyle name="Moneda 8 2 5 4" xfId="2553" xr:uid="{00000000-0005-0000-0000-0000E90E0000}"/>
    <cellStyle name="Moneda 8 2 5 4 2" xfId="2554" xr:uid="{00000000-0005-0000-0000-0000EA0E0000}"/>
    <cellStyle name="Moneda 8 2 5 5" xfId="2555" xr:uid="{00000000-0005-0000-0000-0000EB0E0000}"/>
    <cellStyle name="Moneda 8 2 5 5 2" xfId="2556" xr:uid="{00000000-0005-0000-0000-0000EC0E0000}"/>
    <cellStyle name="Moneda 8 2 5 6" xfId="2557" xr:uid="{00000000-0005-0000-0000-0000ED0E0000}"/>
    <cellStyle name="Moneda 8 2 6" xfId="2558" xr:uid="{00000000-0005-0000-0000-0000EE0E0000}"/>
    <cellStyle name="Moneda 8 2 6 2" xfId="2559" xr:uid="{00000000-0005-0000-0000-0000EF0E0000}"/>
    <cellStyle name="Moneda 8 2 6 2 2" xfId="2560" xr:uid="{00000000-0005-0000-0000-0000F00E0000}"/>
    <cellStyle name="Moneda 8 2 6 3" xfId="2561" xr:uid="{00000000-0005-0000-0000-0000F10E0000}"/>
    <cellStyle name="Moneda 8 2 6 3 2" xfId="2562" xr:uid="{00000000-0005-0000-0000-0000F20E0000}"/>
    <cellStyle name="Moneda 8 2 6 4" xfId="2563" xr:uid="{00000000-0005-0000-0000-0000F30E0000}"/>
    <cellStyle name="Moneda 8 2 6 4 2" xfId="2564" xr:uid="{00000000-0005-0000-0000-0000F40E0000}"/>
    <cellStyle name="Moneda 8 2 6 5" xfId="2565" xr:uid="{00000000-0005-0000-0000-0000F50E0000}"/>
    <cellStyle name="Moneda 8 2 7" xfId="2566" xr:uid="{00000000-0005-0000-0000-0000F60E0000}"/>
    <cellStyle name="Moneda 8 2 7 2" xfId="2567" xr:uid="{00000000-0005-0000-0000-0000F70E0000}"/>
    <cellStyle name="Moneda 8 2 8" xfId="2568" xr:uid="{00000000-0005-0000-0000-0000F80E0000}"/>
    <cellStyle name="Moneda 8 2 8 2" xfId="2569" xr:uid="{00000000-0005-0000-0000-0000F90E0000}"/>
    <cellStyle name="Moneda 8 2 9" xfId="2570" xr:uid="{00000000-0005-0000-0000-0000FA0E0000}"/>
    <cellStyle name="Moneda 8 2 9 2" xfId="2571" xr:uid="{00000000-0005-0000-0000-0000FB0E0000}"/>
    <cellStyle name="Moneda 8 3" xfId="2572" xr:uid="{00000000-0005-0000-0000-0000FC0E0000}"/>
    <cellStyle name="Moneda 8 3 2" xfId="2573" xr:uid="{00000000-0005-0000-0000-0000FD0E0000}"/>
    <cellStyle name="Moneda 8 3 2 2" xfId="2574" xr:uid="{00000000-0005-0000-0000-0000FE0E0000}"/>
    <cellStyle name="Moneda 8 3 2 2 2" xfId="2575" xr:uid="{00000000-0005-0000-0000-0000FF0E0000}"/>
    <cellStyle name="Moneda 8 3 2 2 2 2" xfId="2576" xr:uid="{00000000-0005-0000-0000-0000000F0000}"/>
    <cellStyle name="Moneda 8 3 2 2 3" xfId="2577" xr:uid="{00000000-0005-0000-0000-0000010F0000}"/>
    <cellStyle name="Moneda 8 3 2 2 3 2" xfId="2578" xr:uid="{00000000-0005-0000-0000-0000020F0000}"/>
    <cellStyle name="Moneda 8 3 2 2 4" xfId="2579" xr:uid="{00000000-0005-0000-0000-0000030F0000}"/>
    <cellStyle name="Moneda 8 3 2 2 4 2" xfId="2580" xr:uid="{00000000-0005-0000-0000-0000040F0000}"/>
    <cellStyle name="Moneda 8 3 2 2 5" xfId="2581" xr:uid="{00000000-0005-0000-0000-0000050F0000}"/>
    <cellStyle name="Moneda 8 3 2 3" xfId="2582" xr:uid="{00000000-0005-0000-0000-0000060F0000}"/>
    <cellStyle name="Moneda 8 3 2 3 2" xfId="2583" xr:uid="{00000000-0005-0000-0000-0000070F0000}"/>
    <cellStyle name="Moneda 8 3 2 4" xfId="2584" xr:uid="{00000000-0005-0000-0000-0000080F0000}"/>
    <cellStyle name="Moneda 8 3 2 4 2" xfId="2585" xr:uid="{00000000-0005-0000-0000-0000090F0000}"/>
    <cellStyle name="Moneda 8 3 2 5" xfId="2586" xr:uid="{00000000-0005-0000-0000-00000A0F0000}"/>
    <cellStyle name="Moneda 8 3 2 5 2" xfId="2587" xr:uid="{00000000-0005-0000-0000-00000B0F0000}"/>
    <cellStyle name="Moneda 8 3 2 6" xfId="2588" xr:uid="{00000000-0005-0000-0000-00000C0F0000}"/>
    <cellStyle name="Moneda 8 3 3" xfId="2589" xr:uid="{00000000-0005-0000-0000-00000D0F0000}"/>
    <cellStyle name="Moneda 8 3 3 2" xfId="2590" xr:uid="{00000000-0005-0000-0000-00000E0F0000}"/>
    <cellStyle name="Moneda 8 3 3 2 2" xfId="2591" xr:uid="{00000000-0005-0000-0000-00000F0F0000}"/>
    <cellStyle name="Moneda 8 3 3 3" xfId="2592" xr:uid="{00000000-0005-0000-0000-0000100F0000}"/>
    <cellStyle name="Moneda 8 3 3 3 2" xfId="2593" xr:uid="{00000000-0005-0000-0000-0000110F0000}"/>
    <cellStyle name="Moneda 8 3 3 4" xfId="2594" xr:uid="{00000000-0005-0000-0000-0000120F0000}"/>
    <cellStyle name="Moneda 8 3 3 4 2" xfId="2595" xr:uid="{00000000-0005-0000-0000-0000130F0000}"/>
    <cellStyle name="Moneda 8 3 3 5" xfId="2596" xr:uid="{00000000-0005-0000-0000-0000140F0000}"/>
    <cellStyle name="Moneda 8 3 4" xfId="2597" xr:uid="{00000000-0005-0000-0000-0000150F0000}"/>
    <cellStyle name="Moneda 8 3 4 2" xfId="2598" xr:uid="{00000000-0005-0000-0000-0000160F0000}"/>
    <cellStyle name="Moneda 8 3 5" xfId="2599" xr:uid="{00000000-0005-0000-0000-0000170F0000}"/>
    <cellStyle name="Moneda 8 3 5 2" xfId="2600" xr:uid="{00000000-0005-0000-0000-0000180F0000}"/>
    <cellStyle name="Moneda 8 3 6" xfId="2601" xr:uid="{00000000-0005-0000-0000-0000190F0000}"/>
    <cellStyle name="Moneda 8 3 6 2" xfId="2602" xr:uid="{00000000-0005-0000-0000-00001A0F0000}"/>
    <cellStyle name="Moneda 8 3 7" xfId="2603" xr:uid="{00000000-0005-0000-0000-00001B0F0000}"/>
    <cellStyle name="Moneda 8 4" xfId="2604" xr:uid="{00000000-0005-0000-0000-00001C0F0000}"/>
    <cellStyle name="Moneda 8 4 2" xfId="2605" xr:uid="{00000000-0005-0000-0000-00001D0F0000}"/>
    <cellStyle name="Moneda 8 4 2 2" xfId="2606" xr:uid="{00000000-0005-0000-0000-00001E0F0000}"/>
    <cellStyle name="Moneda 8 4 2 2 2" xfId="2607" xr:uid="{00000000-0005-0000-0000-00001F0F0000}"/>
    <cellStyle name="Moneda 8 4 2 2 2 2" xfId="2608" xr:uid="{00000000-0005-0000-0000-0000200F0000}"/>
    <cellStyle name="Moneda 8 4 2 2 3" xfId="2609" xr:uid="{00000000-0005-0000-0000-0000210F0000}"/>
    <cellStyle name="Moneda 8 4 2 2 3 2" xfId="2610" xr:uid="{00000000-0005-0000-0000-0000220F0000}"/>
    <cellStyle name="Moneda 8 4 2 2 4" xfId="2611" xr:uid="{00000000-0005-0000-0000-0000230F0000}"/>
    <cellStyle name="Moneda 8 4 2 2 4 2" xfId="2612" xr:uid="{00000000-0005-0000-0000-0000240F0000}"/>
    <cellStyle name="Moneda 8 4 2 2 5" xfId="2613" xr:uid="{00000000-0005-0000-0000-0000250F0000}"/>
    <cellStyle name="Moneda 8 4 2 3" xfId="2614" xr:uid="{00000000-0005-0000-0000-0000260F0000}"/>
    <cellStyle name="Moneda 8 4 2 3 2" xfId="2615" xr:uid="{00000000-0005-0000-0000-0000270F0000}"/>
    <cellStyle name="Moneda 8 4 2 4" xfId="2616" xr:uid="{00000000-0005-0000-0000-0000280F0000}"/>
    <cellStyle name="Moneda 8 4 2 4 2" xfId="2617" xr:uid="{00000000-0005-0000-0000-0000290F0000}"/>
    <cellStyle name="Moneda 8 4 2 5" xfId="2618" xr:uid="{00000000-0005-0000-0000-00002A0F0000}"/>
    <cellStyle name="Moneda 8 4 2 5 2" xfId="2619" xr:uid="{00000000-0005-0000-0000-00002B0F0000}"/>
    <cellStyle name="Moneda 8 4 2 6" xfId="2620" xr:uid="{00000000-0005-0000-0000-00002C0F0000}"/>
    <cellStyle name="Moneda 8 4 3" xfId="2621" xr:uid="{00000000-0005-0000-0000-00002D0F0000}"/>
    <cellStyle name="Moneda 8 4 3 2" xfId="2622" xr:uid="{00000000-0005-0000-0000-00002E0F0000}"/>
    <cellStyle name="Moneda 8 4 3 2 2" xfId="2623" xr:uid="{00000000-0005-0000-0000-00002F0F0000}"/>
    <cellStyle name="Moneda 8 4 3 3" xfId="2624" xr:uid="{00000000-0005-0000-0000-0000300F0000}"/>
    <cellStyle name="Moneda 8 4 3 3 2" xfId="2625" xr:uid="{00000000-0005-0000-0000-0000310F0000}"/>
    <cellStyle name="Moneda 8 4 3 4" xfId="2626" xr:uid="{00000000-0005-0000-0000-0000320F0000}"/>
    <cellStyle name="Moneda 8 4 3 4 2" xfId="2627" xr:uid="{00000000-0005-0000-0000-0000330F0000}"/>
    <cellStyle name="Moneda 8 4 3 5" xfId="2628" xr:uid="{00000000-0005-0000-0000-0000340F0000}"/>
    <cellStyle name="Moneda 8 4 4" xfId="2629" xr:uid="{00000000-0005-0000-0000-0000350F0000}"/>
    <cellStyle name="Moneda 8 4 4 2" xfId="2630" xr:uid="{00000000-0005-0000-0000-0000360F0000}"/>
    <cellStyle name="Moneda 8 4 5" xfId="2631" xr:uid="{00000000-0005-0000-0000-0000370F0000}"/>
    <cellStyle name="Moneda 8 4 5 2" xfId="2632" xr:uid="{00000000-0005-0000-0000-0000380F0000}"/>
    <cellStyle name="Moneda 8 4 6" xfId="2633" xr:uid="{00000000-0005-0000-0000-0000390F0000}"/>
    <cellStyle name="Moneda 8 4 6 2" xfId="2634" xr:uid="{00000000-0005-0000-0000-00003A0F0000}"/>
    <cellStyle name="Moneda 8 4 7" xfId="2635" xr:uid="{00000000-0005-0000-0000-00003B0F0000}"/>
    <cellStyle name="Moneda 8 5" xfId="2636" xr:uid="{00000000-0005-0000-0000-00003C0F0000}"/>
    <cellStyle name="Moneda 8 5 2" xfId="2637" xr:uid="{00000000-0005-0000-0000-00003D0F0000}"/>
    <cellStyle name="Moneda 8 5 2 2" xfId="2638" xr:uid="{00000000-0005-0000-0000-00003E0F0000}"/>
    <cellStyle name="Moneda 8 5 2 2 2" xfId="2639" xr:uid="{00000000-0005-0000-0000-00003F0F0000}"/>
    <cellStyle name="Moneda 8 5 2 2 2 2" xfId="2640" xr:uid="{00000000-0005-0000-0000-0000400F0000}"/>
    <cellStyle name="Moneda 8 5 2 2 3" xfId="2641" xr:uid="{00000000-0005-0000-0000-0000410F0000}"/>
    <cellStyle name="Moneda 8 5 2 2 3 2" xfId="2642" xr:uid="{00000000-0005-0000-0000-0000420F0000}"/>
    <cellStyle name="Moneda 8 5 2 2 4" xfId="2643" xr:uid="{00000000-0005-0000-0000-0000430F0000}"/>
    <cellStyle name="Moneda 8 5 2 2 4 2" xfId="2644" xr:uid="{00000000-0005-0000-0000-0000440F0000}"/>
    <cellStyle name="Moneda 8 5 2 2 5" xfId="2645" xr:uid="{00000000-0005-0000-0000-0000450F0000}"/>
    <cellStyle name="Moneda 8 5 2 3" xfId="2646" xr:uid="{00000000-0005-0000-0000-0000460F0000}"/>
    <cellStyle name="Moneda 8 5 2 3 2" xfId="2647" xr:uid="{00000000-0005-0000-0000-0000470F0000}"/>
    <cellStyle name="Moneda 8 5 2 4" xfId="2648" xr:uid="{00000000-0005-0000-0000-0000480F0000}"/>
    <cellStyle name="Moneda 8 5 2 4 2" xfId="2649" xr:uid="{00000000-0005-0000-0000-0000490F0000}"/>
    <cellStyle name="Moneda 8 5 2 5" xfId="2650" xr:uid="{00000000-0005-0000-0000-00004A0F0000}"/>
    <cellStyle name="Moneda 8 5 2 5 2" xfId="2651" xr:uid="{00000000-0005-0000-0000-00004B0F0000}"/>
    <cellStyle name="Moneda 8 5 2 6" xfId="2652" xr:uid="{00000000-0005-0000-0000-00004C0F0000}"/>
    <cellStyle name="Moneda 8 5 3" xfId="2653" xr:uid="{00000000-0005-0000-0000-00004D0F0000}"/>
    <cellStyle name="Moneda 8 5 3 2" xfId="2654" xr:uid="{00000000-0005-0000-0000-00004E0F0000}"/>
    <cellStyle name="Moneda 8 5 3 2 2" xfId="2655" xr:uid="{00000000-0005-0000-0000-00004F0F0000}"/>
    <cellStyle name="Moneda 8 5 3 3" xfId="2656" xr:uid="{00000000-0005-0000-0000-0000500F0000}"/>
    <cellStyle name="Moneda 8 5 3 3 2" xfId="2657" xr:uid="{00000000-0005-0000-0000-0000510F0000}"/>
    <cellStyle name="Moneda 8 5 3 4" xfId="2658" xr:uid="{00000000-0005-0000-0000-0000520F0000}"/>
    <cellStyle name="Moneda 8 5 3 4 2" xfId="2659" xr:uid="{00000000-0005-0000-0000-0000530F0000}"/>
    <cellStyle name="Moneda 8 5 3 5" xfId="2660" xr:uid="{00000000-0005-0000-0000-0000540F0000}"/>
    <cellStyle name="Moneda 8 5 4" xfId="2661" xr:uid="{00000000-0005-0000-0000-0000550F0000}"/>
    <cellStyle name="Moneda 8 5 4 2" xfId="2662" xr:uid="{00000000-0005-0000-0000-0000560F0000}"/>
    <cellStyle name="Moneda 8 5 5" xfId="2663" xr:uid="{00000000-0005-0000-0000-0000570F0000}"/>
    <cellStyle name="Moneda 8 5 5 2" xfId="2664" xr:uid="{00000000-0005-0000-0000-0000580F0000}"/>
    <cellStyle name="Moneda 8 5 6" xfId="2665" xr:uid="{00000000-0005-0000-0000-0000590F0000}"/>
    <cellStyle name="Moneda 8 5 6 2" xfId="2666" xr:uid="{00000000-0005-0000-0000-00005A0F0000}"/>
    <cellStyle name="Moneda 8 5 7" xfId="2667" xr:uid="{00000000-0005-0000-0000-00005B0F0000}"/>
    <cellStyle name="Moneda 8 6" xfId="2668" xr:uid="{00000000-0005-0000-0000-00005C0F0000}"/>
    <cellStyle name="Moneda 8 6 2" xfId="2669" xr:uid="{00000000-0005-0000-0000-00005D0F0000}"/>
    <cellStyle name="Moneda 8 6 2 2" xfId="2670" xr:uid="{00000000-0005-0000-0000-00005E0F0000}"/>
    <cellStyle name="Moneda 8 6 2 2 2" xfId="2671" xr:uid="{00000000-0005-0000-0000-00005F0F0000}"/>
    <cellStyle name="Moneda 8 6 2 3" xfId="2672" xr:uid="{00000000-0005-0000-0000-0000600F0000}"/>
    <cellStyle name="Moneda 8 6 2 3 2" xfId="2673" xr:uid="{00000000-0005-0000-0000-0000610F0000}"/>
    <cellStyle name="Moneda 8 6 2 4" xfId="2674" xr:uid="{00000000-0005-0000-0000-0000620F0000}"/>
    <cellStyle name="Moneda 8 6 2 4 2" xfId="2675" xr:uid="{00000000-0005-0000-0000-0000630F0000}"/>
    <cellStyle name="Moneda 8 6 2 5" xfId="2676" xr:uid="{00000000-0005-0000-0000-0000640F0000}"/>
    <cellStyle name="Moneda 8 6 3" xfId="2677" xr:uid="{00000000-0005-0000-0000-0000650F0000}"/>
    <cellStyle name="Moneda 8 6 3 2" xfId="2678" xr:uid="{00000000-0005-0000-0000-0000660F0000}"/>
    <cellStyle name="Moneda 8 6 4" xfId="2679" xr:uid="{00000000-0005-0000-0000-0000670F0000}"/>
    <cellStyle name="Moneda 8 6 4 2" xfId="2680" xr:uid="{00000000-0005-0000-0000-0000680F0000}"/>
    <cellStyle name="Moneda 8 6 5" xfId="2681" xr:uid="{00000000-0005-0000-0000-0000690F0000}"/>
    <cellStyle name="Moneda 8 6 5 2" xfId="2682" xr:uid="{00000000-0005-0000-0000-00006A0F0000}"/>
    <cellStyle name="Moneda 8 6 6" xfId="2683" xr:uid="{00000000-0005-0000-0000-00006B0F0000}"/>
    <cellStyle name="Moneda 8 7" xfId="2684" xr:uid="{00000000-0005-0000-0000-00006C0F0000}"/>
    <cellStyle name="Moneda 8 7 2" xfId="2685" xr:uid="{00000000-0005-0000-0000-00006D0F0000}"/>
    <cellStyle name="Moneda 8 7 2 2" xfId="2686" xr:uid="{00000000-0005-0000-0000-00006E0F0000}"/>
    <cellStyle name="Moneda 8 7 3" xfId="2687" xr:uid="{00000000-0005-0000-0000-00006F0F0000}"/>
    <cellStyle name="Moneda 8 7 3 2" xfId="2688" xr:uid="{00000000-0005-0000-0000-0000700F0000}"/>
    <cellStyle name="Moneda 8 7 4" xfId="2689" xr:uid="{00000000-0005-0000-0000-0000710F0000}"/>
    <cellStyle name="Moneda 8 7 4 2" xfId="2690" xr:uid="{00000000-0005-0000-0000-0000720F0000}"/>
    <cellStyle name="Moneda 8 7 5" xfId="2691" xr:uid="{00000000-0005-0000-0000-0000730F0000}"/>
    <cellStyle name="Moneda 8 8" xfId="2692" xr:uid="{00000000-0005-0000-0000-0000740F0000}"/>
    <cellStyle name="Moneda 8 8 2" xfId="2693" xr:uid="{00000000-0005-0000-0000-0000750F0000}"/>
    <cellStyle name="Moneda 8 8 2 2" xfId="2694" xr:uid="{00000000-0005-0000-0000-0000760F0000}"/>
    <cellStyle name="Moneda 8 8 3" xfId="2695" xr:uid="{00000000-0005-0000-0000-0000770F0000}"/>
    <cellStyle name="Moneda 8 8 3 2" xfId="2696" xr:uid="{00000000-0005-0000-0000-0000780F0000}"/>
    <cellStyle name="Moneda 8 8 4" xfId="2697" xr:uid="{00000000-0005-0000-0000-0000790F0000}"/>
    <cellStyle name="Moneda 8 8 4 2" xfId="2698" xr:uid="{00000000-0005-0000-0000-00007A0F0000}"/>
    <cellStyle name="Moneda 8 8 5" xfId="2699" xr:uid="{00000000-0005-0000-0000-00007B0F0000}"/>
    <cellStyle name="Moneda 8 9" xfId="2700" xr:uid="{00000000-0005-0000-0000-00007C0F0000}"/>
    <cellStyle name="Moneda 8 9 2" xfId="2701" xr:uid="{00000000-0005-0000-0000-00007D0F0000}"/>
    <cellStyle name="Moneda 80" xfId="6235" xr:uid="{DD388158-64DE-43E1-A863-BB59B0123E79}"/>
    <cellStyle name="Moneda 81" xfId="6236" xr:uid="{FF5D7132-BECE-4978-B97F-FBC471E44DA0}"/>
    <cellStyle name="Moneda 82" xfId="6231" xr:uid="{B6BDEA94-B715-4DB9-AD63-3DB5559CE415}"/>
    <cellStyle name="Moneda 83" xfId="6238" xr:uid="{B3371AB1-291C-4A4E-B304-CB9B9D203BAF}"/>
    <cellStyle name="Moneda 84" xfId="6239" xr:uid="{4B164FD9-23C8-424F-A50F-AF5C3CECE673}"/>
    <cellStyle name="Moneda 85" xfId="6291" xr:uid="{5D978B17-0111-4A73-AC87-BD84646F9F41}"/>
    <cellStyle name="Moneda 86" xfId="6255" xr:uid="{F2BCF06D-1A85-42CD-8854-E00711DF4B95}"/>
    <cellStyle name="Moneda 9" xfId="2702" xr:uid="{00000000-0005-0000-0000-00007E0F0000}"/>
    <cellStyle name="Moneda 9 10" xfId="2703" xr:uid="{00000000-0005-0000-0000-00007F0F0000}"/>
    <cellStyle name="Moneda 9 11" xfId="2704" xr:uid="{00000000-0005-0000-0000-0000800F0000}"/>
    <cellStyle name="Moneda 9 2" xfId="2705" xr:uid="{00000000-0005-0000-0000-0000810F0000}"/>
    <cellStyle name="Moneda 9 2 2" xfId="2706" xr:uid="{00000000-0005-0000-0000-0000820F0000}"/>
    <cellStyle name="Moneda 9 2 2 2" xfId="2707" xr:uid="{00000000-0005-0000-0000-0000830F0000}"/>
    <cellStyle name="Moneda 9 2 2 2 2" xfId="2708" xr:uid="{00000000-0005-0000-0000-0000840F0000}"/>
    <cellStyle name="Moneda 9 2 2 2 2 2" xfId="2709" xr:uid="{00000000-0005-0000-0000-0000850F0000}"/>
    <cellStyle name="Moneda 9 2 2 2 3" xfId="2710" xr:uid="{00000000-0005-0000-0000-0000860F0000}"/>
    <cellStyle name="Moneda 9 2 2 2 3 2" xfId="2711" xr:uid="{00000000-0005-0000-0000-0000870F0000}"/>
    <cellStyle name="Moneda 9 2 2 2 4" xfId="2712" xr:uid="{00000000-0005-0000-0000-0000880F0000}"/>
    <cellStyle name="Moneda 9 2 2 2 4 2" xfId="2713" xr:uid="{00000000-0005-0000-0000-0000890F0000}"/>
    <cellStyle name="Moneda 9 2 2 2 5" xfId="2714" xr:uid="{00000000-0005-0000-0000-00008A0F0000}"/>
    <cellStyle name="Moneda 9 2 2 3" xfId="2715" xr:uid="{00000000-0005-0000-0000-00008B0F0000}"/>
    <cellStyle name="Moneda 9 2 2 3 2" xfId="2716" xr:uid="{00000000-0005-0000-0000-00008C0F0000}"/>
    <cellStyle name="Moneda 9 2 2 4" xfId="2717" xr:uid="{00000000-0005-0000-0000-00008D0F0000}"/>
    <cellStyle name="Moneda 9 2 2 4 2" xfId="2718" xr:uid="{00000000-0005-0000-0000-00008E0F0000}"/>
    <cellStyle name="Moneda 9 2 2 5" xfId="2719" xr:uid="{00000000-0005-0000-0000-00008F0F0000}"/>
    <cellStyle name="Moneda 9 2 2 5 2" xfId="2720" xr:uid="{00000000-0005-0000-0000-0000900F0000}"/>
    <cellStyle name="Moneda 9 2 2 6" xfId="2721" xr:uid="{00000000-0005-0000-0000-0000910F0000}"/>
    <cellStyle name="Moneda 9 2 3" xfId="2722" xr:uid="{00000000-0005-0000-0000-0000920F0000}"/>
    <cellStyle name="Moneda 9 2 3 2" xfId="2723" xr:uid="{00000000-0005-0000-0000-0000930F0000}"/>
    <cellStyle name="Moneda 9 2 3 2 2" xfId="2724" xr:uid="{00000000-0005-0000-0000-0000940F0000}"/>
    <cellStyle name="Moneda 9 2 3 3" xfId="2725" xr:uid="{00000000-0005-0000-0000-0000950F0000}"/>
    <cellStyle name="Moneda 9 2 3 3 2" xfId="2726" xr:uid="{00000000-0005-0000-0000-0000960F0000}"/>
    <cellStyle name="Moneda 9 2 3 4" xfId="2727" xr:uid="{00000000-0005-0000-0000-0000970F0000}"/>
    <cellStyle name="Moneda 9 2 3 4 2" xfId="2728" xr:uid="{00000000-0005-0000-0000-0000980F0000}"/>
    <cellStyle name="Moneda 9 2 3 5" xfId="2729" xr:uid="{00000000-0005-0000-0000-0000990F0000}"/>
    <cellStyle name="Moneda 9 2 4" xfId="2730" xr:uid="{00000000-0005-0000-0000-00009A0F0000}"/>
    <cellStyle name="Moneda 9 2 4 2" xfId="2731" xr:uid="{00000000-0005-0000-0000-00009B0F0000}"/>
    <cellStyle name="Moneda 9 2 5" xfId="2732" xr:uid="{00000000-0005-0000-0000-00009C0F0000}"/>
    <cellStyle name="Moneda 9 2 5 2" xfId="2733" xr:uid="{00000000-0005-0000-0000-00009D0F0000}"/>
    <cellStyle name="Moneda 9 2 6" xfId="2734" xr:uid="{00000000-0005-0000-0000-00009E0F0000}"/>
    <cellStyle name="Moneda 9 2 6 2" xfId="2735" xr:uid="{00000000-0005-0000-0000-00009F0F0000}"/>
    <cellStyle name="Moneda 9 2 7" xfId="2736" xr:uid="{00000000-0005-0000-0000-0000A00F0000}"/>
    <cellStyle name="Moneda 9 2 8" xfId="2737" xr:uid="{00000000-0005-0000-0000-0000A10F0000}"/>
    <cellStyle name="Moneda 9 3" xfId="2738" xr:uid="{00000000-0005-0000-0000-0000A20F0000}"/>
    <cellStyle name="Moneda 9 3 2" xfId="2739" xr:uid="{00000000-0005-0000-0000-0000A30F0000}"/>
    <cellStyle name="Moneda 9 3 2 2" xfId="2740" xr:uid="{00000000-0005-0000-0000-0000A40F0000}"/>
    <cellStyle name="Moneda 9 3 2 2 2" xfId="2741" xr:uid="{00000000-0005-0000-0000-0000A50F0000}"/>
    <cellStyle name="Moneda 9 3 2 2 2 2" xfId="2742" xr:uid="{00000000-0005-0000-0000-0000A60F0000}"/>
    <cellStyle name="Moneda 9 3 2 2 3" xfId="2743" xr:uid="{00000000-0005-0000-0000-0000A70F0000}"/>
    <cellStyle name="Moneda 9 3 2 2 3 2" xfId="2744" xr:uid="{00000000-0005-0000-0000-0000A80F0000}"/>
    <cellStyle name="Moneda 9 3 2 2 4" xfId="2745" xr:uid="{00000000-0005-0000-0000-0000A90F0000}"/>
    <cellStyle name="Moneda 9 3 2 2 4 2" xfId="2746" xr:uid="{00000000-0005-0000-0000-0000AA0F0000}"/>
    <cellStyle name="Moneda 9 3 2 2 5" xfId="2747" xr:uid="{00000000-0005-0000-0000-0000AB0F0000}"/>
    <cellStyle name="Moneda 9 3 2 3" xfId="2748" xr:uid="{00000000-0005-0000-0000-0000AC0F0000}"/>
    <cellStyle name="Moneda 9 3 2 3 2" xfId="2749" xr:uid="{00000000-0005-0000-0000-0000AD0F0000}"/>
    <cellStyle name="Moneda 9 3 2 4" xfId="2750" xr:uid="{00000000-0005-0000-0000-0000AE0F0000}"/>
    <cellStyle name="Moneda 9 3 2 4 2" xfId="2751" xr:uid="{00000000-0005-0000-0000-0000AF0F0000}"/>
    <cellStyle name="Moneda 9 3 2 5" xfId="2752" xr:uid="{00000000-0005-0000-0000-0000B00F0000}"/>
    <cellStyle name="Moneda 9 3 2 5 2" xfId="2753" xr:uid="{00000000-0005-0000-0000-0000B10F0000}"/>
    <cellStyle name="Moneda 9 3 2 6" xfId="2754" xr:uid="{00000000-0005-0000-0000-0000B20F0000}"/>
    <cellStyle name="Moneda 9 3 3" xfId="2755" xr:uid="{00000000-0005-0000-0000-0000B30F0000}"/>
    <cellStyle name="Moneda 9 3 3 2" xfId="2756" xr:uid="{00000000-0005-0000-0000-0000B40F0000}"/>
    <cellStyle name="Moneda 9 3 3 2 2" xfId="2757" xr:uid="{00000000-0005-0000-0000-0000B50F0000}"/>
    <cellStyle name="Moneda 9 3 3 3" xfId="2758" xr:uid="{00000000-0005-0000-0000-0000B60F0000}"/>
    <cellStyle name="Moneda 9 3 3 3 2" xfId="2759" xr:uid="{00000000-0005-0000-0000-0000B70F0000}"/>
    <cellStyle name="Moneda 9 3 3 4" xfId="2760" xr:uid="{00000000-0005-0000-0000-0000B80F0000}"/>
    <cellStyle name="Moneda 9 3 3 4 2" xfId="2761" xr:uid="{00000000-0005-0000-0000-0000B90F0000}"/>
    <cellStyle name="Moneda 9 3 3 5" xfId="2762" xr:uid="{00000000-0005-0000-0000-0000BA0F0000}"/>
    <cellStyle name="Moneda 9 3 4" xfId="2763" xr:uid="{00000000-0005-0000-0000-0000BB0F0000}"/>
    <cellStyle name="Moneda 9 3 4 2" xfId="2764" xr:uid="{00000000-0005-0000-0000-0000BC0F0000}"/>
    <cellStyle name="Moneda 9 3 5" xfId="2765" xr:uid="{00000000-0005-0000-0000-0000BD0F0000}"/>
    <cellStyle name="Moneda 9 3 5 2" xfId="2766" xr:uid="{00000000-0005-0000-0000-0000BE0F0000}"/>
    <cellStyle name="Moneda 9 3 6" xfId="2767" xr:uid="{00000000-0005-0000-0000-0000BF0F0000}"/>
    <cellStyle name="Moneda 9 3 6 2" xfId="2768" xr:uid="{00000000-0005-0000-0000-0000C00F0000}"/>
    <cellStyle name="Moneda 9 3 7" xfId="2769" xr:uid="{00000000-0005-0000-0000-0000C10F0000}"/>
    <cellStyle name="Moneda 9 4" xfId="2770" xr:uid="{00000000-0005-0000-0000-0000C20F0000}"/>
    <cellStyle name="Moneda 9 4 2" xfId="2771" xr:uid="{00000000-0005-0000-0000-0000C30F0000}"/>
    <cellStyle name="Moneda 9 4 2 2" xfId="2772" xr:uid="{00000000-0005-0000-0000-0000C40F0000}"/>
    <cellStyle name="Moneda 9 4 2 2 2" xfId="2773" xr:uid="{00000000-0005-0000-0000-0000C50F0000}"/>
    <cellStyle name="Moneda 9 4 2 2 2 2" xfId="2774" xr:uid="{00000000-0005-0000-0000-0000C60F0000}"/>
    <cellStyle name="Moneda 9 4 2 2 3" xfId="2775" xr:uid="{00000000-0005-0000-0000-0000C70F0000}"/>
    <cellStyle name="Moneda 9 4 2 2 3 2" xfId="2776" xr:uid="{00000000-0005-0000-0000-0000C80F0000}"/>
    <cellStyle name="Moneda 9 4 2 2 4" xfId="2777" xr:uid="{00000000-0005-0000-0000-0000C90F0000}"/>
    <cellStyle name="Moneda 9 4 2 2 4 2" xfId="2778" xr:uid="{00000000-0005-0000-0000-0000CA0F0000}"/>
    <cellStyle name="Moneda 9 4 2 2 5" xfId="2779" xr:uid="{00000000-0005-0000-0000-0000CB0F0000}"/>
    <cellStyle name="Moneda 9 4 2 3" xfId="2780" xr:uid="{00000000-0005-0000-0000-0000CC0F0000}"/>
    <cellStyle name="Moneda 9 4 2 3 2" xfId="2781" xr:uid="{00000000-0005-0000-0000-0000CD0F0000}"/>
    <cellStyle name="Moneda 9 4 2 4" xfId="2782" xr:uid="{00000000-0005-0000-0000-0000CE0F0000}"/>
    <cellStyle name="Moneda 9 4 2 4 2" xfId="2783" xr:uid="{00000000-0005-0000-0000-0000CF0F0000}"/>
    <cellStyle name="Moneda 9 4 2 5" xfId="2784" xr:uid="{00000000-0005-0000-0000-0000D00F0000}"/>
    <cellStyle name="Moneda 9 4 2 5 2" xfId="2785" xr:uid="{00000000-0005-0000-0000-0000D10F0000}"/>
    <cellStyle name="Moneda 9 4 2 6" xfId="2786" xr:uid="{00000000-0005-0000-0000-0000D20F0000}"/>
    <cellStyle name="Moneda 9 4 3" xfId="2787" xr:uid="{00000000-0005-0000-0000-0000D30F0000}"/>
    <cellStyle name="Moneda 9 4 3 2" xfId="2788" xr:uid="{00000000-0005-0000-0000-0000D40F0000}"/>
    <cellStyle name="Moneda 9 4 3 2 2" xfId="2789" xr:uid="{00000000-0005-0000-0000-0000D50F0000}"/>
    <cellStyle name="Moneda 9 4 3 3" xfId="2790" xr:uid="{00000000-0005-0000-0000-0000D60F0000}"/>
    <cellStyle name="Moneda 9 4 3 3 2" xfId="2791" xr:uid="{00000000-0005-0000-0000-0000D70F0000}"/>
    <cellStyle name="Moneda 9 4 3 4" xfId="2792" xr:uid="{00000000-0005-0000-0000-0000D80F0000}"/>
    <cellStyle name="Moneda 9 4 3 4 2" xfId="2793" xr:uid="{00000000-0005-0000-0000-0000D90F0000}"/>
    <cellStyle name="Moneda 9 4 3 5" xfId="2794" xr:uid="{00000000-0005-0000-0000-0000DA0F0000}"/>
    <cellStyle name="Moneda 9 4 4" xfId="2795" xr:uid="{00000000-0005-0000-0000-0000DB0F0000}"/>
    <cellStyle name="Moneda 9 4 4 2" xfId="2796" xr:uid="{00000000-0005-0000-0000-0000DC0F0000}"/>
    <cellStyle name="Moneda 9 4 5" xfId="2797" xr:uid="{00000000-0005-0000-0000-0000DD0F0000}"/>
    <cellStyle name="Moneda 9 4 5 2" xfId="2798" xr:uid="{00000000-0005-0000-0000-0000DE0F0000}"/>
    <cellStyle name="Moneda 9 4 6" xfId="2799" xr:uid="{00000000-0005-0000-0000-0000DF0F0000}"/>
    <cellStyle name="Moneda 9 4 6 2" xfId="2800" xr:uid="{00000000-0005-0000-0000-0000E00F0000}"/>
    <cellStyle name="Moneda 9 4 7" xfId="2801" xr:uid="{00000000-0005-0000-0000-0000E10F0000}"/>
    <cellStyle name="Moneda 9 5" xfId="2802" xr:uid="{00000000-0005-0000-0000-0000E20F0000}"/>
    <cellStyle name="Moneda 9 5 2" xfId="2803" xr:uid="{00000000-0005-0000-0000-0000E30F0000}"/>
    <cellStyle name="Moneda 9 5 2 2" xfId="2804" xr:uid="{00000000-0005-0000-0000-0000E40F0000}"/>
    <cellStyle name="Moneda 9 5 2 2 2" xfId="2805" xr:uid="{00000000-0005-0000-0000-0000E50F0000}"/>
    <cellStyle name="Moneda 9 5 2 3" xfId="2806" xr:uid="{00000000-0005-0000-0000-0000E60F0000}"/>
    <cellStyle name="Moneda 9 5 2 3 2" xfId="2807" xr:uid="{00000000-0005-0000-0000-0000E70F0000}"/>
    <cellStyle name="Moneda 9 5 2 4" xfId="2808" xr:uid="{00000000-0005-0000-0000-0000E80F0000}"/>
    <cellStyle name="Moneda 9 5 2 4 2" xfId="2809" xr:uid="{00000000-0005-0000-0000-0000E90F0000}"/>
    <cellStyle name="Moneda 9 5 2 5" xfId="2810" xr:uid="{00000000-0005-0000-0000-0000EA0F0000}"/>
    <cellStyle name="Moneda 9 5 3" xfId="2811" xr:uid="{00000000-0005-0000-0000-0000EB0F0000}"/>
    <cellStyle name="Moneda 9 5 3 2" xfId="2812" xr:uid="{00000000-0005-0000-0000-0000EC0F0000}"/>
    <cellStyle name="Moneda 9 5 4" xfId="2813" xr:uid="{00000000-0005-0000-0000-0000ED0F0000}"/>
    <cellStyle name="Moneda 9 5 4 2" xfId="2814" xr:uid="{00000000-0005-0000-0000-0000EE0F0000}"/>
    <cellStyle name="Moneda 9 5 5" xfId="2815" xr:uid="{00000000-0005-0000-0000-0000EF0F0000}"/>
    <cellStyle name="Moneda 9 5 5 2" xfId="2816" xr:uid="{00000000-0005-0000-0000-0000F00F0000}"/>
    <cellStyle name="Moneda 9 5 6" xfId="2817" xr:uid="{00000000-0005-0000-0000-0000F10F0000}"/>
    <cellStyle name="Moneda 9 6" xfId="2818" xr:uid="{00000000-0005-0000-0000-0000F20F0000}"/>
    <cellStyle name="Moneda 9 6 2" xfId="2819" xr:uid="{00000000-0005-0000-0000-0000F30F0000}"/>
    <cellStyle name="Moneda 9 6 2 2" xfId="2820" xr:uid="{00000000-0005-0000-0000-0000F40F0000}"/>
    <cellStyle name="Moneda 9 6 3" xfId="2821" xr:uid="{00000000-0005-0000-0000-0000F50F0000}"/>
    <cellStyle name="Moneda 9 6 3 2" xfId="2822" xr:uid="{00000000-0005-0000-0000-0000F60F0000}"/>
    <cellStyle name="Moneda 9 6 4" xfId="2823" xr:uid="{00000000-0005-0000-0000-0000F70F0000}"/>
    <cellStyle name="Moneda 9 6 4 2" xfId="2824" xr:uid="{00000000-0005-0000-0000-0000F80F0000}"/>
    <cellStyle name="Moneda 9 6 5" xfId="2825" xr:uid="{00000000-0005-0000-0000-0000F90F0000}"/>
    <cellStyle name="Moneda 9 7" xfId="2826" xr:uid="{00000000-0005-0000-0000-0000FA0F0000}"/>
    <cellStyle name="Moneda 9 7 2" xfId="2827" xr:uid="{00000000-0005-0000-0000-0000FB0F0000}"/>
    <cellStyle name="Moneda 9 8" xfId="2828" xr:uid="{00000000-0005-0000-0000-0000FC0F0000}"/>
    <cellStyle name="Moneda 9 8 2" xfId="2829" xr:uid="{00000000-0005-0000-0000-0000FD0F0000}"/>
    <cellStyle name="Moneda 9 9" xfId="2830" xr:uid="{00000000-0005-0000-0000-0000FE0F0000}"/>
    <cellStyle name="Moneda 9 9 2" xfId="2831" xr:uid="{00000000-0005-0000-0000-0000FF0F0000}"/>
    <cellStyle name="Moneda_Hoja1 2" xfId="3296" xr:uid="{00000000-0005-0000-0000-000000100000}"/>
    <cellStyle name="Neutral 2" xfId="2832" xr:uid="{00000000-0005-0000-0000-000001100000}"/>
    <cellStyle name="Normal" xfId="0" builtinId="0"/>
    <cellStyle name="Normal 2" xfId="16" xr:uid="{00000000-0005-0000-0000-000003100000}"/>
    <cellStyle name="Normal 2 10" xfId="17" xr:uid="{00000000-0005-0000-0000-000004100000}"/>
    <cellStyle name="Normal 2 10 2" xfId="4141" xr:uid="{00000000-0005-0000-0000-000005100000}"/>
    <cellStyle name="Normal 2 2" xfId="2833" xr:uid="{00000000-0005-0000-0000-000006100000}"/>
    <cellStyle name="Normal 2 2 2" xfId="2834" xr:uid="{00000000-0005-0000-0000-000007100000}"/>
    <cellStyle name="Normal 2 3" xfId="2835" xr:uid="{00000000-0005-0000-0000-000008100000}"/>
    <cellStyle name="Normal 2 3 2" xfId="2836" xr:uid="{00000000-0005-0000-0000-000009100000}"/>
    <cellStyle name="Normal 2 4" xfId="2837" xr:uid="{00000000-0005-0000-0000-00000A100000}"/>
    <cellStyle name="Normal 3" xfId="18" xr:uid="{00000000-0005-0000-0000-00000B100000}"/>
    <cellStyle name="Normal 3 2" xfId="19" xr:uid="{00000000-0005-0000-0000-00000C100000}"/>
    <cellStyle name="Normal 3 2 2" xfId="2838" xr:uid="{00000000-0005-0000-0000-00000D100000}"/>
    <cellStyle name="Normal 3 2 2 2" xfId="2839" xr:uid="{00000000-0005-0000-0000-00000E100000}"/>
    <cellStyle name="Normal 3 2 3" xfId="2840" xr:uid="{00000000-0005-0000-0000-00000F100000}"/>
    <cellStyle name="Normal 3 3" xfId="2841" xr:uid="{00000000-0005-0000-0000-000010100000}"/>
    <cellStyle name="Normal 3 4" xfId="2842" xr:uid="{00000000-0005-0000-0000-000011100000}"/>
    <cellStyle name="Normal 3 5" xfId="2843" xr:uid="{00000000-0005-0000-0000-000012100000}"/>
    <cellStyle name="Normal 3_CADENA DE VALOR" xfId="27" xr:uid="{00000000-0005-0000-0000-000013100000}"/>
    <cellStyle name="Normal 4" xfId="2844" xr:uid="{00000000-0005-0000-0000-000014100000}"/>
    <cellStyle name="Normal 4 2" xfId="20" xr:uid="{00000000-0005-0000-0000-000015100000}"/>
    <cellStyle name="Normal 5" xfId="2845" xr:uid="{00000000-0005-0000-0000-000016100000}"/>
    <cellStyle name="Normal 6 2" xfId="2846" xr:uid="{00000000-0005-0000-0000-000017100000}"/>
    <cellStyle name="Normal 7" xfId="2869" xr:uid="{00000000-0005-0000-0000-000018100000}"/>
    <cellStyle name="Normal_CADENA DE VALOR" xfId="2867" xr:uid="{00000000-0005-0000-0000-000019100000}"/>
    <cellStyle name="Numeric" xfId="2847" xr:uid="{00000000-0005-0000-0000-00001A100000}"/>
    <cellStyle name="NumericWithBorder" xfId="2848" xr:uid="{00000000-0005-0000-0000-00001B100000}"/>
    <cellStyle name="NumericWithBorder 2" xfId="2849" xr:uid="{00000000-0005-0000-0000-00001C100000}"/>
    <cellStyle name="NumericWithBorder 2 2" xfId="2850" xr:uid="{00000000-0005-0000-0000-00001D100000}"/>
    <cellStyle name="NumericWithBorder 2 3" xfId="2851" xr:uid="{00000000-0005-0000-0000-00001E100000}"/>
    <cellStyle name="NumericWithBorder 2 4" xfId="2852" xr:uid="{00000000-0005-0000-0000-00001F100000}"/>
    <cellStyle name="NumericWithBorder 3" xfId="2853" xr:uid="{00000000-0005-0000-0000-000020100000}"/>
    <cellStyle name="NumericWithBorder 4" xfId="2854" xr:uid="{00000000-0005-0000-0000-000021100000}"/>
    <cellStyle name="NumericWithBorder 5" xfId="2855" xr:uid="{00000000-0005-0000-0000-000022100000}"/>
    <cellStyle name="Percent" xfId="2856" xr:uid="{00000000-0005-0000-0000-000023100000}"/>
    <cellStyle name="Percent 2" xfId="2857" xr:uid="{00000000-0005-0000-0000-000024100000}"/>
    <cellStyle name="Percent 2 2" xfId="2858" xr:uid="{00000000-0005-0000-0000-000025100000}"/>
    <cellStyle name="Porcentaje" xfId="21" builtinId="5"/>
    <cellStyle name="Porcentaje 2" xfId="24" xr:uid="{00000000-0005-0000-0000-000027100000}"/>
    <cellStyle name="Porcentaje 2 2" xfId="2859" xr:uid="{00000000-0005-0000-0000-000028100000}"/>
    <cellStyle name="Porcentaje 3" xfId="25" xr:uid="{00000000-0005-0000-0000-000029100000}"/>
    <cellStyle name="Porcentaje 3 2" xfId="2860" xr:uid="{00000000-0005-0000-0000-00002A100000}"/>
    <cellStyle name="Porcentaje 4" xfId="26" xr:uid="{00000000-0005-0000-0000-00002B100000}"/>
    <cellStyle name="Porcentaje 5" xfId="4562" xr:uid="{425A2EEC-F4BE-496D-9737-8607BA861F05}"/>
    <cellStyle name="Porcentual 2" xfId="22" xr:uid="{00000000-0005-0000-0000-00002C100000}"/>
    <cellStyle name="Porcentual 2 2" xfId="23" xr:uid="{00000000-0005-0000-0000-00002D100000}"/>
    <cellStyle name="Porcentual 2 2 2" xfId="2861" xr:uid="{00000000-0005-0000-0000-00002E100000}"/>
    <cellStyle name="Porcentual 2 3" xfId="2862" xr:uid="{00000000-0005-0000-0000-00002F100000}"/>
    <cellStyle name="Porcentual 2 3 2" xfId="2863" xr:uid="{00000000-0005-0000-0000-000030100000}"/>
    <cellStyle name="Porcentual 3" xfId="2864" xr:uid="{00000000-0005-0000-0000-000031100000}"/>
  </cellStyles>
  <dxfs count="9">
    <dxf>
      <font>
        <color rgb="FF006100"/>
      </font>
      <fill>
        <patternFill patternType="solid">
          <fgColor rgb="FFC6EFCE"/>
          <bgColor rgb="FFC6EFCE"/>
        </patternFill>
      </fill>
    </dxf>
    <dxf>
      <font>
        <color rgb="FF9C0006"/>
      </font>
      <fill>
        <patternFill>
          <bgColor rgb="FFFFC7CE"/>
        </patternFill>
      </fill>
    </dxf>
    <dxf>
      <font>
        <color rgb="FF9C0006"/>
      </font>
      <fill>
        <patternFill>
          <bgColor rgb="FFFFC7CE"/>
        </patternFill>
      </fill>
    </dxf>
    <dxf>
      <font>
        <color rgb="FF006100"/>
      </font>
      <fill>
        <patternFill patternType="solid">
          <fgColor rgb="FFC6EFCE"/>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s>
  <tableStyles count="0" defaultTableStyle="TableStyleMedium9" defaultPivotStyle="PivotStyleLight16"/>
  <colors>
    <mruColors>
      <color rgb="FF00FF00"/>
      <color rgb="FFB7A1FD"/>
      <color rgb="FF75DBFF"/>
      <color rgb="FF00FFFF"/>
      <color rgb="FF815BFB"/>
      <color rgb="FFA78CFC"/>
      <color rgb="FF9474FC"/>
      <color rgb="FF6638FA"/>
      <color rgb="FFFF9933"/>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377516</xdr:rowOff>
    </xdr:from>
    <xdr:to>
      <xdr:col>5</xdr:col>
      <xdr:colOff>377642</xdr:colOff>
      <xdr:row>2</xdr:row>
      <xdr:rowOff>743572</xdr:rowOff>
    </xdr:to>
    <xdr:pic>
      <xdr:nvPicPr>
        <xdr:cNvPr id="2" name="Imagen 1">
          <a:extLst>
            <a:ext uri="{FF2B5EF4-FFF2-40B4-BE49-F238E27FC236}">
              <a16:creationId xmlns:a16="http://schemas.microsoft.com/office/drawing/2014/main" id="{47E27FE0-7EAE-4429-BACC-3D9DAC506F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68016"/>
          <a:ext cx="4141922" cy="8461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164886</xdr:colOff>
      <xdr:row>0</xdr:row>
      <xdr:rowOff>143637</xdr:rowOff>
    </xdr:from>
    <xdr:to>
      <xdr:col>4</xdr:col>
      <xdr:colOff>48513</xdr:colOff>
      <xdr:row>2</xdr:row>
      <xdr:rowOff>563657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886" y="143637"/>
          <a:ext cx="3345757" cy="15708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97566</xdr:colOff>
      <xdr:row>0</xdr:row>
      <xdr:rowOff>4533</xdr:rowOff>
    </xdr:from>
    <xdr:to>
      <xdr:col>2</xdr:col>
      <xdr:colOff>2540001</xdr:colOff>
      <xdr:row>2</xdr:row>
      <xdr:rowOff>269468</xdr:rowOff>
    </xdr:to>
    <xdr:pic>
      <xdr:nvPicPr>
        <xdr:cNvPr id="2" name="Imagen 1">
          <a:extLst>
            <a:ext uri="{FF2B5EF4-FFF2-40B4-BE49-F238E27FC236}">
              <a16:creationId xmlns:a16="http://schemas.microsoft.com/office/drawing/2014/main" id="{BB9F29F3-E804-4013-B7E4-CBDE7EE18DC8}"/>
            </a:ext>
          </a:extLst>
        </xdr:cNvPr>
        <xdr:cNvPicPr>
          <a:picLocks noChangeAspect="1"/>
        </xdr:cNvPicPr>
      </xdr:nvPicPr>
      <xdr:blipFill>
        <a:blip xmlns:r="http://schemas.openxmlformats.org/officeDocument/2006/relationships" r:embed="rId1"/>
        <a:stretch>
          <a:fillRect/>
        </a:stretch>
      </xdr:blipFill>
      <xdr:spPr>
        <a:xfrm>
          <a:off x="97566" y="4533"/>
          <a:ext cx="4291406" cy="16656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161745</xdr:rowOff>
    </xdr:from>
    <xdr:to>
      <xdr:col>3</xdr:col>
      <xdr:colOff>269575</xdr:colOff>
      <xdr:row>2</xdr:row>
      <xdr:rowOff>53915</xdr:rowOff>
    </xdr:to>
    <xdr:pic>
      <xdr:nvPicPr>
        <xdr:cNvPr id="2" name="Imagen 1">
          <a:extLst>
            <a:ext uri="{FF2B5EF4-FFF2-40B4-BE49-F238E27FC236}">
              <a16:creationId xmlns:a16="http://schemas.microsoft.com/office/drawing/2014/main" id="{29521570-69F0-4235-8FF5-F7E7D38C3385}"/>
            </a:ext>
          </a:extLst>
        </xdr:cNvPr>
        <xdr:cNvPicPr>
          <a:picLocks noChangeAspect="1"/>
        </xdr:cNvPicPr>
      </xdr:nvPicPr>
      <xdr:blipFill>
        <a:blip xmlns:r="http://schemas.openxmlformats.org/officeDocument/2006/relationships" r:embed="rId1"/>
        <a:stretch>
          <a:fillRect/>
        </a:stretch>
      </xdr:blipFill>
      <xdr:spPr>
        <a:xfrm>
          <a:off x="0" y="161745"/>
          <a:ext cx="2647015" cy="6389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B7BFEE7E-C142-419F-A313-96BD684D01F2}"/>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arolinanino\Documents\SDA-2020\Plan%20de%20Acci&#243;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s>
    <sheetDataSet>
      <sheetData sheetId="0">
        <row r="14">
          <cell r="U14">
            <v>45.54</v>
          </cell>
        </row>
        <row r="15">
          <cell r="U15">
            <v>2.5379999999999998</v>
          </cell>
        </row>
        <row r="17">
          <cell r="U17">
            <v>4.8070000000000004</v>
          </cell>
          <cell r="W17">
            <v>5.24</v>
          </cell>
        </row>
        <row r="18">
          <cell r="U18">
            <v>0.2</v>
          </cell>
        </row>
      </sheetData>
      <sheetData sheetId="1">
        <row r="11">
          <cell r="H11">
            <v>2239274028</v>
          </cell>
          <cell r="P11">
            <v>208535000</v>
          </cell>
          <cell r="R11">
            <v>261972893</v>
          </cell>
        </row>
        <row r="15">
          <cell r="S15">
            <v>1985716202</v>
          </cell>
          <cell r="EB15">
            <v>835562923</v>
          </cell>
        </row>
        <row r="17">
          <cell r="H17">
            <v>632180000</v>
          </cell>
          <cell r="R17">
            <v>208073593</v>
          </cell>
          <cell r="S17">
            <v>588967593</v>
          </cell>
          <cell r="T17">
            <v>543446593</v>
          </cell>
          <cell r="DZ17">
            <v>190062000</v>
          </cell>
        </row>
        <row r="23">
          <cell r="H23">
            <v>846820000</v>
          </cell>
          <cell r="R23">
            <v>328756825</v>
          </cell>
          <cell r="S23">
            <v>817958593</v>
          </cell>
          <cell r="T23">
            <v>755491393</v>
          </cell>
        </row>
        <row r="27">
          <cell r="DZ27">
            <v>323308102</v>
          </cell>
        </row>
        <row r="29">
          <cell r="H29">
            <v>201000000</v>
          </cell>
          <cell r="R29">
            <v>76021593</v>
          </cell>
          <cell r="S29">
            <v>144912593</v>
          </cell>
          <cell r="T29">
            <v>143476093</v>
          </cell>
        </row>
        <row r="33">
          <cell r="DZ33">
            <v>71564000</v>
          </cell>
        </row>
        <row r="36">
          <cell r="J36">
            <v>15250000</v>
          </cell>
          <cell r="L36">
            <v>741070000</v>
          </cell>
          <cell r="N36">
            <v>786690347</v>
          </cell>
          <cell r="P36">
            <v>793469102</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rive.google.com/drive/folders/19yyvWvvRIvW40_ziu0ukK4F2z8mSwi7N?usp=drive_link"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M29"/>
  <sheetViews>
    <sheetView topLeftCell="A10" zoomScale="60" zoomScaleNormal="60" zoomScaleSheetLayoutView="70" zoomScalePageLayoutView="60" workbookViewId="0">
      <selection activeCell="BD13" sqref="BD13"/>
    </sheetView>
  </sheetViews>
  <sheetFormatPr baseColWidth="10" defaultColWidth="10.7109375" defaultRowHeight="15" x14ac:dyDescent="0.25"/>
  <cols>
    <col min="1" max="1" width="8.42578125" customWidth="1"/>
    <col min="2" max="2" width="11" customWidth="1"/>
    <col min="3" max="3" width="8.7109375" customWidth="1"/>
    <col min="4" max="4" width="19.28515625" customWidth="1"/>
    <col min="5" max="5" width="7.42578125" customWidth="1"/>
    <col min="6" max="6" width="24.42578125" customWidth="1"/>
    <col min="7" max="7" width="20" customWidth="1"/>
    <col min="8" max="8" width="23.42578125" customWidth="1"/>
    <col min="9" max="9" width="22" style="15" customWidth="1"/>
    <col min="10" max="10" width="19.7109375" style="15" hidden="1" customWidth="1"/>
    <col min="11" max="11" width="17" style="15" hidden="1" customWidth="1"/>
    <col min="12" max="23" width="22.7109375" style="15" hidden="1" customWidth="1"/>
    <col min="24" max="24" width="16.42578125" style="15" hidden="1" customWidth="1"/>
    <col min="25" max="25" width="20.42578125" style="15" hidden="1" customWidth="1"/>
    <col min="26" max="27" width="24.7109375" style="15" customWidth="1"/>
    <col min="28" max="36" width="19.42578125" style="15" hidden="1" customWidth="1"/>
    <col min="37" max="37" width="14.140625" style="15" hidden="1" customWidth="1"/>
    <col min="38" max="38" width="21" style="15" hidden="1" customWidth="1"/>
    <col min="39" max="39" width="14.140625" style="15" hidden="1" customWidth="1"/>
    <col min="40" max="40" width="22.42578125" style="15" hidden="1" customWidth="1"/>
    <col min="41" max="41" width="14.140625" style="15" hidden="1" customWidth="1"/>
    <col min="42" max="42" width="17.42578125" style="15" hidden="1" customWidth="1"/>
    <col min="43" max="43" width="14.140625" style="15" hidden="1" customWidth="1"/>
    <col min="44" max="44" width="17.7109375" style="15" hidden="1" customWidth="1"/>
    <col min="45" max="45" width="14.140625" style="15" hidden="1" customWidth="1"/>
    <col min="46" max="46" width="17.7109375" style="15" hidden="1" customWidth="1"/>
    <col min="47" max="47" width="14.140625" style="15" hidden="1" customWidth="1"/>
    <col min="48" max="48" width="23.7109375" style="15" hidden="1" customWidth="1"/>
    <col min="49" max="49" width="14.42578125" style="15" hidden="1" customWidth="1"/>
    <col min="50" max="50" width="16.7109375" style="15" hidden="1" customWidth="1"/>
    <col min="51" max="51" width="13.140625" style="15" hidden="1" customWidth="1"/>
    <col min="52" max="52" width="17.7109375" style="15" hidden="1" customWidth="1"/>
    <col min="53" max="53" width="27.7109375" style="15" hidden="1" customWidth="1"/>
    <col min="54" max="54" width="24" style="15" hidden="1" customWidth="1"/>
    <col min="55" max="55" width="22.7109375" style="15" hidden="1" customWidth="1"/>
    <col min="56" max="57" width="25.85546875" style="15" customWidth="1"/>
    <col min="58" max="58" width="26.42578125" style="15" hidden="1" customWidth="1"/>
    <col min="59" max="59" width="17.42578125" style="15" hidden="1" customWidth="1"/>
    <col min="60" max="60" width="18" style="15" hidden="1" customWidth="1"/>
    <col min="61" max="61" width="15.7109375" style="15" hidden="1" customWidth="1"/>
    <col min="62" max="62" width="20.140625" style="15" hidden="1" customWidth="1"/>
    <col min="63" max="64" width="23" style="15" hidden="1" customWidth="1"/>
    <col min="65" max="65" width="24.42578125" style="15" hidden="1" customWidth="1"/>
    <col min="66" max="66" width="17.7109375" style="15" hidden="1" customWidth="1"/>
    <col min="67" max="67" width="20.7109375" style="15" hidden="1" customWidth="1"/>
    <col min="68" max="68" width="24.42578125" style="15" hidden="1" customWidth="1"/>
    <col min="69" max="69" width="22.140625" style="15" hidden="1" customWidth="1"/>
    <col min="70" max="70" width="19.7109375" style="15" hidden="1" customWidth="1"/>
    <col min="71" max="71" width="25.28515625" style="15" hidden="1" customWidth="1"/>
    <col min="72" max="72" width="19.7109375" style="15" hidden="1" customWidth="1"/>
    <col min="73" max="73" width="26.7109375" style="15" hidden="1" customWidth="1"/>
    <col min="74" max="74" width="20.42578125" style="15" hidden="1" customWidth="1"/>
    <col min="75" max="75" width="27.28515625" style="15" hidden="1" customWidth="1"/>
    <col min="76" max="76" width="18.7109375" style="15" hidden="1" customWidth="1"/>
    <col min="77" max="77" width="20.7109375" style="15" hidden="1" customWidth="1"/>
    <col min="78" max="78" width="23.7109375" style="15" hidden="1" customWidth="1"/>
    <col min="79" max="79" width="23.140625" style="15" hidden="1" customWidth="1"/>
    <col min="80" max="80" width="17.7109375" style="15" hidden="1" customWidth="1"/>
    <col min="81" max="81" width="13.7109375" style="15" hidden="1" customWidth="1"/>
    <col min="82" max="82" width="17" style="15" hidden="1" customWidth="1"/>
    <col min="83" max="83" width="19.42578125" style="15" hidden="1" customWidth="1"/>
    <col min="84" max="84" width="25" style="15" hidden="1" customWidth="1"/>
    <col min="85" max="85" width="21.7109375" style="15" hidden="1" customWidth="1"/>
    <col min="86" max="87" width="24.5703125" style="15" customWidth="1"/>
    <col min="88" max="88" width="20.7109375" style="15" hidden="1" customWidth="1"/>
    <col min="89" max="90" width="13" style="15" hidden="1" customWidth="1"/>
    <col min="91" max="92" width="15.28515625" style="15" hidden="1" customWidth="1"/>
    <col min="93" max="104" width="17.42578125" style="15" hidden="1" customWidth="1"/>
    <col min="105" max="105" width="13" style="15" hidden="1" customWidth="1"/>
    <col min="106" max="106" width="24.28515625" style="15" hidden="1" customWidth="1"/>
    <col min="107" max="107" width="13" style="15" hidden="1" customWidth="1"/>
    <col min="108" max="108" width="21.42578125" style="15" hidden="1" customWidth="1"/>
    <col min="109" max="109" width="13" style="15" hidden="1" customWidth="1"/>
    <col min="110" max="110" width="22" style="15" hidden="1" customWidth="1"/>
    <col min="111" max="111" width="13" style="15" hidden="1" customWidth="1"/>
    <col min="112" max="112" width="19" style="15" hidden="1" customWidth="1"/>
    <col min="113" max="114" width="20.7109375" style="15" hidden="1" customWidth="1"/>
    <col min="115" max="115" width="25.7109375" style="15" hidden="1" customWidth="1"/>
    <col min="116" max="117" width="22.85546875" style="15" customWidth="1"/>
    <col min="118" max="118" width="23" style="15" customWidth="1"/>
    <col min="119" max="127" width="19.42578125" style="15" customWidth="1"/>
    <col min="128" max="142" width="15.42578125" style="15" hidden="1" customWidth="1"/>
    <col min="143" max="147" width="21.42578125" style="15" customWidth="1"/>
    <col min="148" max="148" width="22.140625" customWidth="1"/>
    <col min="149" max="149" width="20.7109375" customWidth="1"/>
    <col min="150" max="150" width="24.28515625" customWidth="1"/>
    <col min="151" max="151" width="21.42578125" customWidth="1"/>
    <col min="152" max="152" width="18.42578125" customWidth="1"/>
    <col min="153" max="153" width="97.7109375" customWidth="1"/>
    <col min="154" max="154" width="20.28515625" customWidth="1"/>
    <col min="155" max="155" width="21.7109375" customWidth="1"/>
    <col min="156" max="157" width="33.140625" customWidth="1"/>
    <col min="158" max="158" width="21" style="3" customWidth="1"/>
    <col min="159" max="159" width="23" bestFit="1" customWidth="1"/>
    <col min="160" max="160" width="21.7109375" customWidth="1"/>
    <col min="161" max="161" width="26.7109375" customWidth="1"/>
    <col min="162" max="162" width="11.42578125" bestFit="1" customWidth="1"/>
    <col min="163" max="163" width="12.42578125" bestFit="1" customWidth="1"/>
    <col min="164" max="164" width="13.28515625" bestFit="1" customWidth="1"/>
    <col min="166" max="166" width="14" bestFit="1" customWidth="1"/>
    <col min="168" max="168" width="14" bestFit="1" customWidth="1"/>
  </cols>
  <sheetData>
    <row r="1" spans="1:169" ht="15.75" thickBot="1" x14ac:dyDescent="0.3">
      <c r="C1" s="2"/>
      <c r="D1" s="2"/>
      <c r="E1" s="2"/>
      <c r="F1" s="2"/>
      <c r="G1" s="2"/>
      <c r="H1" s="2"/>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2"/>
      <c r="ES1" s="2"/>
      <c r="ET1" s="2"/>
      <c r="EU1" s="2"/>
      <c r="EV1" s="2"/>
      <c r="EW1" s="2"/>
      <c r="EX1" s="2"/>
      <c r="EY1" s="2"/>
      <c r="EZ1" s="2"/>
      <c r="FA1" s="2"/>
    </row>
    <row r="2" spans="1:169" s="18" customFormat="1" ht="37.5" x14ac:dyDescent="0.5">
      <c r="A2" s="836"/>
      <c r="B2" s="837"/>
      <c r="C2" s="837"/>
      <c r="D2" s="837"/>
      <c r="E2" s="837"/>
      <c r="F2" s="838"/>
      <c r="G2" s="845" t="s">
        <v>39</v>
      </c>
      <c r="H2" s="845"/>
      <c r="I2" s="845"/>
      <c r="J2" s="845"/>
      <c r="K2" s="845"/>
      <c r="L2" s="845"/>
      <c r="M2" s="845"/>
      <c r="N2" s="845"/>
      <c r="O2" s="845"/>
      <c r="P2" s="845"/>
      <c r="Q2" s="845"/>
      <c r="R2" s="845"/>
      <c r="S2" s="845"/>
      <c r="T2" s="845"/>
      <c r="U2" s="845"/>
      <c r="V2" s="845"/>
      <c r="W2" s="845"/>
      <c r="X2" s="845"/>
      <c r="Y2" s="845"/>
      <c r="Z2" s="845"/>
      <c r="AA2" s="845"/>
      <c r="AB2" s="845"/>
      <c r="AC2" s="845"/>
      <c r="AD2" s="845"/>
      <c r="AE2" s="845"/>
      <c r="AF2" s="845"/>
      <c r="AG2" s="845"/>
      <c r="AH2" s="845"/>
      <c r="AI2" s="845"/>
      <c r="AJ2" s="845"/>
      <c r="AK2" s="845"/>
      <c r="AL2" s="845"/>
      <c r="AM2" s="845"/>
      <c r="AN2" s="845"/>
      <c r="AO2" s="845"/>
      <c r="AP2" s="845"/>
      <c r="AQ2" s="845"/>
      <c r="AR2" s="845"/>
      <c r="AS2" s="845"/>
      <c r="AT2" s="845"/>
      <c r="AU2" s="845"/>
      <c r="AV2" s="845"/>
      <c r="AW2" s="845"/>
      <c r="AX2" s="845"/>
      <c r="AY2" s="845"/>
      <c r="AZ2" s="845"/>
      <c r="BA2" s="845"/>
      <c r="BB2" s="845"/>
      <c r="BC2" s="845"/>
      <c r="BD2" s="845"/>
      <c r="BE2" s="845"/>
      <c r="BF2" s="845"/>
      <c r="BG2" s="845"/>
      <c r="BH2" s="845"/>
      <c r="BI2" s="845"/>
      <c r="BJ2" s="845"/>
      <c r="BK2" s="845"/>
      <c r="BL2" s="845"/>
      <c r="BM2" s="845"/>
      <c r="BN2" s="845"/>
      <c r="BO2" s="845"/>
      <c r="BP2" s="845"/>
      <c r="BQ2" s="845"/>
      <c r="BR2" s="845"/>
      <c r="BS2" s="845"/>
      <c r="BT2" s="845"/>
      <c r="BU2" s="845"/>
      <c r="BV2" s="845"/>
      <c r="BW2" s="845"/>
      <c r="BX2" s="845"/>
      <c r="BY2" s="845"/>
      <c r="BZ2" s="845"/>
      <c r="CA2" s="845"/>
      <c r="CB2" s="845"/>
      <c r="CC2" s="845"/>
      <c r="CD2" s="845"/>
      <c r="CE2" s="845"/>
      <c r="CF2" s="845"/>
      <c r="CG2" s="845"/>
      <c r="CH2" s="845"/>
      <c r="CI2" s="845"/>
      <c r="CJ2" s="845"/>
      <c r="CK2" s="845"/>
      <c r="CL2" s="845"/>
      <c r="CM2" s="845"/>
      <c r="CN2" s="845"/>
      <c r="CO2" s="845"/>
      <c r="CP2" s="845"/>
      <c r="CQ2" s="845"/>
      <c r="CR2" s="845"/>
      <c r="CS2" s="845"/>
      <c r="CT2" s="845"/>
      <c r="CU2" s="845"/>
      <c r="CV2" s="845"/>
      <c r="CW2" s="845"/>
      <c r="CX2" s="845"/>
      <c r="CY2" s="845"/>
      <c r="CZ2" s="845"/>
      <c r="DA2" s="845"/>
      <c r="DB2" s="845"/>
      <c r="DC2" s="845"/>
      <c r="DD2" s="845"/>
      <c r="DE2" s="845"/>
      <c r="DF2" s="845"/>
      <c r="DG2" s="845"/>
      <c r="DH2" s="845"/>
      <c r="DI2" s="845"/>
      <c r="DJ2" s="845"/>
      <c r="DK2" s="845"/>
      <c r="DL2" s="845"/>
      <c r="DM2" s="845"/>
      <c r="DN2" s="845"/>
      <c r="DO2" s="845"/>
      <c r="DP2" s="845"/>
      <c r="DQ2" s="845"/>
      <c r="DR2" s="845"/>
      <c r="DS2" s="845"/>
      <c r="DT2" s="845"/>
      <c r="DU2" s="845"/>
      <c r="DV2" s="845"/>
      <c r="DW2" s="845"/>
      <c r="DX2" s="845"/>
      <c r="DY2" s="845"/>
      <c r="DZ2" s="845"/>
      <c r="EA2" s="845"/>
      <c r="EB2" s="845"/>
      <c r="EC2" s="845"/>
      <c r="ED2" s="845"/>
      <c r="EE2" s="845"/>
      <c r="EF2" s="845"/>
      <c r="EG2" s="845"/>
      <c r="EH2" s="845"/>
      <c r="EI2" s="845"/>
      <c r="EJ2" s="845"/>
      <c r="EK2" s="845"/>
      <c r="EL2" s="845"/>
      <c r="EM2" s="845"/>
      <c r="EN2" s="845"/>
      <c r="EO2" s="845"/>
      <c r="EP2" s="845"/>
      <c r="EQ2" s="845"/>
      <c r="ER2" s="845"/>
      <c r="ES2" s="845"/>
      <c r="ET2" s="845"/>
      <c r="EU2" s="845"/>
      <c r="EV2" s="845"/>
      <c r="EW2" s="845"/>
      <c r="EX2" s="845"/>
      <c r="EY2" s="845"/>
      <c r="EZ2" s="845"/>
      <c r="FA2" s="846"/>
      <c r="FB2" s="590"/>
    </row>
    <row r="3" spans="1:169" s="18" customFormat="1" ht="60" customHeight="1" thickBot="1" x14ac:dyDescent="0.65">
      <c r="A3" s="839"/>
      <c r="B3" s="840"/>
      <c r="C3" s="840"/>
      <c r="D3" s="840"/>
      <c r="E3" s="840"/>
      <c r="F3" s="841"/>
      <c r="G3" s="847" t="s">
        <v>360</v>
      </c>
      <c r="H3" s="847"/>
      <c r="I3" s="847"/>
      <c r="J3" s="847"/>
      <c r="K3" s="847"/>
      <c r="L3" s="847"/>
      <c r="M3" s="847"/>
      <c r="N3" s="847"/>
      <c r="O3" s="847"/>
      <c r="P3" s="847"/>
      <c r="Q3" s="847"/>
      <c r="R3" s="847"/>
      <c r="S3" s="847"/>
      <c r="T3" s="847"/>
      <c r="U3" s="847"/>
      <c r="V3" s="847"/>
      <c r="W3" s="847"/>
      <c r="X3" s="847"/>
      <c r="Y3" s="847"/>
      <c r="Z3" s="847"/>
      <c r="AA3" s="847"/>
      <c r="AB3" s="847"/>
      <c r="AC3" s="847"/>
      <c r="AD3" s="847"/>
      <c r="AE3" s="847"/>
      <c r="AF3" s="847"/>
      <c r="AG3" s="847"/>
      <c r="AH3" s="847"/>
      <c r="AI3" s="847"/>
      <c r="AJ3" s="847"/>
      <c r="AK3" s="847"/>
      <c r="AL3" s="847"/>
      <c r="AM3" s="847"/>
      <c r="AN3" s="847"/>
      <c r="AO3" s="847"/>
      <c r="AP3" s="847"/>
      <c r="AQ3" s="847"/>
      <c r="AR3" s="847"/>
      <c r="AS3" s="847"/>
      <c r="AT3" s="847"/>
      <c r="AU3" s="847"/>
      <c r="AV3" s="847"/>
      <c r="AW3" s="847"/>
      <c r="AX3" s="847"/>
      <c r="AY3" s="847"/>
      <c r="AZ3" s="847"/>
      <c r="BA3" s="847"/>
      <c r="BB3" s="847"/>
      <c r="BC3" s="847"/>
      <c r="BD3" s="847"/>
      <c r="BE3" s="847"/>
      <c r="BF3" s="847"/>
      <c r="BG3" s="847"/>
      <c r="BH3" s="847"/>
      <c r="BI3" s="847"/>
      <c r="BJ3" s="847"/>
      <c r="BK3" s="847"/>
      <c r="BL3" s="847"/>
      <c r="BM3" s="847"/>
      <c r="BN3" s="847"/>
      <c r="BO3" s="847"/>
      <c r="BP3" s="847"/>
      <c r="BQ3" s="847"/>
      <c r="BR3" s="847"/>
      <c r="BS3" s="847"/>
      <c r="BT3" s="847"/>
      <c r="BU3" s="847"/>
      <c r="BV3" s="847"/>
      <c r="BW3" s="847"/>
      <c r="BX3" s="847"/>
      <c r="BY3" s="847"/>
      <c r="BZ3" s="847"/>
      <c r="CA3" s="847"/>
      <c r="CB3" s="847"/>
      <c r="CC3" s="847"/>
      <c r="CD3" s="847"/>
      <c r="CE3" s="847"/>
      <c r="CF3" s="847"/>
      <c r="CG3" s="847"/>
      <c r="CH3" s="847"/>
      <c r="CI3" s="847"/>
      <c r="CJ3" s="847"/>
      <c r="CK3" s="847"/>
      <c r="CL3" s="847"/>
      <c r="CM3" s="847"/>
      <c r="CN3" s="847"/>
      <c r="CO3" s="847"/>
      <c r="CP3" s="847"/>
      <c r="CQ3" s="847"/>
      <c r="CR3" s="847"/>
      <c r="CS3" s="847"/>
      <c r="CT3" s="847"/>
      <c r="CU3" s="847"/>
      <c r="CV3" s="847"/>
      <c r="CW3" s="847"/>
      <c r="CX3" s="847"/>
      <c r="CY3" s="847"/>
      <c r="CZ3" s="847"/>
      <c r="DA3" s="847"/>
      <c r="DB3" s="847"/>
      <c r="DC3" s="847"/>
      <c r="DD3" s="847"/>
      <c r="DE3" s="847"/>
      <c r="DF3" s="847"/>
      <c r="DG3" s="847"/>
      <c r="DH3" s="847"/>
      <c r="DI3" s="847"/>
      <c r="DJ3" s="847"/>
      <c r="DK3" s="847"/>
      <c r="DL3" s="847"/>
      <c r="DM3" s="847"/>
      <c r="DN3" s="847"/>
      <c r="DO3" s="847"/>
      <c r="DP3" s="847"/>
      <c r="DQ3" s="847"/>
      <c r="DR3" s="847"/>
      <c r="DS3" s="847"/>
      <c r="DT3" s="847"/>
      <c r="DU3" s="847"/>
      <c r="DV3" s="847"/>
      <c r="DW3" s="847"/>
      <c r="DX3" s="847"/>
      <c r="DY3" s="847"/>
      <c r="DZ3" s="847"/>
      <c r="EA3" s="847"/>
      <c r="EB3" s="847"/>
      <c r="EC3" s="847"/>
      <c r="ED3" s="847"/>
      <c r="EE3" s="847"/>
      <c r="EF3" s="847"/>
      <c r="EG3" s="847"/>
      <c r="EH3" s="847"/>
      <c r="EI3" s="847"/>
      <c r="EJ3" s="847"/>
      <c r="EK3" s="847"/>
      <c r="EL3" s="847"/>
      <c r="EM3" s="847"/>
      <c r="EN3" s="847"/>
      <c r="EO3" s="847"/>
      <c r="EP3" s="847"/>
      <c r="EQ3" s="847"/>
      <c r="ER3" s="847"/>
      <c r="ES3" s="847"/>
      <c r="ET3" s="847"/>
      <c r="EU3" s="847"/>
      <c r="EV3" s="847"/>
      <c r="EW3" s="847"/>
      <c r="EX3" s="847"/>
      <c r="EY3" s="847"/>
      <c r="EZ3" s="847"/>
      <c r="FA3" s="847"/>
      <c r="FB3" s="590"/>
    </row>
    <row r="4" spans="1:169" s="17" customFormat="1" ht="27" thickBot="1" x14ac:dyDescent="0.45">
      <c r="A4" s="842"/>
      <c r="B4" s="843"/>
      <c r="C4" s="843"/>
      <c r="D4" s="843"/>
      <c r="E4" s="843"/>
      <c r="F4" s="844"/>
      <c r="G4" s="848" t="s">
        <v>48</v>
      </c>
      <c r="H4" s="848"/>
      <c r="I4" s="848"/>
      <c r="J4" s="848"/>
      <c r="K4" s="848"/>
      <c r="L4" s="848"/>
      <c r="M4" s="848"/>
      <c r="N4" s="848"/>
      <c r="O4" s="848"/>
      <c r="P4" s="848"/>
      <c r="Q4" s="848"/>
      <c r="R4" s="848"/>
      <c r="S4" s="848"/>
      <c r="T4" s="848"/>
      <c r="U4" s="848"/>
      <c r="V4" s="848"/>
      <c r="W4" s="848"/>
      <c r="X4" s="848"/>
      <c r="Y4" s="848"/>
      <c r="Z4" s="848"/>
      <c r="AA4" s="848"/>
      <c r="AB4" s="848"/>
      <c r="AC4" s="848"/>
      <c r="AD4" s="848"/>
      <c r="AE4" s="848"/>
      <c r="AF4" s="848"/>
      <c r="AG4" s="848"/>
      <c r="AH4" s="848"/>
      <c r="AI4" s="848"/>
      <c r="AJ4" s="848"/>
      <c r="AK4" s="848"/>
      <c r="AL4" s="848"/>
      <c r="AM4" s="848"/>
      <c r="AN4" s="848"/>
      <c r="AO4" s="848"/>
      <c r="AP4" s="848"/>
      <c r="AQ4" s="848"/>
      <c r="AR4" s="848"/>
      <c r="AS4" s="848"/>
      <c r="AT4" s="848"/>
      <c r="AU4" s="848"/>
      <c r="AV4" s="848"/>
      <c r="AW4" s="848"/>
      <c r="AX4" s="848"/>
      <c r="AY4" s="848"/>
      <c r="AZ4" s="848"/>
      <c r="BA4" s="848"/>
      <c r="BB4" s="848"/>
      <c r="BC4" s="848"/>
      <c r="BD4" s="848"/>
      <c r="BE4" s="848"/>
      <c r="BF4" s="848"/>
      <c r="BG4" s="848"/>
      <c r="BH4" s="848"/>
      <c r="BI4" s="848"/>
      <c r="BJ4" s="848"/>
      <c r="BK4" s="848"/>
      <c r="BL4" s="848"/>
      <c r="BM4" s="848"/>
      <c r="BN4" s="848"/>
      <c r="BO4" s="848"/>
      <c r="BP4" s="848"/>
      <c r="BQ4" s="848"/>
      <c r="BR4" s="848"/>
      <c r="BS4" s="848"/>
      <c r="BT4" s="848"/>
      <c r="BU4" s="848"/>
      <c r="BV4" s="848"/>
      <c r="BW4" s="848"/>
      <c r="BX4" s="848"/>
      <c r="BY4" s="848"/>
      <c r="BZ4" s="848"/>
      <c r="CA4" s="848"/>
      <c r="CB4" s="848"/>
      <c r="CC4" s="848"/>
      <c r="CD4" s="848"/>
      <c r="CE4" s="848"/>
      <c r="CF4" s="848"/>
      <c r="CG4" s="848"/>
      <c r="CH4" s="848"/>
      <c r="CI4" s="848"/>
      <c r="CJ4" s="848"/>
      <c r="CK4" s="848"/>
      <c r="CL4" s="848"/>
      <c r="CM4" s="848"/>
      <c r="CN4" s="848"/>
      <c r="CO4" s="848"/>
      <c r="CP4" s="848"/>
      <c r="CQ4" s="848"/>
      <c r="CR4" s="848"/>
      <c r="CS4" s="848"/>
      <c r="CT4" s="848"/>
      <c r="CU4" s="848"/>
      <c r="CV4" s="848"/>
      <c r="CW4" s="848"/>
      <c r="CX4" s="848"/>
      <c r="CY4" s="848"/>
      <c r="CZ4" s="848"/>
      <c r="DA4" s="848"/>
      <c r="DB4" s="848"/>
      <c r="DC4" s="848"/>
      <c r="DD4" s="848"/>
      <c r="DE4" s="848"/>
      <c r="DF4" s="848"/>
      <c r="DG4" s="848"/>
      <c r="DH4" s="848"/>
      <c r="DI4" s="848"/>
      <c r="DJ4" s="848"/>
      <c r="DK4" s="848"/>
      <c r="DL4" s="848"/>
      <c r="DM4" s="848"/>
      <c r="DN4" s="848"/>
      <c r="DO4" s="848"/>
      <c r="DP4" s="848"/>
      <c r="DQ4" s="848"/>
      <c r="DR4" s="848"/>
      <c r="DS4" s="848"/>
      <c r="DT4" s="848"/>
      <c r="DU4" s="848"/>
      <c r="DV4" s="848"/>
      <c r="DW4" s="848"/>
      <c r="DX4" s="848"/>
      <c r="DY4" s="848"/>
      <c r="DZ4" s="848"/>
      <c r="EA4" s="848"/>
      <c r="EB4" s="848"/>
      <c r="EC4" s="848"/>
      <c r="ED4" s="848"/>
      <c r="EE4" s="848"/>
      <c r="EF4" s="848"/>
      <c r="EG4" s="848"/>
      <c r="EH4" s="848"/>
      <c r="EI4" s="848"/>
      <c r="EJ4" s="848"/>
      <c r="EK4" s="848"/>
      <c r="EL4" s="848"/>
      <c r="EM4" s="848"/>
      <c r="EN4" s="848"/>
      <c r="EO4" s="848"/>
      <c r="EP4" s="848"/>
      <c r="EQ4" s="848"/>
      <c r="ER4" s="849" t="s">
        <v>343</v>
      </c>
      <c r="ES4" s="850"/>
      <c r="ET4" s="850"/>
      <c r="EU4" s="850"/>
      <c r="EV4" s="850"/>
      <c r="EW4" s="850"/>
      <c r="EX4" s="850"/>
      <c r="EY4" s="850"/>
      <c r="EZ4" s="850"/>
      <c r="FA4" s="851"/>
      <c r="FB4" s="591"/>
    </row>
    <row r="5" spans="1:169" ht="40.5" customHeight="1" thickBot="1" x14ac:dyDescent="0.3">
      <c r="A5" s="831" t="s">
        <v>0</v>
      </c>
      <c r="B5" s="832"/>
      <c r="C5" s="832"/>
      <c r="D5" s="832"/>
      <c r="E5" s="832"/>
      <c r="F5" s="832"/>
      <c r="G5" s="833" t="s">
        <v>369</v>
      </c>
      <c r="H5" s="834"/>
      <c r="I5" s="834"/>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4"/>
      <c r="AI5" s="834"/>
      <c r="AJ5" s="834"/>
      <c r="AK5" s="834"/>
      <c r="AL5" s="834"/>
      <c r="AM5" s="834"/>
      <c r="AN5" s="834"/>
      <c r="AO5" s="834"/>
      <c r="AP5" s="834"/>
      <c r="AQ5" s="834"/>
      <c r="AR5" s="834"/>
      <c r="AS5" s="834"/>
      <c r="AT5" s="834"/>
      <c r="AU5" s="834"/>
      <c r="AV5" s="834"/>
      <c r="AW5" s="834"/>
      <c r="AX5" s="834"/>
      <c r="AY5" s="834"/>
      <c r="AZ5" s="834"/>
      <c r="BA5" s="834"/>
      <c r="BB5" s="834"/>
      <c r="BC5" s="834"/>
      <c r="BD5" s="834"/>
      <c r="BE5" s="834"/>
      <c r="BF5" s="834"/>
      <c r="BG5" s="834"/>
      <c r="BH5" s="834"/>
      <c r="BI5" s="834"/>
      <c r="BJ5" s="834"/>
      <c r="BK5" s="834"/>
      <c r="BL5" s="834"/>
      <c r="BM5" s="834"/>
      <c r="BN5" s="834"/>
      <c r="BO5" s="834"/>
      <c r="BP5" s="834"/>
      <c r="BQ5" s="834"/>
      <c r="BR5" s="834"/>
      <c r="BS5" s="834"/>
      <c r="BT5" s="834"/>
      <c r="BU5" s="834"/>
      <c r="BV5" s="834"/>
      <c r="BW5" s="834"/>
      <c r="BX5" s="834"/>
      <c r="BY5" s="834"/>
      <c r="BZ5" s="834"/>
      <c r="CA5" s="834"/>
      <c r="CB5" s="834"/>
      <c r="CC5" s="834"/>
      <c r="CD5" s="834"/>
      <c r="CE5" s="834"/>
      <c r="CF5" s="834"/>
      <c r="CG5" s="834"/>
      <c r="CH5" s="834"/>
      <c r="CI5" s="834"/>
      <c r="CJ5" s="834"/>
      <c r="CK5" s="834"/>
      <c r="CL5" s="834"/>
      <c r="CM5" s="834"/>
      <c r="CN5" s="834"/>
      <c r="CO5" s="834"/>
      <c r="CP5" s="834"/>
      <c r="CQ5" s="834"/>
      <c r="CR5" s="834"/>
      <c r="CS5" s="834"/>
      <c r="CT5" s="834"/>
      <c r="CU5" s="834"/>
      <c r="CV5" s="834"/>
      <c r="CW5" s="834"/>
      <c r="CX5" s="834"/>
      <c r="CY5" s="834"/>
      <c r="CZ5" s="834"/>
      <c r="DA5" s="834"/>
      <c r="DB5" s="834"/>
      <c r="DC5" s="834"/>
      <c r="DD5" s="834"/>
      <c r="DE5" s="834"/>
      <c r="DF5" s="834"/>
      <c r="DG5" s="834"/>
      <c r="DH5" s="834"/>
      <c r="DI5" s="834"/>
      <c r="DJ5" s="834"/>
      <c r="DK5" s="834"/>
      <c r="DL5" s="834"/>
      <c r="DM5" s="834"/>
      <c r="DN5" s="834"/>
      <c r="DO5" s="834"/>
      <c r="DP5" s="834"/>
      <c r="DQ5" s="834"/>
      <c r="DR5" s="834"/>
      <c r="DS5" s="834"/>
      <c r="DT5" s="834"/>
      <c r="DU5" s="834"/>
      <c r="DV5" s="834"/>
      <c r="DW5" s="834"/>
      <c r="DX5" s="834"/>
      <c r="DY5" s="834"/>
      <c r="DZ5" s="834"/>
      <c r="EA5" s="834"/>
      <c r="EB5" s="834"/>
      <c r="EC5" s="834"/>
      <c r="ED5" s="834"/>
      <c r="EE5" s="834"/>
      <c r="EF5" s="834"/>
      <c r="EG5" s="834"/>
      <c r="EH5" s="834"/>
      <c r="EI5" s="834"/>
      <c r="EJ5" s="834"/>
      <c r="EK5" s="834"/>
      <c r="EL5" s="834"/>
      <c r="EM5" s="834"/>
      <c r="EN5" s="834"/>
      <c r="EO5" s="834"/>
      <c r="EP5" s="834"/>
      <c r="EQ5" s="834"/>
      <c r="ER5" s="834"/>
      <c r="ES5" s="834"/>
      <c r="ET5" s="834"/>
      <c r="EU5" s="834"/>
      <c r="EV5" s="834"/>
      <c r="EW5" s="834"/>
      <c r="EX5" s="834"/>
      <c r="EY5" s="834"/>
      <c r="EZ5" s="834"/>
      <c r="FA5" s="835"/>
    </row>
    <row r="6" spans="1:169" ht="33" customHeight="1" thickBot="1" x14ac:dyDescent="0.3">
      <c r="A6" s="831" t="s">
        <v>2</v>
      </c>
      <c r="B6" s="832"/>
      <c r="C6" s="832"/>
      <c r="D6" s="832"/>
      <c r="E6" s="832"/>
      <c r="F6" s="832"/>
      <c r="G6" s="833" t="s">
        <v>370</v>
      </c>
      <c r="H6" s="834"/>
      <c r="I6" s="834"/>
      <c r="J6" s="834"/>
      <c r="K6" s="834"/>
      <c r="L6" s="834"/>
      <c r="M6" s="834"/>
      <c r="N6" s="834"/>
      <c r="O6" s="834"/>
      <c r="P6" s="834"/>
      <c r="Q6" s="834"/>
      <c r="R6" s="834"/>
      <c r="S6" s="834"/>
      <c r="T6" s="834"/>
      <c r="U6" s="834"/>
      <c r="V6" s="834"/>
      <c r="W6" s="834"/>
      <c r="X6" s="834"/>
      <c r="Y6" s="834"/>
      <c r="Z6" s="834"/>
      <c r="AA6" s="834"/>
      <c r="AB6" s="834"/>
      <c r="AC6" s="834"/>
      <c r="AD6" s="834"/>
      <c r="AE6" s="834"/>
      <c r="AF6" s="834"/>
      <c r="AG6" s="834"/>
      <c r="AH6" s="834"/>
      <c r="AI6" s="834"/>
      <c r="AJ6" s="834"/>
      <c r="AK6" s="834"/>
      <c r="AL6" s="834"/>
      <c r="AM6" s="834"/>
      <c r="AN6" s="834"/>
      <c r="AO6" s="834"/>
      <c r="AP6" s="834"/>
      <c r="AQ6" s="834"/>
      <c r="AR6" s="834"/>
      <c r="AS6" s="834"/>
      <c r="AT6" s="834"/>
      <c r="AU6" s="834"/>
      <c r="AV6" s="834"/>
      <c r="AW6" s="834"/>
      <c r="AX6" s="834"/>
      <c r="AY6" s="834"/>
      <c r="AZ6" s="834"/>
      <c r="BA6" s="834"/>
      <c r="BB6" s="834"/>
      <c r="BC6" s="834"/>
      <c r="BD6" s="834"/>
      <c r="BE6" s="834"/>
      <c r="BF6" s="834"/>
      <c r="BG6" s="834"/>
      <c r="BH6" s="834"/>
      <c r="BI6" s="834"/>
      <c r="BJ6" s="834"/>
      <c r="BK6" s="834"/>
      <c r="BL6" s="834"/>
      <c r="BM6" s="834"/>
      <c r="BN6" s="834"/>
      <c r="BO6" s="834"/>
      <c r="BP6" s="834"/>
      <c r="BQ6" s="834"/>
      <c r="BR6" s="834"/>
      <c r="BS6" s="834"/>
      <c r="BT6" s="834"/>
      <c r="BU6" s="834"/>
      <c r="BV6" s="834"/>
      <c r="BW6" s="834"/>
      <c r="BX6" s="834"/>
      <c r="BY6" s="834"/>
      <c r="BZ6" s="834"/>
      <c r="CA6" s="834"/>
      <c r="CB6" s="834"/>
      <c r="CC6" s="834"/>
      <c r="CD6" s="834"/>
      <c r="CE6" s="834"/>
      <c r="CF6" s="834"/>
      <c r="CG6" s="834"/>
      <c r="CH6" s="834"/>
      <c r="CI6" s="834"/>
      <c r="CJ6" s="834"/>
      <c r="CK6" s="834"/>
      <c r="CL6" s="834"/>
      <c r="CM6" s="834"/>
      <c r="CN6" s="834"/>
      <c r="CO6" s="834"/>
      <c r="CP6" s="834"/>
      <c r="CQ6" s="834"/>
      <c r="CR6" s="834"/>
      <c r="CS6" s="834"/>
      <c r="CT6" s="834"/>
      <c r="CU6" s="834"/>
      <c r="CV6" s="834"/>
      <c r="CW6" s="834"/>
      <c r="CX6" s="834"/>
      <c r="CY6" s="834"/>
      <c r="CZ6" s="834"/>
      <c r="DA6" s="834"/>
      <c r="DB6" s="834"/>
      <c r="DC6" s="834"/>
      <c r="DD6" s="834"/>
      <c r="DE6" s="834"/>
      <c r="DF6" s="834"/>
      <c r="DG6" s="834"/>
      <c r="DH6" s="834"/>
      <c r="DI6" s="834"/>
      <c r="DJ6" s="834"/>
      <c r="DK6" s="834"/>
      <c r="DL6" s="834"/>
      <c r="DM6" s="834"/>
      <c r="DN6" s="834"/>
      <c r="DO6" s="834"/>
      <c r="DP6" s="834"/>
      <c r="DQ6" s="834"/>
      <c r="DR6" s="834"/>
      <c r="DS6" s="834"/>
      <c r="DT6" s="834"/>
      <c r="DU6" s="834"/>
      <c r="DV6" s="834"/>
      <c r="DW6" s="834"/>
      <c r="DX6" s="834"/>
      <c r="DY6" s="834"/>
      <c r="DZ6" s="834"/>
      <c r="EA6" s="834"/>
      <c r="EB6" s="834"/>
      <c r="EC6" s="834"/>
      <c r="ED6" s="834"/>
      <c r="EE6" s="834"/>
      <c r="EF6" s="834"/>
      <c r="EG6" s="834"/>
      <c r="EH6" s="834"/>
      <c r="EI6" s="834"/>
      <c r="EJ6" s="834"/>
      <c r="EK6" s="834"/>
      <c r="EL6" s="834"/>
      <c r="EM6" s="834"/>
      <c r="EN6" s="834"/>
      <c r="EO6" s="834"/>
      <c r="EP6" s="834"/>
      <c r="EQ6" s="834"/>
      <c r="ER6" s="834"/>
      <c r="ES6" s="834"/>
      <c r="ET6" s="834"/>
      <c r="EU6" s="834"/>
      <c r="EV6" s="834"/>
      <c r="EW6" s="834"/>
      <c r="EX6" s="834"/>
      <c r="EY6" s="834"/>
      <c r="EZ6" s="834"/>
      <c r="FA6" s="835"/>
    </row>
    <row r="7" spans="1:169" ht="28.5" customHeight="1" thickBot="1" x14ac:dyDescent="0.3">
      <c r="A7" s="831" t="s">
        <v>56</v>
      </c>
      <c r="B7" s="832"/>
      <c r="C7" s="832"/>
      <c r="D7" s="832"/>
      <c r="E7" s="832"/>
      <c r="F7" s="832"/>
      <c r="G7" s="833" t="s">
        <v>371</v>
      </c>
      <c r="H7" s="834"/>
      <c r="I7" s="834"/>
      <c r="J7" s="834"/>
      <c r="K7" s="834"/>
      <c r="L7" s="834"/>
      <c r="M7" s="834"/>
      <c r="N7" s="834"/>
      <c r="O7" s="834"/>
      <c r="P7" s="834"/>
      <c r="Q7" s="834"/>
      <c r="R7" s="834"/>
      <c r="S7" s="834"/>
      <c r="T7" s="834"/>
      <c r="U7" s="834"/>
      <c r="V7" s="834"/>
      <c r="W7" s="834"/>
      <c r="X7" s="834"/>
      <c r="Y7" s="834"/>
      <c r="Z7" s="834"/>
      <c r="AA7" s="834"/>
      <c r="AB7" s="834"/>
      <c r="AC7" s="834"/>
      <c r="AD7" s="834"/>
      <c r="AE7" s="834"/>
      <c r="AF7" s="834"/>
      <c r="AG7" s="834"/>
      <c r="AH7" s="834"/>
      <c r="AI7" s="834"/>
      <c r="AJ7" s="834"/>
      <c r="AK7" s="834"/>
      <c r="AL7" s="834"/>
      <c r="AM7" s="834"/>
      <c r="AN7" s="834"/>
      <c r="AO7" s="834"/>
      <c r="AP7" s="834"/>
      <c r="AQ7" s="834"/>
      <c r="AR7" s="834"/>
      <c r="AS7" s="834"/>
      <c r="AT7" s="834"/>
      <c r="AU7" s="834"/>
      <c r="AV7" s="834"/>
      <c r="AW7" s="834"/>
      <c r="AX7" s="834"/>
      <c r="AY7" s="834"/>
      <c r="AZ7" s="834"/>
      <c r="BA7" s="834"/>
      <c r="BB7" s="834"/>
      <c r="BC7" s="834"/>
      <c r="BD7" s="834"/>
      <c r="BE7" s="834"/>
      <c r="BF7" s="834"/>
      <c r="BG7" s="834"/>
      <c r="BH7" s="834"/>
      <c r="BI7" s="834"/>
      <c r="BJ7" s="834"/>
      <c r="BK7" s="834"/>
      <c r="BL7" s="834"/>
      <c r="BM7" s="834"/>
      <c r="BN7" s="834"/>
      <c r="BO7" s="834"/>
      <c r="BP7" s="834"/>
      <c r="BQ7" s="834"/>
      <c r="BR7" s="834"/>
      <c r="BS7" s="834"/>
      <c r="BT7" s="834"/>
      <c r="BU7" s="834"/>
      <c r="BV7" s="834"/>
      <c r="BW7" s="834"/>
      <c r="BX7" s="834"/>
      <c r="BY7" s="834"/>
      <c r="BZ7" s="834"/>
      <c r="CA7" s="834"/>
      <c r="CB7" s="834"/>
      <c r="CC7" s="834"/>
      <c r="CD7" s="834"/>
      <c r="CE7" s="834"/>
      <c r="CF7" s="834"/>
      <c r="CG7" s="834"/>
      <c r="CH7" s="834"/>
      <c r="CI7" s="834"/>
      <c r="CJ7" s="834"/>
      <c r="CK7" s="834"/>
      <c r="CL7" s="834"/>
      <c r="CM7" s="834"/>
      <c r="CN7" s="834"/>
      <c r="CO7" s="834"/>
      <c r="CP7" s="834"/>
      <c r="CQ7" s="834"/>
      <c r="CR7" s="834"/>
      <c r="CS7" s="834"/>
      <c r="CT7" s="834"/>
      <c r="CU7" s="834"/>
      <c r="CV7" s="834"/>
      <c r="CW7" s="834"/>
      <c r="CX7" s="834"/>
      <c r="CY7" s="834"/>
      <c r="CZ7" s="834"/>
      <c r="DA7" s="834"/>
      <c r="DB7" s="834"/>
      <c r="DC7" s="834"/>
      <c r="DD7" s="834"/>
      <c r="DE7" s="834"/>
      <c r="DF7" s="834"/>
      <c r="DG7" s="834"/>
      <c r="DH7" s="834"/>
      <c r="DI7" s="834"/>
      <c r="DJ7" s="834"/>
      <c r="DK7" s="834"/>
      <c r="DL7" s="834"/>
      <c r="DM7" s="834"/>
      <c r="DN7" s="834"/>
      <c r="DO7" s="834"/>
      <c r="DP7" s="834"/>
      <c r="DQ7" s="834"/>
      <c r="DR7" s="834"/>
      <c r="DS7" s="834"/>
      <c r="DT7" s="834"/>
      <c r="DU7" s="834"/>
      <c r="DV7" s="834"/>
      <c r="DW7" s="834"/>
      <c r="DX7" s="834"/>
      <c r="DY7" s="834"/>
      <c r="DZ7" s="834"/>
      <c r="EA7" s="834"/>
      <c r="EB7" s="834"/>
      <c r="EC7" s="834"/>
      <c r="ED7" s="834"/>
      <c r="EE7" s="834"/>
      <c r="EF7" s="834"/>
      <c r="EG7" s="834"/>
      <c r="EH7" s="834"/>
      <c r="EI7" s="834"/>
      <c r="EJ7" s="834"/>
      <c r="EK7" s="834"/>
      <c r="EL7" s="834"/>
      <c r="EM7" s="834"/>
      <c r="EN7" s="834"/>
      <c r="EO7" s="834"/>
      <c r="EP7" s="834"/>
      <c r="EQ7" s="834"/>
      <c r="ER7" s="834"/>
      <c r="ES7" s="834"/>
      <c r="ET7" s="834"/>
      <c r="EU7" s="834"/>
      <c r="EV7" s="834"/>
      <c r="EW7" s="834"/>
      <c r="EX7" s="834"/>
      <c r="EY7" s="834"/>
      <c r="EZ7" s="834"/>
      <c r="FA7" s="835"/>
    </row>
    <row r="8" spans="1:169" ht="36" customHeight="1" thickBot="1" x14ac:dyDescent="0.3">
      <c r="A8" s="831" t="s">
        <v>1</v>
      </c>
      <c r="B8" s="832"/>
      <c r="C8" s="832"/>
      <c r="D8" s="832"/>
      <c r="E8" s="832"/>
      <c r="F8" s="832"/>
      <c r="G8" s="852" t="s">
        <v>372</v>
      </c>
      <c r="H8" s="853"/>
      <c r="I8" s="853"/>
      <c r="J8" s="853"/>
      <c r="K8" s="853"/>
      <c r="L8" s="853"/>
      <c r="M8" s="853"/>
      <c r="N8" s="853"/>
      <c r="O8" s="853"/>
      <c r="P8" s="853"/>
      <c r="Q8" s="853"/>
      <c r="R8" s="853"/>
      <c r="S8" s="853"/>
      <c r="T8" s="853"/>
      <c r="U8" s="853"/>
      <c r="V8" s="853"/>
      <c r="W8" s="853"/>
      <c r="X8" s="853"/>
      <c r="Y8" s="853"/>
      <c r="Z8" s="853"/>
      <c r="AA8" s="853"/>
      <c r="AB8" s="853"/>
      <c r="AC8" s="853"/>
      <c r="AD8" s="853"/>
      <c r="AE8" s="853"/>
      <c r="AF8" s="853"/>
      <c r="AG8" s="853"/>
      <c r="AH8" s="853"/>
      <c r="AI8" s="853"/>
      <c r="AJ8" s="853"/>
      <c r="AK8" s="853"/>
      <c r="AL8" s="853"/>
      <c r="AM8" s="853"/>
      <c r="AN8" s="853"/>
      <c r="AO8" s="853"/>
      <c r="AP8" s="853"/>
      <c r="AQ8" s="853"/>
      <c r="AR8" s="853"/>
      <c r="AS8" s="853"/>
      <c r="AT8" s="853"/>
      <c r="AU8" s="853"/>
      <c r="AV8" s="853"/>
      <c r="AW8" s="853"/>
      <c r="AX8" s="853"/>
      <c r="AY8" s="853"/>
      <c r="AZ8" s="853"/>
      <c r="BA8" s="853"/>
      <c r="BB8" s="853"/>
      <c r="BC8" s="853"/>
      <c r="BD8" s="853"/>
      <c r="BE8" s="853"/>
      <c r="BF8" s="853"/>
      <c r="BG8" s="853"/>
      <c r="BH8" s="853"/>
      <c r="BI8" s="853"/>
      <c r="BJ8" s="853"/>
      <c r="BK8" s="853"/>
      <c r="BL8" s="853"/>
      <c r="BM8" s="853"/>
      <c r="BN8" s="853"/>
      <c r="BO8" s="853"/>
      <c r="BP8" s="853"/>
      <c r="BQ8" s="853"/>
      <c r="BR8" s="853"/>
      <c r="BS8" s="853"/>
      <c r="BT8" s="853"/>
      <c r="BU8" s="853"/>
      <c r="BV8" s="853"/>
      <c r="BW8" s="853"/>
      <c r="BX8" s="853"/>
      <c r="BY8" s="853"/>
      <c r="BZ8" s="853"/>
      <c r="CA8" s="853"/>
      <c r="CB8" s="853"/>
      <c r="CC8" s="853"/>
      <c r="CD8" s="853"/>
      <c r="CE8" s="853"/>
      <c r="CF8" s="853"/>
      <c r="CG8" s="853"/>
      <c r="CH8" s="853"/>
      <c r="CI8" s="853"/>
      <c r="CJ8" s="853"/>
      <c r="CK8" s="853"/>
      <c r="CL8" s="853"/>
      <c r="CM8" s="853"/>
      <c r="CN8" s="853"/>
      <c r="CO8" s="853"/>
      <c r="CP8" s="853"/>
      <c r="CQ8" s="853"/>
      <c r="CR8" s="853"/>
      <c r="CS8" s="853"/>
      <c r="CT8" s="853"/>
      <c r="CU8" s="853"/>
      <c r="CV8" s="853"/>
      <c r="CW8" s="853"/>
      <c r="CX8" s="853"/>
      <c r="CY8" s="853"/>
      <c r="CZ8" s="853"/>
      <c r="DA8" s="853"/>
      <c r="DB8" s="853"/>
      <c r="DC8" s="853"/>
      <c r="DD8" s="853"/>
      <c r="DE8" s="853"/>
      <c r="DF8" s="853"/>
      <c r="DG8" s="853"/>
      <c r="DH8" s="853"/>
      <c r="DI8" s="853"/>
      <c r="DJ8" s="853"/>
      <c r="DK8" s="853"/>
      <c r="DL8" s="853"/>
      <c r="DM8" s="853"/>
      <c r="DN8" s="853"/>
      <c r="DO8" s="853"/>
      <c r="DP8" s="853"/>
      <c r="DQ8" s="853"/>
      <c r="DR8" s="853"/>
      <c r="DS8" s="853"/>
      <c r="DT8" s="853"/>
      <c r="DU8" s="853"/>
      <c r="DV8" s="853"/>
      <c r="DW8" s="853"/>
      <c r="DX8" s="853"/>
      <c r="DY8" s="853"/>
      <c r="DZ8" s="853"/>
      <c r="EA8" s="853"/>
      <c r="EB8" s="853"/>
      <c r="EC8" s="853"/>
      <c r="ED8" s="853"/>
      <c r="EE8" s="853"/>
      <c r="EF8" s="853"/>
      <c r="EG8" s="853"/>
      <c r="EH8" s="853"/>
      <c r="EI8" s="853"/>
      <c r="EJ8" s="853"/>
      <c r="EK8" s="853"/>
      <c r="EL8" s="853"/>
      <c r="EM8" s="853"/>
      <c r="EN8" s="853"/>
      <c r="EO8" s="853"/>
      <c r="EP8" s="853"/>
      <c r="EQ8" s="853"/>
      <c r="ER8" s="853"/>
      <c r="ES8" s="853"/>
      <c r="ET8" s="853"/>
      <c r="EU8" s="853"/>
      <c r="EV8" s="853"/>
      <c r="EW8" s="853"/>
      <c r="EX8" s="853"/>
      <c r="EY8" s="853"/>
      <c r="EZ8" s="853"/>
      <c r="FA8" s="854"/>
    </row>
    <row r="9" spans="1:169" ht="18.75" thickBot="1" x14ac:dyDescent="0.3">
      <c r="A9" s="319"/>
      <c r="B9" s="320"/>
      <c r="C9" s="320"/>
      <c r="D9" s="320"/>
      <c r="E9" s="320"/>
      <c r="F9" s="320"/>
      <c r="G9" s="554"/>
      <c r="H9" s="554"/>
      <c r="I9" s="554"/>
      <c r="J9" s="554"/>
      <c r="K9" s="554"/>
      <c r="L9" s="554"/>
      <c r="M9" s="554"/>
      <c r="N9" s="554"/>
      <c r="O9" s="554"/>
      <c r="P9" s="554"/>
      <c r="Q9" s="554"/>
      <c r="R9" s="554"/>
      <c r="S9" s="321"/>
      <c r="T9" s="554"/>
      <c r="U9" s="554"/>
      <c r="V9" s="554"/>
      <c r="W9" s="321"/>
      <c r="X9" s="554"/>
      <c r="Y9" s="554"/>
      <c r="Z9" s="554"/>
      <c r="AA9" s="554"/>
      <c r="AB9" s="554"/>
      <c r="AC9" s="554"/>
      <c r="AD9" s="554"/>
      <c r="AE9" s="554"/>
      <c r="AF9" s="554"/>
      <c r="AG9" s="554"/>
      <c r="AH9" s="554"/>
      <c r="AI9" s="554"/>
      <c r="AJ9" s="554"/>
      <c r="AK9" s="554"/>
      <c r="AL9" s="554"/>
      <c r="AM9" s="554"/>
      <c r="AN9" s="554"/>
      <c r="AO9" s="554"/>
      <c r="AP9" s="554"/>
      <c r="AQ9" s="554"/>
      <c r="AR9" s="554"/>
      <c r="AS9" s="554"/>
      <c r="AT9" s="554"/>
      <c r="AU9" s="554"/>
      <c r="AV9" s="554"/>
      <c r="AW9" s="554"/>
      <c r="AX9" s="554"/>
      <c r="AY9" s="554"/>
      <c r="AZ9" s="554"/>
      <c r="BA9" s="554"/>
      <c r="BB9" s="554"/>
      <c r="BC9" s="554"/>
      <c r="BD9" s="554"/>
      <c r="BE9" s="554"/>
      <c r="BF9" s="320"/>
      <c r="BG9" s="320"/>
      <c r="BH9" s="320"/>
      <c r="BI9" s="320"/>
      <c r="BJ9" s="320"/>
      <c r="BK9" s="320"/>
      <c r="BL9" s="320"/>
      <c r="BM9" s="320"/>
      <c r="BN9" s="320"/>
      <c r="BO9" s="320"/>
      <c r="BP9" s="320"/>
      <c r="BQ9" s="320"/>
      <c r="BR9" s="320"/>
      <c r="BS9" s="320"/>
      <c r="BT9" s="320"/>
      <c r="BU9" s="320"/>
      <c r="BV9" s="320"/>
      <c r="BW9" s="320"/>
      <c r="BX9" s="320"/>
      <c r="BY9" s="320"/>
      <c r="BZ9" s="320"/>
      <c r="CA9" s="320"/>
      <c r="CB9" s="320"/>
      <c r="CC9" s="320"/>
      <c r="CD9" s="320"/>
      <c r="CE9" s="320"/>
      <c r="CF9" s="320"/>
      <c r="CG9" s="320"/>
      <c r="CH9" s="320"/>
      <c r="CI9" s="320"/>
      <c r="CJ9" s="320"/>
      <c r="CK9" s="320"/>
      <c r="CL9" s="320"/>
      <c r="CM9" s="320"/>
      <c r="CN9" s="320"/>
      <c r="CO9" s="320"/>
      <c r="CP9" s="320"/>
      <c r="CQ9" s="320"/>
      <c r="CR9" s="320"/>
      <c r="CS9" s="320"/>
      <c r="CT9" s="320"/>
      <c r="CU9" s="320"/>
      <c r="CV9" s="320"/>
      <c r="CW9" s="320"/>
      <c r="CX9" s="320"/>
      <c r="CY9" s="320"/>
      <c r="CZ9" s="320"/>
      <c r="DA9" s="320"/>
      <c r="DB9" s="320"/>
      <c r="DC9" s="320"/>
      <c r="DD9" s="320"/>
      <c r="DE9" s="320"/>
      <c r="DF9" s="320"/>
      <c r="DG9" s="320"/>
      <c r="DH9" s="320"/>
      <c r="DI9" s="320"/>
      <c r="DJ9" s="320"/>
      <c r="DK9" s="320"/>
      <c r="DL9" s="320"/>
      <c r="DM9" s="320"/>
      <c r="DN9" s="320"/>
      <c r="DO9" s="320"/>
      <c r="DP9" s="320"/>
      <c r="DQ9" s="320"/>
      <c r="DR9" s="320"/>
      <c r="DS9" s="320"/>
      <c r="DT9" s="320"/>
      <c r="DU9" s="320"/>
      <c r="DV9" s="320"/>
      <c r="DW9" s="320"/>
      <c r="DX9" s="320"/>
      <c r="DY9" s="320"/>
      <c r="DZ9" s="320"/>
      <c r="EA9" s="320"/>
      <c r="EB9" s="320"/>
      <c r="EC9" s="320"/>
      <c r="ED9" s="320"/>
      <c r="EE9" s="320"/>
      <c r="EF9" s="320"/>
      <c r="EG9" s="320"/>
      <c r="EH9" s="320"/>
      <c r="EI9" s="320"/>
      <c r="EJ9" s="320"/>
      <c r="EK9" s="320"/>
      <c r="EL9" s="320"/>
      <c r="EM9" s="320"/>
      <c r="EN9" s="320"/>
      <c r="EO9" s="320"/>
      <c r="EP9" s="320"/>
      <c r="EQ9" s="320"/>
      <c r="ER9" s="320"/>
      <c r="ES9" s="320"/>
      <c r="ET9" s="320"/>
      <c r="EU9" s="320"/>
      <c r="EV9" s="320"/>
      <c r="EW9" s="322"/>
      <c r="EX9" s="562"/>
      <c r="EY9" s="320"/>
      <c r="EZ9" s="320"/>
      <c r="FA9" s="320"/>
    </row>
    <row r="10" spans="1:169" s="1" customFormat="1" ht="36" customHeight="1" thickBot="1" x14ac:dyDescent="0.25">
      <c r="A10" s="858" t="s">
        <v>73</v>
      </c>
      <c r="B10" s="859"/>
      <c r="C10" s="859"/>
      <c r="D10" s="859"/>
      <c r="E10" s="859"/>
      <c r="F10" s="859"/>
      <c r="G10" s="859"/>
      <c r="H10" s="859"/>
      <c r="I10" s="860"/>
      <c r="J10" s="859" t="s">
        <v>308</v>
      </c>
      <c r="K10" s="859"/>
      <c r="L10" s="859"/>
      <c r="M10" s="859"/>
      <c r="N10" s="859"/>
      <c r="O10" s="859"/>
      <c r="P10" s="859"/>
      <c r="Q10" s="859"/>
      <c r="R10" s="859"/>
      <c r="S10" s="859"/>
      <c r="T10" s="859"/>
      <c r="U10" s="859"/>
      <c r="V10" s="859"/>
      <c r="W10" s="859"/>
      <c r="X10" s="859"/>
      <c r="Y10" s="859"/>
      <c r="Z10" s="859"/>
      <c r="AA10" s="859"/>
      <c r="AB10" s="859"/>
      <c r="AC10" s="859"/>
      <c r="AD10" s="859"/>
      <c r="AE10" s="859"/>
      <c r="AF10" s="859"/>
      <c r="AG10" s="859"/>
      <c r="AH10" s="859"/>
      <c r="AI10" s="859"/>
      <c r="AJ10" s="859"/>
      <c r="AK10" s="859"/>
      <c r="AL10" s="859"/>
      <c r="AM10" s="859"/>
      <c r="AN10" s="859"/>
      <c r="AO10" s="859"/>
      <c r="AP10" s="859"/>
      <c r="AQ10" s="859"/>
      <c r="AR10" s="859"/>
      <c r="AS10" s="859"/>
      <c r="AT10" s="859"/>
      <c r="AU10" s="859"/>
      <c r="AV10" s="859"/>
      <c r="AW10" s="859"/>
      <c r="AX10" s="859"/>
      <c r="AY10" s="859"/>
      <c r="AZ10" s="859"/>
      <c r="BA10" s="859"/>
      <c r="BB10" s="859"/>
      <c r="BC10" s="859"/>
      <c r="BD10" s="859"/>
      <c r="BE10" s="859"/>
      <c r="BF10" s="861"/>
      <c r="BG10" s="861"/>
      <c r="BH10" s="861"/>
      <c r="BI10" s="861"/>
      <c r="BJ10" s="861"/>
      <c r="BK10" s="861"/>
      <c r="BL10" s="861"/>
      <c r="BM10" s="861"/>
      <c r="BN10" s="861"/>
      <c r="BO10" s="861"/>
      <c r="BP10" s="861"/>
      <c r="BQ10" s="861"/>
      <c r="BR10" s="861"/>
      <c r="BS10" s="861"/>
      <c r="BT10" s="861"/>
      <c r="BU10" s="861"/>
      <c r="BV10" s="861"/>
      <c r="BW10" s="861"/>
      <c r="BX10" s="861"/>
      <c r="BY10" s="861"/>
      <c r="BZ10" s="861"/>
      <c r="CA10" s="861"/>
      <c r="CB10" s="861"/>
      <c r="CC10" s="861"/>
      <c r="CD10" s="861"/>
      <c r="CE10" s="861"/>
      <c r="CF10" s="861"/>
      <c r="CG10" s="861"/>
      <c r="CH10" s="861"/>
      <c r="CI10" s="861"/>
      <c r="CJ10" s="859"/>
      <c r="CK10" s="859"/>
      <c r="CL10" s="859"/>
      <c r="CM10" s="859"/>
      <c r="CN10" s="859"/>
      <c r="CO10" s="859"/>
      <c r="CP10" s="859"/>
      <c r="CQ10" s="859"/>
      <c r="CR10" s="859"/>
      <c r="CS10" s="859"/>
      <c r="CT10" s="859"/>
      <c r="CU10" s="859"/>
      <c r="CV10" s="859"/>
      <c r="CW10" s="859"/>
      <c r="CX10" s="859"/>
      <c r="CY10" s="859"/>
      <c r="CZ10" s="859"/>
      <c r="DA10" s="859"/>
      <c r="DB10" s="859"/>
      <c r="DC10" s="859"/>
      <c r="DD10" s="859"/>
      <c r="DE10" s="859"/>
      <c r="DF10" s="859"/>
      <c r="DG10" s="859"/>
      <c r="DH10" s="859"/>
      <c r="DI10" s="859"/>
      <c r="DJ10" s="859"/>
      <c r="DK10" s="859"/>
      <c r="DL10" s="859"/>
      <c r="DM10" s="859"/>
      <c r="DN10" s="859"/>
      <c r="DO10" s="859"/>
      <c r="DP10" s="859"/>
      <c r="DQ10" s="859"/>
      <c r="DR10" s="859"/>
      <c r="DS10" s="859"/>
      <c r="DT10" s="859"/>
      <c r="DU10" s="859"/>
      <c r="DV10" s="859"/>
      <c r="DW10" s="859"/>
      <c r="DX10" s="859"/>
      <c r="DY10" s="859"/>
      <c r="DZ10" s="859"/>
      <c r="EA10" s="859"/>
      <c r="EB10" s="859"/>
      <c r="EC10" s="859"/>
      <c r="ED10" s="859"/>
      <c r="EE10" s="859"/>
      <c r="EF10" s="859"/>
      <c r="EG10" s="859"/>
      <c r="EH10" s="859"/>
      <c r="EI10" s="859"/>
      <c r="EJ10" s="859"/>
      <c r="EK10" s="859"/>
      <c r="EL10" s="859"/>
      <c r="EM10" s="859"/>
      <c r="EN10" s="859"/>
      <c r="EO10" s="859"/>
      <c r="EP10" s="859"/>
      <c r="EQ10" s="860"/>
      <c r="ER10" s="862" t="s">
        <v>302</v>
      </c>
      <c r="ES10" s="862" t="s">
        <v>303</v>
      </c>
      <c r="ET10" s="864" t="s">
        <v>304</v>
      </c>
      <c r="EU10" s="866" t="s">
        <v>355</v>
      </c>
      <c r="EV10" s="864" t="s">
        <v>349</v>
      </c>
      <c r="EW10" s="871" t="s">
        <v>350</v>
      </c>
      <c r="EX10" s="874" t="s">
        <v>351</v>
      </c>
      <c r="EY10" s="874" t="s">
        <v>352</v>
      </c>
      <c r="EZ10" s="874" t="s">
        <v>354</v>
      </c>
      <c r="FA10" s="855" t="s">
        <v>353</v>
      </c>
      <c r="FB10" s="331"/>
    </row>
    <row r="11" spans="1:169" s="1" customFormat="1" ht="24.75" customHeight="1" thickBot="1" x14ac:dyDescent="0.25">
      <c r="A11" s="858" t="s">
        <v>83</v>
      </c>
      <c r="B11" s="859"/>
      <c r="C11" s="859"/>
      <c r="D11" s="859"/>
      <c r="E11" s="859"/>
      <c r="F11" s="859"/>
      <c r="G11" s="859"/>
      <c r="H11" s="859"/>
      <c r="I11" s="860"/>
      <c r="J11" s="868" t="s">
        <v>49</v>
      </c>
      <c r="K11" s="869"/>
      <c r="L11" s="869"/>
      <c r="M11" s="869"/>
      <c r="N11" s="869"/>
      <c r="O11" s="869"/>
      <c r="P11" s="869"/>
      <c r="Q11" s="869"/>
      <c r="R11" s="869"/>
      <c r="S11" s="869"/>
      <c r="T11" s="869"/>
      <c r="U11" s="869"/>
      <c r="V11" s="869"/>
      <c r="W11" s="869"/>
      <c r="X11" s="869"/>
      <c r="Y11" s="869"/>
      <c r="Z11" s="869"/>
      <c r="AA11" s="870"/>
      <c r="AB11" s="868" t="s">
        <v>50</v>
      </c>
      <c r="AC11" s="869"/>
      <c r="AD11" s="869"/>
      <c r="AE11" s="869"/>
      <c r="AF11" s="869"/>
      <c r="AG11" s="869"/>
      <c r="AH11" s="869"/>
      <c r="AI11" s="869"/>
      <c r="AJ11" s="869"/>
      <c r="AK11" s="869"/>
      <c r="AL11" s="869"/>
      <c r="AM11" s="869"/>
      <c r="AN11" s="869"/>
      <c r="AO11" s="869"/>
      <c r="AP11" s="869"/>
      <c r="AQ11" s="869"/>
      <c r="AR11" s="869"/>
      <c r="AS11" s="869"/>
      <c r="AT11" s="869"/>
      <c r="AU11" s="869"/>
      <c r="AV11" s="869"/>
      <c r="AW11" s="869"/>
      <c r="AX11" s="869"/>
      <c r="AY11" s="869"/>
      <c r="AZ11" s="869"/>
      <c r="BA11" s="869"/>
      <c r="BB11" s="869"/>
      <c r="BC11" s="869"/>
      <c r="BD11" s="869"/>
      <c r="BE11" s="869"/>
      <c r="BF11" s="868" t="s">
        <v>62</v>
      </c>
      <c r="BG11" s="869"/>
      <c r="BH11" s="869"/>
      <c r="BI11" s="869"/>
      <c r="BJ11" s="869"/>
      <c r="BK11" s="869"/>
      <c r="BL11" s="869"/>
      <c r="BM11" s="869"/>
      <c r="BN11" s="869"/>
      <c r="BO11" s="869"/>
      <c r="BP11" s="869"/>
      <c r="BQ11" s="869"/>
      <c r="BR11" s="869"/>
      <c r="BS11" s="869"/>
      <c r="BT11" s="869"/>
      <c r="BU11" s="869"/>
      <c r="BV11" s="869"/>
      <c r="BW11" s="869"/>
      <c r="BX11" s="869"/>
      <c r="BY11" s="869"/>
      <c r="BZ11" s="869"/>
      <c r="CA11" s="869"/>
      <c r="CB11" s="869"/>
      <c r="CC11" s="869"/>
      <c r="CD11" s="869"/>
      <c r="CE11" s="869"/>
      <c r="CF11" s="869"/>
      <c r="CG11" s="869"/>
      <c r="CH11" s="869"/>
      <c r="CI11" s="869"/>
      <c r="CJ11" s="869" t="s">
        <v>63</v>
      </c>
      <c r="CK11" s="869"/>
      <c r="CL11" s="869"/>
      <c r="CM11" s="869"/>
      <c r="CN11" s="869"/>
      <c r="CO11" s="869"/>
      <c r="CP11" s="869"/>
      <c r="CQ11" s="869"/>
      <c r="CR11" s="869"/>
      <c r="CS11" s="869"/>
      <c r="CT11" s="869"/>
      <c r="CU11" s="869"/>
      <c r="CV11" s="869"/>
      <c r="CW11" s="869"/>
      <c r="CX11" s="869"/>
      <c r="CY11" s="869"/>
      <c r="CZ11" s="869"/>
      <c r="DA11" s="869"/>
      <c r="DB11" s="869"/>
      <c r="DC11" s="869"/>
      <c r="DD11" s="869"/>
      <c r="DE11" s="869"/>
      <c r="DF11" s="869"/>
      <c r="DG11" s="869"/>
      <c r="DH11" s="869"/>
      <c r="DI11" s="869"/>
      <c r="DJ11" s="869"/>
      <c r="DK11" s="869"/>
      <c r="DL11" s="869"/>
      <c r="DM11" s="869"/>
      <c r="DN11" s="868" t="s">
        <v>64</v>
      </c>
      <c r="DO11" s="869"/>
      <c r="DP11" s="869"/>
      <c r="DQ11" s="869"/>
      <c r="DR11" s="869"/>
      <c r="DS11" s="869"/>
      <c r="DT11" s="869"/>
      <c r="DU11" s="869"/>
      <c r="DV11" s="869"/>
      <c r="DW11" s="869"/>
      <c r="DX11" s="869"/>
      <c r="DY11" s="869"/>
      <c r="DZ11" s="869"/>
      <c r="EA11" s="869"/>
      <c r="EB11" s="869"/>
      <c r="EC11" s="869"/>
      <c r="ED11" s="869"/>
      <c r="EE11" s="869"/>
      <c r="EF11" s="869"/>
      <c r="EG11" s="869"/>
      <c r="EH11" s="869"/>
      <c r="EI11" s="869"/>
      <c r="EJ11" s="869"/>
      <c r="EK11" s="869"/>
      <c r="EL11" s="869"/>
      <c r="EM11" s="869"/>
      <c r="EN11" s="869"/>
      <c r="EO11" s="869"/>
      <c r="EP11" s="869"/>
      <c r="EQ11" s="869"/>
      <c r="ER11" s="863"/>
      <c r="ES11" s="863"/>
      <c r="ET11" s="865"/>
      <c r="EU11" s="867"/>
      <c r="EV11" s="865"/>
      <c r="EW11" s="872"/>
      <c r="EX11" s="875"/>
      <c r="EY11" s="875"/>
      <c r="EZ11" s="875"/>
      <c r="FA11" s="856"/>
      <c r="FB11" s="331"/>
    </row>
    <row r="12" spans="1:169" s="1" customFormat="1" ht="87.75" customHeight="1" x14ac:dyDescent="0.2">
      <c r="A12" s="443" t="s">
        <v>74</v>
      </c>
      <c r="B12" s="443" t="s">
        <v>75</v>
      </c>
      <c r="C12" s="444" t="s">
        <v>76</v>
      </c>
      <c r="D12" s="444" t="s">
        <v>77</v>
      </c>
      <c r="E12" s="444" t="s">
        <v>78</v>
      </c>
      <c r="F12" s="444" t="s">
        <v>79</v>
      </c>
      <c r="G12" s="444" t="s">
        <v>80</v>
      </c>
      <c r="H12" s="444" t="s">
        <v>81</v>
      </c>
      <c r="I12" s="445" t="s">
        <v>82</v>
      </c>
      <c r="J12" s="229" t="s">
        <v>317</v>
      </c>
      <c r="K12" s="207" t="s">
        <v>293</v>
      </c>
      <c r="L12" s="208" t="s">
        <v>58</v>
      </c>
      <c r="M12" s="207" t="s">
        <v>294</v>
      </c>
      <c r="N12" s="208" t="s">
        <v>59</v>
      </c>
      <c r="O12" s="207" t="s">
        <v>295</v>
      </c>
      <c r="P12" s="208" t="s">
        <v>60</v>
      </c>
      <c r="Q12" s="207" t="s">
        <v>296</v>
      </c>
      <c r="R12" s="208" t="s">
        <v>61</v>
      </c>
      <c r="S12" s="207" t="s">
        <v>297</v>
      </c>
      <c r="T12" s="208" t="s">
        <v>51</v>
      </c>
      <c r="U12" s="207" t="s">
        <v>298</v>
      </c>
      <c r="V12" s="209" t="s">
        <v>301</v>
      </c>
      <c r="W12" s="222" t="s">
        <v>299</v>
      </c>
      <c r="X12" s="446" t="s">
        <v>356</v>
      </c>
      <c r="Y12" s="202" t="s">
        <v>357</v>
      </c>
      <c r="Z12" s="203" t="s">
        <v>358</v>
      </c>
      <c r="AA12" s="202" t="s">
        <v>359</v>
      </c>
      <c r="AB12" s="229" t="s">
        <v>317</v>
      </c>
      <c r="AC12" s="207" t="s">
        <v>287</v>
      </c>
      <c r="AD12" s="208" t="s">
        <v>52</v>
      </c>
      <c r="AE12" s="207" t="s">
        <v>288</v>
      </c>
      <c r="AF12" s="208" t="s">
        <v>53</v>
      </c>
      <c r="AG12" s="207" t="s">
        <v>289</v>
      </c>
      <c r="AH12" s="208" t="s">
        <v>54</v>
      </c>
      <c r="AI12" s="207" t="s">
        <v>290</v>
      </c>
      <c r="AJ12" s="208" t="s">
        <v>55</v>
      </c>
      <c r="AK12" s="207" t="s">
        <v>291</v>
      </c>
      <c r="AL12" s="208" t="s">
        <v>57</v>
      </c>
      <c r="AM12" s="207" t="s">
        <v>292</v>
      </c>
      <c r="AN12" s="208" t="s">
        <v>300</v>
      </c>
      <c r="AO12" s="207" t="s">
        <v>293</v>
      </c>
      <c r="AP12" s="208" t="s">
        <v>58</v>
      </c>
      <c r="AQ12" s="207" t="s">
        <v>294</v>
      </c>
      <c r="AR12" s="208" t="s">
        <v>59</v>
      </c>
      <c r="AS12" s="207" t="s">
        <v>295</v>
      </c>
      <c r="AT12" s="208" t="s">
        <v>60</v>
      </c>
      <c r="AU12" s="207" t="s">
        <v>296</v>
      </c>
      <c r="AV12" s="208" t="s">
        <v>61</v>
      </c>
      <c r="AW12" s="207" t="s">
        <v>297</v>
      </c>
      <c r="AX12" s="208" t="s">
        <v>51</v>
      </c>
      <c r="AY12" s="207" t="s">
        <v>298</v>
      </c>
      <c r="AZ12" s="209" t="s">
        <v>301</v>
      </c>
      <c r="BA12" s="222" t="s">
        <v>299</v>
      </c>
      <c r="BB12" s="201" t="s">
        <v>347</v>
      </c>
      <c r="BC12" s="202" t="s">
        <v>346</v>
      </c>
      <c r="BD12" s="203" t="s">
        <v>345</v>
      </c>
      <c r="BE12" s="202" t="s">
        <v>344</v>
      </c>
      <c r="BF12" s="351" t="s">
        <v>317</v>
      </c>
      <c r="BG12" s="352" t="s">
        <v>287</v>
      </c>
      <c r="BH12" s="353" t="s">
        <v>52</v>
      </c>
      <c r="BI12" s="352" t="s">
        <v>288</v>
      </c>
      <c r="BJ12" s="353" t="s">
        <v>53</v>
      </c>
      <c r="BK12" s="352" t="s">
        <v>289</v>
      </c>
      <c r="BL12" s="353" t="s">
        <v>54</v>
      </c>
      <c r="BM12" s="352" t="s">
        <v>290</v>
      </c>
      <c r="BN12" s="353" t="s">
        <v>55</v>
      </c>
      <c r="BO12" s="352" t="s">
        <v>291</v>
      </c>
      <c r="BP12" s="353" t="s">
        <v>57</v>
      </c>
      <c r="BQ12" s="352" t="s">
        <v>292</v>
      </c>
      <c r="BR12" s="353" t="s">
        <v>300</v>
      </c>
      <c r="BS12" s="352" t="s">
        <v>293</v>
      </c>
      <c r="BT12" s="353" t="s">
        <v>58</v>
      </c>
      <c r="BU12" s="352" t="s">
        <v>294</v>
      </c>
      <c r="BV12" s="353" t="s">
        <v>59</v>
      </c>
      <c r="BW12" s="352" t="s">
        <v>295</v>
      </c>
      <c r="BX12" s="353" t="s">
        <v>60</v>
      </c>
      <c r="BY12" s="352" t="s">
        <v>296</v>
      </c>
      <c r="BZ12" s="353" t="s">
        <v>61</v>
      </c>
      <c r="CA12" s="352" t="s">
        <v>297</v>
      </c>
      <c r="CB12" s="353" t="s">
        <v>51</v>
      </c>
      <c r="CC12" s="352" t="s">
        <v>298</v>
      </c>
      <c r="CD12" s="354" t="s">
        <v>301</v>
      </c>
      <c r="CE12" s="555" t="s">
        <v>299</v>
      </c>
      <c r="CF12" s="355" t="s">
        <v>305</v>
      </c>
      <c r="CG12" s="356" t="s">
        <v>428</v>
      </c>
      <c r="CH12" s="355" t="s">
        <v>306</v>
      </c>
      <c r="CI12" s="356" t="s">
        <v>427</v>
      </c>
      <c r="CJ12" s="447" t="s">
        <v>317</v>
      </c>
      <c r="CK12" s="207" t="s">
        <v>287</v>
      </c>
      <c r="CL12" s="208" t="s">
        <v>52</v>
      </c>
      <c r="CM12" s="207" t="s">
        <v>288</v>
      </c>
      <c r="CN12" s="208" t="s">
        <v>53</v>
      </c>
      <c r="CO12" s="207" t="s">
        <v>289</v>
      </c>
      <c r="CP12" s="208" t="s">
        <v>54</v>
      </c>
      <c r="CQ12" s="207" t="s">
        <v>290</v>
      </c>
      <c r="CR12" s="208" t="s">
        <v>55</v>
      </c>
      <c r="CS12" s="207" t="s">
        <v>291</v>
      </c>
      <c r="CT12" s="208" t="s">
        <v>57</v>
      </c>
      <c r="CU12" s="207" t="s">
        <v>292</v>
      </c>
      <c r="CV12" s="208" t="s">
        <v>300</v>
      </c>
      <c r="CW12" s="207" t="s">
        <v>293</v>
      </c>
      <c r="CX12" s="208" t="s">
        <v>58</v>
      </c>
      <c r="CY12" s="207" t="s">
        <v>294</v>
      </c>
      <c r="CZ12" s="208" t="s">
        <v>59</v>
      </c>
      <c r="DA12" s="207" t="s">
        <v>295</v>
      </c>
      <c r="DB12" s="208" t="s">
        <v>60</v>
      </c>
      <c r="DC12" s="207" t="s">
        <v>296</v>
      </c>
      <c r="DD12" s="208" t="s">
        <v>61</v>
      </c>
      <c r="DE12" s="207" t="s">
        <v>297</v>
      </c>
      <c r="DF12" s="208" t="s">
        <v>51</v>
      </c>
      <c r="DG12" s="207" t="s">
        <v>298</v>
      </c>
      <c r="DH12" s="209" t="s">
        <v>301</v>
      </c>
      <c r="DI12" s="222" t="s">
        <v>299</v>
      </c>
      <c r="DJ12" s="197" t="s">
        <v>309</v>
      </c>
      <c r="DK12" s="198" t="s">
        <v>310</v>
      </c>
      <c r="DL12" s="199" t="s">
        <v>311</v>
      </c>
      <c r="DM12" s="198" t="s">
        <v>312</v>
      </c>
      <c r="DN12" s="447" t="s">
        <v>317</v>
      </c>
      <c r="DO12" s="207" t="s">
        <v>287</v>
      </c>
      <c r="DP12" s="208" t="s">
        <v>52</v>
      </c>
      <c r="DQ12" s="207" t="s">
        <v>288</v>
      </c>
      <c r="DR12" s="208" t="s">
        <v>53</v>
      </c>
      <c r="DS12" s="207" t="s">
        <v>289</v>
      </c>
      <c r="DT12" s="208" t="s">
        <v>54</v>
      </c>
      <c r="DU12" s="207" t="s">
        <v>290</v>
      </c>
      <c r="DV12" s="208" t="s">
        <v>55</v>
      </c>
      <c r="DW12" s="207" t="s">
        <v>291</v>
      </c>
      <c r="DX12" s="208" t="s">
        <v>57</v>
      </c>
      <c r="DY12" s="207" t="s">
        <v>292</v>
      </c>
      <c r="DZ12" s="208" t="s">
        <v>300</v>
      </c>
      <c r="EA12" s="207" t="s">
        <v>293</v>
      </c>
      <c r="EB12" s="208" t="s">
        <v>58</v>
      </c>
      <c r="EC12" s="207" t="s">
        <v>294</v>
      </c>
      <c r="ED12" s="208" t="s">
        <v>59</v>
      </c>
      <c r="EE12" s="207" t="s">
        <v>295</v>
      </c>
      <c r="EF12" s="208" t="s">
        <v>60</v>
      </c>
      <c r="EG12" s="207" t="s">
        <v>296</v>
      </c>
      <c r="EH12" s="208" t="s">
        <v>61</v>
      </c>
      <c r="EI12" s="207" t="s">
        <v>297</v>
      </c>
      <c r="EJ12" s="208" t="s">
        <v>51</v>
      </c>
      <c r="EK12" s="207" t="s">
        <v>298</v>
      </c>
      <c r="EL12" s="209" t="s">
        <v>301</v>
      </c>
      <c r="EM12" s="222" t="s">
        <v>299</v>
      </c>
      <c r="EN12" s="197" t="s">
        <v>313</v>
      </c>
      <c r="EO12" s="198" t="s">
        <v>314</v>
      </c>
      <c r="EP12" s="199" t="s">
        <v>315</v>
      </c>
      <c r="EQ12" s="448" t="s">
        <v>316</v>
      </c>
      <c r="ER12" s="863"/>
      <c r="ES12" s="863"/>
      <c r="ET12" s="865"/>
      <c r="EU12" s="867"/>
      <c r="EV12" s="865"/>
      <c r="EW12" s="873"/>
      <c r="EX12" s="876"/>
      <c r="EY12" s="876"/>
      <c r="EZ12" s="876"/>
      <c r="FA12" s="857"/>
      <c r="FB12" s="331"/>
      <c r="FD12" s="323"/>
      <c r="FE12" s="323"/>
      <c r="FF12" s="324"/>
      <c r="FH12" s="325"/>
      <c r="FJ12" s="323"/>
    </row>
    <row r="13" spans="1:169" s="326" customFormat="1" ht="190.5" customHeight="1" x14ac:dyDescent="0.2">
      <c r="A13" s="877">
        <v>2</v>
      </c>
      <c r="B13" s="877">
        <v>38</v>
      </c>
      <c r="C13" s="877">
        <v>290</v>
      </c>
      <c r="D13" s="878" t="s">
        <v>364</v>
      </c>
      <c r="E13" s="756">
        <v>307</v>
      </c>
      <c r="F13" s="719" t="s">
        <v>365</v>
      </c>
      <c r="G13" s="756" t="s">
        <v>367</v>
      </c>
      <c r="H13" s="756" t="s">
        <v>368</v>
      </c>
      <c r="I13" s="757">
        <f>AA13+BE13+CI13+DM13+DN13</f>
        <v>43000000</v>
      </c>
      <c r="J13" s="758">
        <v>4250000</v>
      </c>
      <c r="K13" s="759">
        <f>J13</f>
        <v>4250000</v>
      </c>
      <c r="L13" s="759">
        <v>0</v>
      </c>
      <c r="M13" s="759">
        <f>J13</f>
        <v>4250000</v>
      </c>
      <c r="N13" s="759">
        <v>195298.78</v>
      </c>
      <c r="O13" s="759">
        <f>J13</f>
        <v>4250000</v>
      </c>
      <c r="P13" s="757">
        <v>1138224.07</v>
      </c>
      <c r="Q13" s="759">
        <f>J13</f>
        <v>4250000</v>
      </c>
      <c r="R13" s="759">
        <v>2532795</v>
      </c>
      <c r="S13" s="759">
        <v>4250000</v>
      </c>
      <c r="T13" s="757">
        <f>3616026.55+4465.05</f>
        <v>3620491.5999999996</v>
      </c>
      <c r="U13" s="759">
        <v>4365906.53</v>
      </c>
      <c r="V13" s="757">
        <v>4365906.53</v>
      </c>
      <c r="W13" s="757">
        <v>4365906.53</v>
      </c>
      <c r="X13" s="757">
        <v>4365906.53</v>
      </c>
      <c r="Y13" s="760">
        <v>4365906.53</v>
      </c>
      <c r="Z13" s="757">
        <v>4365906.53</v>
      </c>
      <c r="AA13" s="757">
        <v>4365906.53</v>
      </c>
      <c r="AB13" s="757">
        <v>8400000</v>
      </c>
      <c r="AC13" s="757"/>
      <c r="AD13" s="757">
        <v>0</v>
      </c>
      <c r="AE13" s="681">
        <v>1447134.15</v>
      </c>
      <c r="AF13" s="757">
        <v>1447134.15</v>
      </c>
      <c r="AG13" s="681">
        <v>780000</v>
      </c>
      <c r="AH13" s="757">
        <f>1848562.81-AF13</f>
        <v>401428.66000000015</v>
      </c>
      <c r="AI13" s="681">
        <v>444000</v>
      </c>
      <c r="AJ13" s="757">
        <v>591858.14</v>
      </c>
      <c r="AK13" s="681">
        <v>780000</v>
      </c>
      <c r="AL13" s="757">
        <v>997088.87972000032</v>
      </c>
      <c r="AM13" s="681">
        <v>780000</v>
      </c>
      <c r="AN13" s="757">
        <v>718443.85027999943</v>
      </c>
      <c r="AO13" s="681">
        <v>780000</v>
      </c>
      <c r="AP13" s="759">
        <v>601656.99</v>
      </c>
      <c r="AQ13" s="681">
        <v>780000</v>
      </c>
      <c r="AR13" s="759">
        <v>698998.95000000019</v>
      </c>
      <c r="AS13" s="681">
        <v>780000</v>
      </c>
      <c r="AT13" s="759">
        <v>999023.46999999974</v>
      </c>
      <c r="AU13" s="681">
        <v>612000</v>
      </c>
      <c r="AV13" s="757">
        <v>683158.63999999897</v>
      </c>
      <c r="AW13" s="681">
        <v>612000</v>
      </c>
      <c r="AX13" s="761">
        <v>940540.25000000186</v>
      </c>
      <c r="AY13" s="681">
        <v>604865.85</v>
      </c>
      <c r="AZ13" s="761">
        <v>387617.4299999997</v>
      </c>
      <c r="BA13" s="719">
        <f>AY13+AW13+AU13+AS13+AQ13+AO13+AM13+AK13+AI13+AG13+AE13</f>
        <v>8400000</v>
      </c>
      <c r="BB13" s="719">
        <f>AC13+AE13+AG13+AI13+AK13+AM13+AO13+AQ13+AS13+AU13+AW13+AY13</f>
        <v>8400000</v>
      </c>
      <c r="BC13" s="720">
        <f>AD13+AF13+AH13+AJ13+AL13+AN13+AP13+AR13+AT13+AV13+AX13+AZ13</f>
        <v>8466949.4100000001</v>
      </c>
      <c r="BD13" s="719">
        <f>AY13+AW13+AU13+AS13+AQ13+AO13+AM13+AK13+AI13+AG13+AE13</f>
        <v>8400000</v>
      </c>
      <c r="BE13" s="720">
        <f>AD13+AF13+AH13+AJ13+AL13+AN13+AP13+AR13+AT13+AV13+AX13+AZ13</f>
        <v>8466949.4100000001</v>
      </c>
      <c r="BF13" s="762">
        <f>CH13</f>
        <v>13651068.640000004</v>
      </c>
      <c r="BG13" s="720">
        <v>0</v>
      </c>
      <c r="BH13" s="720">
        <v>0</v>
      </c>
      <c r="BI13" s="720">
        <v>702043</v>
      </c>
      <c r="BJ13" s="720">
        <v>567695.46</v>
      </c>
      <c r="BK13" s="763">
        <v>1334980</v>
      </c>
      <c r="BL13" s="763">
        <v>1562431.48</v>
      </c>
      <c r="BM13" s="720">
        <v>1334480</v>
      </c>
      <c r="BN13" s="720">
        <v>1496249.87</v>
      </c>
      <c r="BO13" s="720">
        <v>1454480</v>
      </c>
      <c r="BP13" s="720">
        <v>1391895.1300000004</v>
      </c>
      <c r="BQ13" s="720">
        <v>1459408.04</v>
      </c>
      <c r="BR13" s="720">
        <v>1387490.1899999995</v>
      </c>
      <c r="BS13" s="720">
        <v>1454980</v>
      </c>
      <c r="BT13" s="720">
        <v>1387831.9800000004</v>
      </c>
      <c r="BU13" s="720">
        <v>1333820</v>
      </c>
      <c r="BV13" s="720">
        <v>1388281.21</v>
      </c>
      <c r="BW13" s="720">
        <v>1333320</v>
      </c>
      <c r="BX13" s="720">
        <v>1386246.28</v>
      </c>
      <c r="BY13" s="720">
        <v>1333320</v>
      </c>
      <c r="BZ13" s="720">
        <v>1598505.120000001</v>
      </c>
      <c r="CA13" s="720">
        <v>1332820</v>
      </c>
      <c r="CB13" s="720">
        <v>1175807.6099999994</v>
      </c>
      <c r="CC13" s="719">
        <v>577417.60000000522</v>
      </c>
      <c r="CD13" s="719">
        <v>308634.31000000052</v>
      </c>
      <c r="CE13" s="719">
        <f>BI13+BK13+BM13+BO13+BQ13+BS13+BU13+BW13+BY13+CA13+CC13</f>
        <v>13651068.640000004</v>
      </c>
      <c r="CF13" s="720">
        <f>BG13+BI13+BK13+BM13+BO13+BQ13+BS13+BU13+BW13+BY13+CA13+CC13</f>
        <v>13651068.640000004</v>
      </c>
      <c r="CG13" s="720">
        <f>BH13+BJ13+BL13+BN13+BP13+BR13+BT13+BV13+BX13+BZ13+CB13+CD13</f>
        <v>13651068.640000001</v>
      </c>
      <c r="CH13" s="720">
        <f>CC13+CA13+BY13+BW13+BU13+BS13+BQ13+BO13+BM13+BK13+BI13</f>
        <v>13651068.640000004</v>
      </c>
      <c r="CI13" s="720">
        <f>CD13+CB13+BZ13+BX13+BV13+BT13+BR13+BP13+BN13+BL13+BJ13</f>
        <v>13651068.640000004</v>
      </c>
      <c r="CJ13" s="757">
        <v>12000000</v>
      </c>
      <c r="CK13" s="720">
        <v>16409.77</v>
      </c>
      <c r="CL13" s="720">
        <v>16409.77</v>
      </c>
      <c r="CM13" s="720">
        <v>394482.64</v>
      </c>
      <c r="CN13" s="720">
        <v>394482.64</v>
      </c>
      <c r="CO13" s="720">
        <v>1140826.2799999998</v>
      </c>
      <c r="CP13" s="720">
        <v>1140826.2799999998</v>
      </c>
      <c r="CQ13" s="720">
        <v>1320000</v>
      </c>
      <c r="CR13" s="720">
        <v>1209347.0500000003</v>
      </c>
      <c r="CS13" s="720">
        <v>1320000</v>
      </c>
      <c r="CT13" s="720">
        <v>1200352.32</v>
      </c>
      <c r="CU13" s="720">
        <v>1320000</v>
      </c>
      <c r="CV13" s="722">
        <v>1164376.17</v>
      </c>
      <c r="CW13" s="720">
        <v>1320000</v>
      </c>
      <c r="CX13" s="720">
        <v>1283557.7699999996</v>
      </c>
      <c r="CY13" s="720">
        <v>1200000</v>
      </c>
      <c r="CZ13" s="720">
        <v>1148990.5162000004</v>
      </c>
      <c r="DA13" s="719">
        <v>1200000</v>
      </c>
      <c r="DB13" s="720">
        <v>1149894.4921999995</v>
      </c>
      <c r="DC13" s="719">
        <v>1200000</v>
      </c>
      <c r="DD13" s="720">
        <f>1057020.4316+316.07</f>
        <v>1057336.5016000001</v>
      </c>
      <c r="DE13" s="719">
        <v>1020000</v>
      </c>
      <c r="DF13" s="720">
        <v>1013833.3899999987</v>
      </c>
      <c r="DG13" s="720">
        <v>548281.31000000006</v>
      </c>
      <c r="DH13" s="720">
        <v>770273.1099999994</v>
      </c>
      <c r="DI13" s="719">
        <f>CK13+CM13+CO13+CQ13+CS13+CU13+CW13+CY13+DA13+DC13+DE13+DG13</f>
        <v>12000000</v>
      </c>
      <c r="DJ13" s="722">
        <f>CK13+CM13+CO13+CQ13+CS13+CU13+CW13+CY13+DA13+DC13+DE13+DG13</f>
        <v>12000000</v>
      </c>
      <c r="DK13" s="722">
        <f>CL13+CN13+CP13+CR13+CT13+CV13+CX13+CZ13+DB13+DD13+DF13+DH13</f>
        <v>11549680.01</v>
      </c>
      <c r="DL13" s="719">
        <f>CK13+CM13+CO13+CQ13+CS13+CU13+CW13+CY13+DA13+DC13+DE13+DG13</f>
        <v>12000000</v>
      </c>
      <c r="DM13" s="720">
        <f>CL13+CN13+CP13+CR13+CT13+CV13+CX13+CZ13+DB13+DD13+DF13+DH13</f>
        <v>11549680.01</v>
      </c>
      <c r="DN13" s="760">
        <f>EM13</f>
        <v>4966395.41</v>
      </c>
      <c r="DO13" s="720">
        <v>500000</v>
      </c>
      <c r="DP13" s="720">
        <v>609279.43000000005</v>
      </c>
      <c r="DQ13" s="720">
        <v>500000</v>
      </c>
      <c r="DR13" s="720">
        <v>516491.6</v>
      </c>
      <c r="DS13" s="720">
        <v>1200000</v>
      </c>
      <c r="DT13" s="720">
        <v>539181.03</v>
      </c>
      <c r="DU13" s="720">
        <v>1400000</v>
      </c>
      <c r="DV13" s="720"/>
      <c r="DW13" s="720">
        <f>1366075.41+320</f>
        <v>1366395.41</v>
      </c>
      <c r="DX13" s="719"/>
      <c r="DY13" s="719"/>
      <c r="DZ13" s="719"/>
      <c r="EA13" s="719"/>
      <c r="EB13" s="719"/>
      <c r="EC13" s="719"/>
      <c r="ED13" s="719"/>
      <c r="EE13" s="719"/>
      <c r="EF13" s="719"/>
      <c r="EG13" s="719"/>
      <c r="EH13" s="719"/>
      <c r="EI13" s="719"/>
      <c r="EJ13" s="719"/>
      <c r="EK13" s="719"/>
      <c r="EL13" s="719"/>
      <c r="EM13" s="720">
        <f>DO13+DQ13+DS13+DU13+DW13</f>
        <v>4966395.41</v>
      </c>
      <c r="EN13" s="719">
        <f>DO13+DQ13+DS13</f>
        <v>2200000</v>
      </c>
      <c r="EO13" s="720">
        <f>DP13+DR13+DT13+DV13+DX13</f>
        <v>1664952.06</v>
      </c>
      <c r="EP13" s="720">
        <f>DO13+DQ13+DS13+DU13+DW13</f>
        <v>4966395.41</v>
      </c>
      <c r="EQ13" s="720">
        <f>DP13+DR13+DT13+DV13+DX13</f>
        <v>1664952.06</v>
      </c>
      <c r="ER13" s="764">
        <f>DT13/DS13</f>
        <v>0.44931752500000005</v>
      </c>
      <c r="ES13" s="765">
        <f>EO13/EN13</f>
        <v>0.7567963909090909</v>
      </c>
      <c r="ET13" s="766">
        <f>EQ13/EP13</f>
        <v>0.33524355645294862</v>
      </c>
      <c r="EU13" s="766">
        <f>(AA13+BE13+CI13+DM13+EO13)/(Z13+BD13+CH13+DL13+EN13)</f>
        <v>0.97738830830813939</v>
      </c>
      <c r="EV13" s="697">
        <f>(AA13+BE13+CI13+DM13+EQ13)/I13</f>
        <v>0.92322224767441874</v>
      </c>
      <c r="EW13" s="767" t="s">
        <v>766</v>
      </c>
      <c r="EX13" s="768" t="s">
        <v>71</v>
      </c>
      <c r="EY13" s="768" t="s">
        <v>549</v>
      </c>
      <c r="EZ13" s="769" t="s">
        <v>429</v>
      </c>
      <c r="FA13" s="769" t="s">
        <v>764</v>
      </c>
      <c r="FB13" s="592"/>
      <c r="FC13" s="594"/>
      <c r="FD13" s="323"/>
      <c r="FE13" s="323"/>
      <c r="FF13" s="327"/>
      <c r="FH13" s="328"/>
    </row>
    <row r="14" spans="1:169" s="1" customFormat="1" ht="189" customHeight="1" x14ac:dyDescent="0.2">
      <c r="A14" s="877"/>
      <c r="B14" s="877"/>
      <c r="C14" s="877"/>
      <c r="D14" s="878"/>
      <c r="E14" s="746">
        <v>603</v>
      </c>
      <c r="F14" s="777" t="s">
        <v>366</v>
      </c>
      <c r="G14" s="746" t="s">
        <v>367</v>
      </c>
      <c r="H14" s="746" t="s">
        <v>368</v>
      </c>
      <c r="I14" s="760">
        <f>AA14+BE14+CI14+DM14+DN14</f>
        <v>10999999.999199999</v>
      </c>
      <c r="J14" s="770">
        <v>750000</v>
      </c>
      <c r="K14" s="771">
        <f>J14</f>
        <v>750000</v>
      </c>
      <c r="L14" s="771">
        <v>0</v>
      </c>
      <c r="M14" s="771">
        <f>J14</f>
        <v>750000</v>
      </c>
      <c r="N14" s="771">
        <f>90847.4405+252.49</f>
        <v>91099.930500000002</v>
      </c>
      <c r="O14" s="771">
        <v>750000</v>
      </c>
      <c r="P14" s="772">
        <v>280044.96000000002</v>
      </c>
      <c r="Q14" s="771">
        <v>750000</v>
      </c>
      <c r="R14" s="771">
        <v>542266</v>
      </c>
      <c r="S14" s="771">
        <v>750000</v>
      </c>
      <c r="T14" s="772">
        <f>791910+661.4</f>
        <v>792571.4</v>
      </c>
      <c r="U14" s="773">
        <v>1019665.43</v>
      </c>
      <c r="V14" s="774">
        <v>1019665.43</v>
      </c>
      <c r="W14" s="774">
        <v>1019665.43</v>
      </c>
      <c r="X14" s="772">
        <v>1019665.43</v>
      </c>
      <c r="Y14" s="774">
        <v>1019665.43</v>
      </c>
      <c r="Z14" s="774">
        <v>1019665.43</v>
      </c>
      <c r="AA14" s="774">
        <v>1019665.43</v>
      </c>
      <c r="AB14" s="774">
        <v>2100000</v>
      </c>
      <c r="AC14" s="772"/>
      <c r="AD14" s="774">
        <v>0</v>
      </c>
      <c r="AE14" s="676">
        <v>276540.05</v>
      </c>
      <c r="AF14" s="774">
        <v>276540.05</v>
      </c>
      <c r="AG14" s="681">
        <v>210000</v>
      </c>
      <c r="AH14" s="772">
        <f>360455.95-AF14</f>
        <v>83915.900000000023</v>
      </c>
      <c r="AI14" s="676">
        <v>126000</v>
      </c>
      <c r="AJ14" s="772">
        <f>551395.12-AF14-AH14</f>
        <v>190939.16999999998</v>
      </c>
      <c r="AK14" s="676">
        <v>210000</v>
      </c>
      <c r="AL14" s="772">
        <v>266394</v>
      </c>
      <c r="AM14" s="676">
        <v>210000</v>
      </c>
      <c r="AN14" s="772">
        <v>236732.41</v>
      </c>
      <c r="AO14" s="676">
        <v>210000</v>
      </c>
      <c r="AP14" s="771">
        <v>156752.34</v>
      </c>
      <c r="AQ14" s="676">
        <v>210000</v>
      </c>
      <c r="AR14" s="773">
        <v>157389.94</v>
      </c>
      <c r="AS14" s="676">
        <v>210000</v>
      </c>
      <c r="AT14" s="771">
        <v>238192.55000000016</v>
      </c>
      <c r="AU14" s="676">
        <v>168000</v>
      </c>
      <c r="AV14" s="774">
        <v>94941.019999999553</v>
      </c>
      <c r="AW14" s="676">
        <v>134729.95000000001</v>
      </c>
      <c r="AX14" s="775">
        <v>133076.29000000004</v>
      </c>
      <c r="AY14" s="676">
        <v>134730</v>
      </c>
      <c r="AZ14" s="775">
        <v>300999.08000000007</v>
      </c>
      <c r="BA14" s="776">
        <f>AY14+AW14+AU14+AS14+AQ14+AO14+AM14+AK14+AI14+AG14+AE14</f>
        <v>2100000</v>
      </c>
      <c r="BB14" s="720">
        <f>AC14+AE14+AG14+AI14+AK14+AM14+AO14+AQ14+AS14+AU14+AW14+AY14</f>
        <v>2100000</v>
      </c>
      <c r="BC14" s="720">
        <f>AD14+AF14+AH14+AJ14+AL14+AN14+AP14+AR14+AT14+AV14+AX14+AZ14</f>
        <v>2135872.75</v>
      </c>
      <c r="BD14" s="776">
        <f>AY14+AW14+AU14+AS14+AQ14+AO14+AM14+AK14+AI14+AG14+AE14</f>
        <v>2100000</v>
      </c>
      <c r="BE14" s="720">
        <f>AD14+AF14+AH14+AJ14+AL14+AN14+AP14+AR14+AT14+AV14+AX14+AZ14</f>
        <v>2135872.75</v>
      </c>
      <c r="BF14" s="775">
        <v>2800000</v>
      </c>
      <c r="BG14" s="720">
        <v>0</v>
      </c>
      <c r="BH14" s="720">
        <v>0</v>
      </c>
      <c r="BI14" s="720">
        <v>118000</v>
      </c>
      <c r="BJ14" s="763">
        <v>154062.98000000001</v>
      </c>
      <c r="BK14" s="720">
        <v>286325</v>
      </c>
      <c r="BL14" s="720">
        <v>240087.00000000003</v>
      </c>
      <c r="BM14" s="720">
        <v>286425</v>
      </c>
      <c r="BN14" s="720">
        <v>292473.99999999994</v>
      </c>
      <c r="BO14" s="720">
        <v>286425</v>
      </c>
      <c r="BP14" s="720">
        <v>296042.33799999999</v>
      </c>
      <c r="BQ14" s="720">
        <v>286430</v>
      </c>
      <c r="BR14" s="720">
        <v>292798.75199999986</v>
      </c>
      <c r="BS14" s="720">
        <v>286415</v>
      </c>
      <c r="BT14" s="720">
        <v>296623.62000000034</v>
      </c>
      <c r="BU14" s="720">
        <v>286275</v>
      </c>
      <c r="BV14" s="720">
        <v>241346.41400000011</v>
      </c>
      <c r="BW14" s="720">
        <v>286275</v>
      </c>
      <c r="BX14" s="720">
        <v>289158.72754999995</v>
      </c>
      <c r="BY14" s="720">
        <v>286275</v>
      </c>
      <c r="BZ14" s="720">
        <v>222779.35044999979</v>
      </c>
      <c r="CA14" s="720">
        <v>286275</v>
      </c>
      <c r="CB14" s="720">
        <v>157297.57459999993</v>
      </c>
      <c r="CC14" s="776">
        <v>104880</v>
      </c>
      <c r="CD14" s="776">
        <v>626736.57340000011</v>
      </c>
      <c r="CE14" s="719">
        <f>BI14+BK14+BM14+BO14+BQ14+BS14+BU14+BW14+BY14+CA14+CC14</f>
        <v>2800000</v>
      </c>
      <c r="CF14" s="720">
        <f>BG14+BI14+BK14+BM14+BO14+BQ14+BS14+BU14+BW14+BY14+CA14+CC14</f>
        <v>2800000</v>
      </c>
      <c r="CG14" s="720">
        <f>BH14+BJ14+BL14+BN14+BP14+BR14+BT14+BV14+BX14+BZ14+CB14+CD14</f>
        <v>3109407.33</v>
      </c>
      <c r="CH14" s="720">
        <f>CC14+CA14+BY14+BW14+BU14+BS14+BQ14+BO14+BM14+BK14+BI14</f>
        <v>2800000</v>
      </c>
      <c r="CI14" s="720">
        <f>CD14+CB14+BZ14+BX14+BV14+BT14+BR14+BP14+BN14+BL14+BJ14</f>
        <v>3109407.33</v>
      </c>
      <c r="CJ14" s="757">
        <v>3500000</v>
      </c>
      <c r="CK14" s="720">
        <v>0</v>
      </c>
      <c r="CL14" s="720">
        <v>0</v>
      </c>
      <c r="CM14" s="720">
        <v>121316.655</v>
      </c>
      <c r="CN14" s="720">
        <v>121316.655</v>
      </c>
      <c r="CO14" s="720">
        <v>325484.78500000003</v>
      </c>
      <c r="CP14" s="720">
        <v>325484.78500000003</v>
      </c>
      <c r="CQ14" s="720">
        <v>350000</v>
      </c>
      <c r="CR14" s="720">
        <v>356868.71299999999</v>
      </c>
      <c r="CS14" s="720">
        <v>385000</v>
      </c>
      <c r="CT14" s="720">
        <v>256662.788</v>
      </c>
      <c r="CU14" s="720">
        <v>350000</v>
      </c>
      <c r="CV14" s="722">
        <v>343833.19899999979</v>
      </c>
      <c r="CW14" s="720">
        <v>350000</v>
      </c>
      <c r="CX14" s="722">
        <v>364131.63</v>
      </c>
      <c r="CY14" s="720">
        <v>350000</v>
      </c>
      <c r="CZ14" s="720">
        <v>651811.78000000026</v>
      </c>
      <c r="DA14" s="719">
        <v>350000</v>
      </c>
      <c r="DB14" s="720">
        <v>463161.6725499999</v>
      </c>
      <c r="DC14" s="719">
        <v>350000</v>
      </c>
      <c r="DD14" s="720">
        <v>442288.92744999984</v>
      </c>
      <c r="DE14" s="719">
        <v>350000</v>
      </c>
      <c r="DF14" s="720">
        <v>459743.00999999978</v>
      </c>
      <c r="DG14" s="720">
        <v>218198.56025000001</v>
      </c>
      <c r="DH14" s="720">
        <v>139839.21920000017</v>
      </c>
      <c r="DI14" s="719">
        <f>CK14+CM14+CO14+CQ14+CS14+CU14+CW14+CY14+DA14+DC14+DE14+DG14</f>
        <v>3500000.00025</v>
      </c>
      <c r="DJ14" s="722">
        <f>CK14+CM14+CO14+CQ14+CS14+CU14+CW14+CY14+DA14++DC14+DE14+DG14</f>
        <v>3500000.00025</v>
      </c>
      <c r="DK14" s="722">
        <f>CL14+CN14+CP14+CR14+CT14+CV14+CX14+CZ14+DB14+DD14+DF14+DH14</f>
        <v>3925142.3791999999</v>
      </c>
      <c r="DL14" s="719">
        <f>CK14+CM14+CO14+CQ14+CS14+CU14+CW14+CY14+DA14+DC14+DE14+DG14</f>
        <v>3500000.00025</v>
      </c>
      <c r="DM14" s="720">
        <f>CL14+CN14+CP14+CR14+CT14+CV14+CX14+CZ14+DB14+DD14+DF14+DH14</f>
        <v>3925142.3791999999</v>
      </c>
      <c r="DN14" s="760">
        <f>EM14</f>
        <v>809912.11</v>
      </c>
      <c r="DO14" s="720">
        <v>85000</v>
      </c>
      <c r="DP14" s="720">
        <v>85063.5</v>
      </c>
      <c r="DQ14" s="719">
        <v>130000</v>
      </c>
      <c r="DR14" s="720">
        <v>93901.809000000008</v>
      </c>
      <c r="DS14" s="719">
        <v>200000</v>
      </c>
      <c r="DT14" s="720">
        <v>255058.32</v>
      </c>
      <c r="DU14" s="719">
        <v>200000</v>
      </c>
      <c r="DV14" s="719"/>
      <c r="DW14" s="719">
        <v>194912.11</v>
      </c>
      <c r="DX14" s="719"/>
      <c r="DY14" s="719"/>
      <c r="DZ14" s="719"/>
      <c r="EA14" s="719"/>
      <c r="EB14" s="719"/>
      <c r="EC14" s="719"/>
      <c r="ED14" s="719"/>
      <c r="EE14" s="719"/>
      <c r="EF14" s="719"/>
      <c r="EG14" s="719"/>
      <c r="EH14" s="719"/>
      <c r="EI14" s="719"/>
      <c r="EJ14" s="719"/>
      <c r="EK14" s="719"/>
      <c r="EL14" s="719"/>
      <c r="EM14" s="720">
        <f>DO14+DQ14+DS14+DU14+DW14</f>
        <v>809912.11</v>
      </c>
      <c r="EN14" s="719">
        <f>DO14+DQ14</f>
        <v>215000</v>
      </c>
      <c r="EO14" s="720">
        <f>DP14+DR14+DT14+DV14+DX14</f>
        <v>434023.62900000002</v>
      </c>
      <c r="EP14" s="720">
        <f>DO14+DQ14+DS14+DU14+DW14</f>
        <v>809912.11</v>
      </c>
      <c r="EQ14" s="720">
        <f>DP14+DR14+DT14+DV14+DX14</f>
        <v>434023.62900000002</v>
      </c>
      <c r="ER14" s="764">
        <f>DT14/DS14</f>
        <v>1.2752916000000001</v>
      </c>
      <c r="ES14" s="765">
        <f>EO14/EN14</f>
        <v>2.0187145534883721</v>
      </c>
      <c r="ET14" s="766">
        <f>EQ14/EP14</f>
        <v>0.53588978809071031</v>
      </c>
      <c r="EU14" s="766">
        <f>(AA14+BE14+CI14+DM14+EO14)/(Z14+BD14+CH14+DL14+EN14)</f>
        <v>1.1026964657063683</v>
      </c>
      <c r="EV14" s="697">
        <f>(AA14+BE14+CI14+DM14+EQ14)/I14</f>
        <v>0.96582831990660578</v>
      </c>
      <c r="EW14" s="767" t="s">
        <v>768</v>
      </c>
      <c r="EX14" s="768" t="s">
        <v>71</v>
      </c>
      <c r="EY14" s="768" t="s">
        <v>71</v>
      </c>
      <c r="EZ14" s="755" t="s">
        <v>430</v>
      </c>
      <c r="FA14" s="755" t="s">
        <v>765</v>
      </c>
      <c r="FB14" s="592"/>
      <c r="FC14" s="595"/>
      <c r="FD14" s="323"/>
      <c r="FE14" s="323"/>
      <c r="FF14" s="329"/>
      <c r="FH14" s="325"/>
      <c r="FJ14" s="323"/>
      <c r="FL14" s="323"/>
      <c r="FM14" s="323"/>
    </row>
    <row r="15" spans="1:169" s="333" customFormat="1" ht="22.5" customHeight="1" x14ac:dyDescent="0.2">
      <c r="A15" s="330"/>
      <c r="B15" s="330"/>
      <c r="C15" s="331"/>
      <c r="D15" s="332"/>
      <c r="F15" s="334"/>
      <c r="G15" s="335"/>
      <c r="H15" s="336"/>
      <c r="I15" s="702"/>
      <c r="J15" s="702"/>
      <c r="K15" s="702"/>
      <c r="L15" s="702"/>
      <c r="M15" s="702"/>
      <c r="N15" s="702"/>
      <c r="O15" s="702"/>
      <c r="P15" s="702"/>
      <c r="Q15" s="702"/>
      <c r="R15" s="702"/>
      <c r="S15" s="702"/>
      <c r="T15" s="702"/>
      <c r="U15" s="702"/>
      <c r="V15" s="702"/>
      <c r="W15" s="702"/>
      <c r="X15" s="702"/>
      <c r="Y15" s="702"/>
      <c r="Z15" s="702"/>
      <c r="AA15" s="702"/>
      <c r="AB15" s="702"/>
      <c r="AC15" s="702"/>
      <c r="AD15" s="702"/>
      <c r="AE15" s="702"/>
      <c r="AF15" s="702"/>
      <c r="AG15" s="702"/>
      <c r="AH15" s="702"/>
      <c r="AI15" s="702"/>
      <c r="AJ15" s="702"/>
      <c r="AK15" s="702"/>
      <c r="AL15" s="702"/>
      <c r="AM15" s="702"/>
      <c r="AN15" s="702"/>
      <c r="AO15" s="702"/>
      <c r="AP15" s="702"/>
      <c r="AQ15" s="702"/>
      <c r="AR15" s="702"/>
      <c r="AS15" s="702"/>
      <c r="AT15" s="702"/>
      <c r="AU15" s="702"/>
      <c r="AV15" s="702"/>
      <c r="AW15" s="702"/>
      <c r="AX15" s="702"/>
      <c r="AY15" s="702"/>
      <c r="AZ15" s="702"/>
      <c r="BA15" s="702"/>
      <c r="BB15" s="702"/>
      <c r="BC15" s="702"/>
      <c r="BD15" s="702"/>
      <c r="BE15" s="702"/>
      <c r="BF15" s="702"/>
      <c r="BG15" s="702"/>
      <c r="BH15" s="702"/>
      <c r="BI15" s="702"/>
      <c r="BJ15" s="702"/>
      <c r="BK15" s="702"/>
      <c r="BL15" s="702"/>
      <c r="BM15" s="702"/>
      <c r="BN15" s="702"/>
      <c r="BO15" s="702"/>
      <c r="BP15" s="702"/>
      <c r="BQ15" s="702"/>
      <c r="BR15" s="702"/>
      <c r="BS15" s="702"/>
      <c r="BT15" s="702"/>
      <c r="BU15" s="702"/>
      <c r="BV15" s="702"/>
      <c r="BW15" s="702"/>
      <c r="BX15" s="702"/>
      <c r="BY15" s="702"/>
      <c r="BZ15" s="702"/>
      <c r="CA15" s="702"/>
      <c r="CB15" s="702"/>
      <c r="CC15" s="702"/>
      <c r="CD15" s="702"/>
      <c r="CE15" s="702"/>
      <c r="CF15" s="702"/>
      <c r="CG15" s="702"/>
      <c r="CH15" s="702"/>
      <c r="CI15" s="702"/>
      <c r="CJ15" s="702"/>
      <c r="CK15" s="702"/>
      <c r="CL15" s="702"/>
      <c r="CM15" s="702"/>
      <c r="CN15" s="702"/>
      <c r="CO15" s="702"/>
      <c r="CP15" s="702"/>
      <c r="CQ15" s="702"/>
      <c r="CR15" s="702"/>
      <c r="CS15" s="702"/>
      <c r="CT15" s="702"/>
      <c r="CU15" s="702"/>
      <c r="CV15" s="702"/>
      <c r="CW15" s="702"/>
      <c r="CX15" s="702"/>
      <c r="CY15" s="702"/>
      <c r="CZ15" s="702"/>
      <c r="DA15" s="702"/>
      <c r="DB15" s="702"/>
      <c r="DC15" s="702"/>
      <c r="DD15" s="702"/>
      <c r="DE15" s="702"/>
      <c r="DF15" s="702"/>
      <c r="DG15" s="702"/>
      <c r="DH15" s="702"/>
      <c r="DI15" s="702"/>
      <c r="DJ15" s="702"/>
      <c r="DK15" s="702"/>
      <c r="DL15" s="702"/>
      <c r="DM15" s="702"/>
      <c r="DN15" s="702"/>
      <c r="DO15" s="702"/>
      <c r="DP15" s="702"/>
      <c r="DQ15" s="702"/>
      <c r="DR15" s="338"/>
      <c r="DS15" s="338"/>
      <c r="DT15" s="338"/>
      <c r="DU15" s="338"/>
      <c r="DV15" s="338"/>
      <c r="DW15" s="338"/>
      <c r="DX15" s="338"/>
      <c r="DY15" s="338"/>
      <c r="DZ15" s="338"/>
      <c r="EA15" s="338"/>
      <c r="EB15" s="338"/>
      <c r="EC15" s="338"/>
      <c r="ED15" s="338"/>
      <c r="EE15" s="338"/>
      <c r="EF15" s="338"/>
      <c r="EG15" s="338"/>
      <c r="EH15" s="338"/>
      <c r="EI15" s="338"/>
      <c r="EJ15" s="338"/>
      <c r="EK15" s="338"/>
      <c r="EL15" s="338"/>
      <c r="EM15" s="632"/>
      <c r="EN15" s="338"/>
      <c r="EO15" s="632"/>
      <c r="EP15" s="632"/>
      <c r="EQ15" s="632"/>
      <c r="ER15" s="339"/>
      <c r="ES15" s="340"/>
      <c r="ET15" s="338"/>
      <c r="EU15" s="341"/>
      <c r="EV15" s="634"/>
      <c r="EW15" s="357"/>
      <c r="EX15" s="342"/>
      <c r="EY15" s="342"/>
      <c r="EZ15" s="343"/>
      <c r="FA15" s="344"/>
      <c r="FB15" s="331"/>
      <c r="FD15" s="323"/>
      <c r="FE15" s="323"/>
      <c r="FF15" s="282"/>
      <c r="FH15" s="345"/>
    </row>
    <row r="16" spans="1:169" ht="26.25" x14ac:dyDescent="0.4">
      <c r="D16" s="21" t="s">
        <v>35</v>
      </c>
      <c r="W16" s="346"/>
      <c r="X16" s="149"/>
      <c r="Y16" s="347"/>
      <c r="AA16" s="337"/>
      <c r="AB16" s="270"/>
      <c r="AC16" s="270"/>
      <c r="AT16" s="265"/>
      <c r="AU16" s="265"/>
      <c r="AV16" s="265"/>
      <c r="AW16" s="265"/>
      <c r="AX16" s="265"/>
      <c r="AY16" s="265"/>
      <c r="AZ16" s="265"/>
      <c r="BA16" s="265"/>
      <c r="BB16" s="265"/>
      <c r="BC16" s="265"/>
      <c r="BD16" s="265"/>
      <c r="BE16" s="289"/>
      <c r="BF16" s="11"/>
      <c r="BG16" s="290"/>
      <c r="BH16" s="11"/>
      <c r="BI16" s="11"/>
      <c r="BJ16" s="11"/>
      <c r="BK16" s="11"/>
      <c r="BL16" s="11"/>
      <c r="BM16" s="11"/>
      <c r="BN16" s="301"/>
      <c r="BO16" s="11"/>
      <c r="BP16" s="11"/>
      <c r="BQ16" s="11"/>
      <c r="BR16" s="11"/>
      <c r="BS16" s="11"/>
      <c r="BT16" s="292"/>
      <c r="BU16" s="11"/>
      <c r="BV16" s="11"/>
      <c r="BW16" s="11"/>
      <c r="BX16" s="11"/>
      <c r="BY16" s="11"/>
      <c r="BZ16" s="11"/>
      <c r="CA16" s="11"/>
      <c r="CB16" s="301"/>
      <c r="CC16" s="11"/>
      <c r="CD16" s="11"/>
      <c r="CE16" s="11"/>
      <c r="CF16" s="11"/>
      <c r="CG16" s="293"/>
      <c r="CH16" s="317"/>
      <c r="CI16" s="316"/>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301"/>
      <c r="DL16" s="301"/>
      <c r="DM16" s="11"/>
      <c r="DN16" s="702"/>
      <c r="DO16" s="702"/>
      <c r="DP16" s="11"/>
      <c r="DQ16" s="11"/>
      <c r="DR16" s="338"/>
      <c r="DS16" s="338"/>
      <c r="DT16" s="338"/>
      <c r="DU16" s="338"/>
      <c r="DV16" s="11"/>
      <c r="DW16" s="11"/>
      <c r="DX16" s="11"/>
      <c r="DY16" s="11"/>
      <c r="DZ16" s="11"/>
      <c r="EA16" s="11"/>
      <c r="EB16" s="11"/>
      <c r="EC16" s="11"/>
      <c r="ED16" s="11"/>
      <c r="EE16" s="11"/>
      <c r="EF16" s="11"/>
      <c r="EG16" s="11"/>
      <c r="EH16" s="11"/>
      <c r="EI16" s="11"/>
      <c r="EJ16" s="11"/>
      <c r="EK16" s="11"/>
      <c r="EL16" s="11"/>
      <c r="EM16" s="11"/>
      <c r="EN16" s="11"/>
      <c r="EO16" s="700"/>
      <c r="EP16" s="11"/>
      <c r="EQ16" s="11"/>
      <c r="ER16" s="2"/>
      <c r="ES16" s="2"/>
      <c r="ET16" s="2"/>
      <c r="EU16" s="291"/>
      <c r="EV16" s="266"/>
      <c r="EW16" s="266"/>
      <c r="FB16" s="593"/>
      <c r="FC16" s="1"/>
      <c r="FD16" s="323"/>
      <c r="FE16" s="323"/>
      <c r="FF16" s="1"/>
      <c r="FH16" s="345"/>
    </row>
    <row r="17" spans="4:160" ht="15.75" x14ac:dyDescent="0.25">
      <c r="D17" s="29" t="s">
        <v>36</v>
      </c>
      <c r="E17" s="879" t="s">
        <v>37</v>
      </c>
      <c r="F17" s="880"/>
      <c r="G17" s="881"/>
      <c r="H17" s="882" t="s">
        <v>38</v>
      </c>
      <c r="I17" s="883"/>
      <c r="J17" s="883"/>
      <c r="K17" s="883"/>
      <c r="L17" s="883"/>
      <c r="M17" s="883"/>
      <c r="N17" s="883"/>
      <c r="O17" s="883"/>
      <c r="P17" s="883"/>
      <c r="Q17" s="883"/>
      <c r="AT17" s="149"/>
      <c r="AU17" s="149"/>
      <c r="AV17" s="149"/>
      <c r="AW17" s="149"/>
      <c r="AX17" s="270"/>
      <c r="AY17" s="149"/>
      <c r="AZ17" s="149"/>
      <c r="BA17" s="149"/>
      <c r="BB17" s="149"/>
      <c r="BC17" s="149"/>
      <c r="BD17" s="149"/>
      <c r="BE17" s="265"/>
      <c r="DJ17" s="270"/>
      <c r="DK17" s="315"/>
      <c r="DN17" s="702"/>
      <c r="DO17" s="702"/>
      <c r="DR17" s="338"/>
      <c r="DS17" s="338"/>
      <c r="DT17" s="338"/>
      <c r="DU17" s="338"/>
      <c r="EO17" s="270"/>
      <c r="EQ17" s="270"/>
      <c r="ER17" s="266"/>
      <c r="EW17" s="266"/>
      <c r="FC17" s="1"/>
      <c r="FD17" s="271"/>
    </row>
    <row r="18" spans="4:160" ht="15.75" x14ac:dyDescent="0.25">
      <c r="D18" s="101">
        <v>13</v>
      </c>
      <c r="E18" s="884" t="s">
        <v>95</v>
      </c>
      <c r="F18" s="885"/>
      <c r="G18" s="886"/>
      <c r="H18" s="887" t="s">
        <v>86</v>
      </c>
      <c r="I18" s="888"/>
      <c r="J18" s="888"/>
      <c r="K18" s="888"/>
      <c r="L18" s="888"/>
      <c r="M18" s="888"/>
      <c r="N18" s="888"/>
      <c r="O18" s="888"/>
      <c r="P18" s="888"/>
      <c r="Q18" s="888"/>
      <c r="AA18" s="348"/>
      <c r="AB18" s="348"/>
      <c r="AC18" s="348"/>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8"/>
      <c r="AZ18" s="348"/>
      <c r="BA18" s="348"/>
      <c r="BB18" s="348"/>
      <c r="BC18" s="348"/>
      <c r="BD18" s="348"/>
      <c r="BE18" s="348"/>
      <c r="BF18" s="349"/>
      <c r="BG18" s="348"/>
      <c r="BH18" s="348"/>
      <c r="BI18" s="348"/>
      <c r="CG18" s="270"/>
      <c r="CI18" s="270"/>
      <c r="DJ18" s="270"/>
      <c r="DK18" s="315"/>
      <c r="DL18" s="270"/>
      <c r="DM18" s="270"/>
      <c r="DN18" s="702"/>
      <c r="DO18" s="702"/>
      <c r="DR18" s="338"/>
      <c r="DS18" s="338"/>
      <c r="DT18" s="338"/>
      <c r="DU18" s="338"/>
      <c r="EN18" s="270"/>
      <c r="EO18" s="270"/>
      <c r="EQ18" s="270"/>
      <c r="ER18" s="561"/>
      <c r="EU18" s="266"/>
      <c r="EV18" s="266"/>
      <c r="EW18" s="266"/>
      <c r="FC18" s="1"/>
    </row>
    <row r="19" spans="4:160" ht="15.75" x14ac:dyDescent="0.25">
      <c r="D19" s="101">
        <v>14</v>
      </c>
      <c r="E19" s="884" t="s">
        <v>598</v>
      </c>
      <c r="F19" s="885"/>
      <c r="G19" s="886"/>
      <c r="H19" s="887" t="s">
        <v>599</v>
      </c>
      <c r="I19" s="888"/>
      <c r="J19" s="888"/>
      <c r="K19" s="888"/>
      <c r="L19" s="888"/>
      <c r="M19" s="888"/>
      <c r="N19" s="888"/>
      <c r="O19" s="888"/>
      <c r="P19" s="888"/>
      <c r="Q19" s="888"/>
      <c r="BD19" s="270"/>
      <c r="BE19" s="270"/>
      <c r="BF19" s="270"/>
      <c r="BG19" s="315"/>
      <c r="BH19" s="315"/>
      <c r="BI19" s="315"/>
      <c r="CF19" s="315"/>
      <c r="CG19" s="270"/>
      <c r="DJ19" s="270"/>
      <c r="DK19" s="270"/>
      <c r="DN19" s="702"/>
      <c r="DO19" s="702"/>
      <c r="EO19" s="270"/>
      <c r="ER19" s="561"/>
      <c r="EU19" s="266"/>
      <c r="EW19" s="266"/>
      <c r="FC19" s="1"/>
    </row>
    <row r="20" spans="4:160" ht="15.75" x14ac:dyDescent="0.25">
      <c r="AA20" s="265"/>
      <c r="BD20" s="270"/>
      <c r="BE20" s="270"/>
      <c r="BF20" s="270"/>
      <c r="BG20" s="315"/>
      <c r="BH20" s="315"/>
      <c r="BI20" s="315"/>
      <c r="CF20" s="358"/>
      <c r="CG20" s="270"/>
      <c r="DJ20" s="270"/>
      <c r="DK20" s="270"/>
      <c r="DN20" s="702"/>
      <c r="DO20" s="702"/>
      <c r="EV20" s="564"/>
      <c r="EW20" s="266"/>
      <c r="FC20" s="1"/>
    </row>
    <row r="21" spans="4:160" x14ac:dyDescent="0.25">
      <c r="BD21" s="270"/>
      <c r="BE21" s="631"/>
      <c r="BF21" s="270"/>
      <c r="BG21" s="270"/>
      <c r="BH21" s="270"/>
      <c r="BI21" s="270"/>
      <c r="CG21" s="270"/>
      <c r="DH21" s="270"/>
      <c r="DJ21" s="270"/>
      <c r="DL21" s="270"/>
      <c r="ER21" s="266"/>
      <c r="EU21" s="266"/>
      <c r="EV21" s="565"/>
      <c r="EW21" s="266"/>
    </row>
    <row r="22" spans="4:160" x14ac:dyDescent="0.25">
      <c r="DJ22" s="270"/>
      <c r="DK22" s="270"/>
      <c r="ER22" s="266"/>
    </row>
    <row r="23" spans="4:160" x14ac:dyDescent="0.25">
      <c r="DJ23" s="270"/>
      <c r="EV23" s="103"/>
    </row>
    <row r="24" spans="4:160" x14ac:dyDescent="0.25">
      <c r="DH24" s="270"/>
      <c r="DJ24" s="270"/>
      <c r="DV24" s="270"/>
    </row>
    <row r="25" spans="4:160" x14ac:dyDescent="0.25">
      <c r="DJ25" s="270"/>
      <c r="DK25" s="270"/>
    </row>
    <row r="26" spans="4:160" x14ac:dyDescent="0.25">
      <c r="DJ26" s="270"/>
      <c r="DK26" s="270"/>
    </row>
    <row r="27" spans="4:160" x14ac:dyDescent="0.25">
      <c r="DJ27" s="270"/>
    </row>
    <row r="28" spans="4:160" x14ac:dyDescent="0.25">
      <c r="DJ28" s="270"/>
      <c r="DU28" s="270"/>
    </row>
    <row r="29" spans="4:160" x14ac:dyDescent="0.25">
      <c r="DK29" s="270"/>
    </row>
  </sheetData>
  <sheetProtection formatCells="0" formatColumns="0" formatRows="0" insertHyperlinks="0" sort="0" autoFilter="0" pivotTables="0"/>
  <mergeCells count="41">
    <mergeCell ref="E17:G17"/>
    <mergeCell ref="H17:Q17"/>
    <mergeCell ref="E18:G18"/>
    <mergeCell ref="H18:Q18"/>
    <mergeCell ref="E19:G19"/>
    <mergeCell ref="H19:Q19"/>
    <mergeCell ref="CJ11:DM11"/>
    <mergeCell ref="DN11:EQ11"/>
    <mergeCell ref="A13:A14"/>
    <mergeCell ref="B13:B14"/>
    <mergeCell ref="C13:C14"/>
    <mergeCell ref="D13:D14"/>
    <mergeCell ref="FA10:FA12"/>
    <mergeCell ref="A10:I10"/>
    <mergeCell ref="J10:EQ10"/>
    <mergeCell ref="ER10:ER12"/>
    <mergeCell ref="ES10:ES12"/>
    <mergeCell ref="ET10:ET12"/>
    <mergeCell ref="EU10:EU12"/>
    <mergeCell ref="A11:I11"/>
    <mergeCell ref="J11:AA11"/>
    <mergeCell ref="AB11:BE11"/>
    <mergeCell ref="BF11:CI11"/>
    <mergeCell ref="EV10:EV12"/>
    <mergeCell ref="EW10:EW12"/>
    <mergeCell ref="EX10:EX12"/>
    <mergeCell ref="EY10:EY12"/>
    <mergeCell ref="EZ10:EZ12"/>
    <mergeCell ref="A6:F6"/>
    <mergeCell ref="G6:FA6"/>
    <mergeCell ref="A7:F7"/>
    <mergeCell ref="G7:FA7"/>
    <mergeCell ref="A8:F8"/>
    <mergeCell ref="G8:FA8"/>
    <mergeCell ref="A5:F5"/>
    <mergeCell ref="G5:FA5"/>
    <mergeCell ref="A2:F4"/>
    <mergeCell ref="G2:FA2"/>
    <mergeCell ref="G3:FA3"/>
    <mergeCell ref="G4:EQ4"/>
    <mergeCell ref="ER4:FA4"/>
  </mergeCells>
  <dataValidations count="1">
    <dataValidation type="list" allowBlank="1" showInputMessage="1" showErrorMessage="1" sqref="H13:H14" xr:uid="{00000000-0002-0000-00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Z42"/>
  <sheetViews>
    <sheetView zoomScale="41" zoomScaleNormal="41" zoomScaleSheetLayoutView="40" zoomScalePageLayoutView="75" workbookViewId="0">
      <selection activeCell="Z13" sqref="Z13"/>
    </sheetView>
  </sheetViews>
  <sheetFormatPr baseColWidth="10" defaultColWidth="10.7109375" defaultRowHeight="39" customHeight="1" x14ac:dyDescent="0.25"/>
  <cols>
    <col min="1" max="1" width="11.85546875" customWidth="1"/>
    <col min="2" max="2" width="10.42578125" customWidth="1"/>
    <col min="3" max="3" width="16.7109375" customWidth="1"/>
    <col min="4" max="4" width="12.85546875" style="4" customWidth="1"/>
    <col min="5" max="5" width="14.85546875" style="4" customWidth="1"/>
    <col min="6" max="6" width="13" style="14" customWidth="1"/>
    <col min="7" max="7" width="28.42578125" style="5" customWidth="1"/>
    <col min="8" max="8" width="29.7109375" style="210" hidden="1" customWidth="1"/>
    <col min="9" max="10" width="15.7109375" style="5" hidden="1" customWidth="1"/>
    <col min="11" max="11" width="27.7109375" style="5" hidden="1" customWidth="1"/>
    <col min="12" max="12" width="23.42578125" style="5" hidden="1" customWidth="1"/>
    <col min="13" max="20" width="31.140625" style="5" hidden="1" customWidth="1"/>
    <col min="21" max="22" width="23.7109375" style="5" hidden="1" customWidth="1"/>
    <col min="23" max="23" width="19.28515625" style="5" hidden="1" customWidth="1"/>
    <col min="24" max="24" width="22.140625" style="5" hidden="1" customWidth="1"/>
    <col min="25" max="25" width="19.140625" style="5" hidden="1" customWidth="1"/>
    <col min="26" max="26" width="28.140625" style="5" customWidth="1"/>
    <col min="27" max="27" width="27" style="5" customWidth="1"/>
    <col min="28" max="33" width="27.140625" style="5" hidden="1" customWidth="1"/>
    <col min="34" max="34" width="33.140625" style="5" hidden="1" customWidth="1"/>
    <col min="35" max="36" width="27.140625" style="5" hidden="1" customWidth="1"/>
    <col min="37" max="37" width="27" style="5" hidden="1" customWidth="1"/>
    <col min="38" max="38" width="25.28515625" style="5" hidden="1" customWidth="1"/>
    <col min="39" max="39" width="23.42578125" style="5" hidden="1" customWidth="1"/>
    <col min="40" max="40" width="24.7109375" style="5" hidden="1" customWidth="1"/>
    <col min="41" max="41" width="27.42578125" style="5" hidden="1" customWidth="1"/>
    <col min="42" max="42" width="23.7109375" style="5" hidden="1" customWidth="1"/>
    <col min="43" max="43" width="22.42578125" style="5" hidden="1" customWidth="1"/>
    <col min="44" max="44" width="25.7109375" style="5" hidden="1" customWidth="1"/>
    <col min="45" max="45" width="24.7109375" style="5" hidden="1" customWidth="1"/>
    <col min="46" max="46" width="28.28515625" style="5" hidden="1" customWidth="1"/>
    <col min="47" max="47" width="26.140625" style="23" hidden="1" customWidth="1"/>
    <col min="48" max="48" width="24.140625" style="23" hidden="1" customWidth="1"/>
    <col min="49" max="49" width="26.7109375" style="5" hidden="1" customWidth="1"/>
    <col min="50" max="50" width="25.42578125" style="5" hidden="1" customWidth="1"/>
    <col min="51" max="51" width="27.7109375" style="5" hidden="1" customWidth="1"/>
    <col min="52" max="52" width="25.7109375" style="5" hidden="1" customWidth="1"/>
    <col min="53" max="53" width="26" style="5" hidden="1" customWidth="1"/>
    <col min="54" max="54" width="25.7109375" style="5" hidden="1" customWidth="1"/>
    <col min="55" max="55" width="24" style="5" hidden="1" customWidth="1"/>
    <col min="56" max="56" width="24.42578125" style="5" customWidth="1"/>
    <col min="57" max="57" width="24.28515625" style="5" customWidth="1"/>
    <col min="58" max="58" width="26.28515625" style="294" hidden="1" customWidth="1"/>
    <col min="59" max="63" width="22.42578125" style="5" hidden="1" customWidth="1"/>
    <col min="64" max="81" width="23.42578125" style="5" hidden="1" customWidth="1"/>
    <col min="82" max="82" width="24.28515625" style="5" hidden="1" customWidth="1"/>
    <col min="83" max="83" width="21.7109375" style="5" hidden="1" customWidth="1"/>
    <col min="84" max="84" width="24.7109375" style="5" hidden="1" customWidth="1"/>
    <col min="85" max="85" width="25.7109375" style="5" hidden="1" customWidth="1"/>
    <col min="86" max="86" width="24.7109375" style="5" customWidth="1"/>
    <col min="87" max="87" width="25.140625" style="5" customWidth="1"/>
    <col min="88" max="115" width="26.28515625" style="5" hidden="1" customWidth="1"/>
    <col min="116" max="117" width="26.28515625" style="5" customWidth="1"/>
    <col min="118" max="118" width="23.7109375" style="5" customWidth="1"/>
    <col min="119" max="122" width="22.85546875" style="5" customWidth="1"/>
    <col min="123" max="144" width="26.140625" style="5" customWidth="1"/>
    <col min="145" max="145" width="23.42578125" style="5" bestFit="1" customWidth="1"/>
    <col min="146" max="146" width="28" style="5" customWidth="1"/>
    <col min="147" max="147" width="27.85546875" style="5" customWidth="1"/>
    <col min="148" max="148" width="21.42578125" style="15" customWidth="1"/>
    <col min="149" max="149" width="18.140625" style="15" customWidth="1"/>
    <col min="150" max="152" width="21.42578125" customWidth="1"/>
    <col min="153" max="153" width="78.42578125" customWidth="1"/>
    <col min="154" max="154" width="24.85546875" customWidth="1"/>
    <col min="155" max="155" width="24" customWidth="1"/>
    <col min="156" max="156" width="24.42578125" customWidth="1"/>
    <col min="157" max="157" width="17.42578125" customWidth="1"/>
    <col min="158" max="158" width="11.28515625" bestFit="1" customWidth="1"/>
  </cols>
  <sheetData>
    <row r="1" spans="1:208" s="18" customFormat="1" ht="30" customHeight="1" x14ac:dyDescent="0.5">
      <c r="A1" s="914"/>
      <c r="B1" s="915"/>
      <c r="C1" s="915"/>
      <c r="D1" s="915"/>
      <c r="E1" s="916"/>
      <c r="F1" s="845" t="s">
        <v>39</v>
      </c>
      <c r="G1" s="845"/>
      <c r="H1" s="845"/>
      <c r="I1" s="845"/>
      <c r="J1" s="845"/>
      <c r="K1" s="845"/>
      <c r="L1" s="845"/>
      <c r="M1" s="845"/>
      <c r="N1" s="845"/>
      <c r="O1" s="845"/>
      <c r="P1" s="845"/>
      <c r="Q1" s="845"/>
      <c r="R1" s="845"/>
      <c r="S1" s="845"/>
      <c r="T1" s="845"/>
      <c r="U1" s="845"/>
      <c r="V1" s="845"/>
      <c r="W1" s="845"/>
      <c r="X1" s="845"/>
      <c r="Y1" s="845"/>
      <c r="Z1" s="845"/>
      <c r="AA1" s="845"/>
      <c r="AB1" s="845"/>
      <c r="AC1" s="845"/>
      <c r="AD1" s="845"/>
      <c r="AE1" s="845"/>
      <c r="AF1" s="845"/>
      <c r="AG1" s="845"/>
      <c r="AH1" s="845"/>
      <c r="AI1" s="845"/>
      <c r="AJ1" s="845"/>
      <c r="AK1" s="845"/>
      <c r="AL1" s="845"/>
      <c r="AM1" s="845"/>
      <c r="AN1" s="845"/>
      <c r="AO1" s="845"/>
      <c r="AP1" s="845"/>
      <c r="AQ1" s="845"/>
      <c r="AR1" s="845"/>
      <c r="AS1" s="845"/>
      <c r="AT1" s="845"/>
      <c r="AU1" s="845"/>
      <c r="AV1" s="845"/>
      <c r="AW1" s="845"/>
      <c r="AX1" s="845"/>
      <c r="AY1" s="845"/>
      <c r="AZ1" s="845"/>
      <c r="BA1" s="845"/>
      <c r="BB1" s="845"/>
      <c r="BC1" s="845"/>
      <c r="BD1" s="845"/>
      <c r="BE1" s="845"/>
      <c r="BF1" s="845"/>
      <c r="BG1" s="845"/>
      <c r="BH1" s="845"/>
      <c r="BI1" s="845"/>
      <c r="BJ1" s="845"/>
      <c r="BK1" s="845"/>
      <c r="BL1" s="845"/>
      <c r="BM1" s="845"/>
      <c r="BN1" s="845"/>
      <c r="BO1" s="845"/>
      <c r="BP1" s="845"/>
      <c r="BQ1" s="845"/>
      <c r="BR1" s="845"/>
      <c r="BS1" s="845"/>
      <c r="BT1" s="845"/>
      <c r="BU1" s="845"/>
      <c r="BV1" s="845"/>
      <c r="BW1" s="845"/>
      <c r="BX1" s="845"/>
      <c r="BY1" s="845"/>
      <c r="BZ1" s="845"/>
      <c r="CA1" s="845"/>
      <c r="CB1" s="845"/>
      <c r="CC1" s="845"/>
      <c r="CD1" s="845"/>
      <c r="CE1" s="845"/>
      <c r="CF1" s="845"/>
      <c r="CG1" s="845"/>
      <c r="CH1" s="845"/>
      <c r="CI1" s="845"/>
      <c r="CJ1" s="845"/>
      <c r="CK1" s="845"/>
      <c r="CL1" s="845"/>
      <c r="CM1" s="845"/>
      <c r="CN1" s="845"/>
      <c r="CO1" s="845"/>
      <c r="CP1" s="845"/>
      <c r="CQ1" s="845"/>
      <c r="CR1" s="845"/>
      <c r="CS1" s="845"/>
      <c r="CT1" s="845"/>
      <c r="CU1" s="845"/>
      <c r="CV1" s="845"/>
      <c r="CW1" s="845"/>
      <c r="CX1" s="845"/>
      <c r="CY1" s="845"/>
      <c r="CZ1" s="845"/>
      <c r="DA1" s="845"/>
      <c r="DB1" s="845"/>
      <c r="DC1" s="845"/>
      <c r="DD1" s="845"/>
      <c r="DE1" s="845"/>
      <c r="DF1" s="845"/>
      <c r="DG1" s="845"/>
      <c r="DH1" s="845"/>
      <c r="DI1" s="845"/>
      <c r="DJ1" s="845"/>
      <c r="DK1" s="845"/>
      <c r="DL1" s="845"/>
      <c r="DM1" s="845"/>
      <c r="DN1" s="845"/>
      <c r="DO1" s="845"/>
      <c r="DP1" s="845"/>
      <c r="DQ1" s="845"/>
      <c r="DR1" s="845"/>
      <c r="DS1" s="845"/>
      <c r="DT1" s="845"/>
      <c r="DU1" s="845"/>
      <c r="DV1" s="845"/>
      <c r="DW1" s="845"/>
      <c r="DX1" s="845"/>
      <c r="DY1" s="845"/>
      <c r="DZ1" s="845"/>
      <c r="EA1" s="845"/>
      <c r="EB1" s="845"/>
      <c r="EC1" s="845"/>
      <c r="ED1" s="845"/>
      <c r="EE1" s="845"/>
      <c r="EF1" s="845"/>
      <c r="EG1" s="845"/>
      <c r="EH1" s="845"/>
      <c r="EI1" s="845"/>
      <c r="EJ1" s="845"/>
      <c r="EK1" s="845"/>
      <c r="EL1" s="845"/>
      <c r="EM1" s="845"/>
      <c r="EN1" s="845"/>
      <c r="EO1" s="845"/>
      <c r="EP1" s="845"/>
      <c r="EQ1" s="845"/>
      <c r="ER1" s="845"/>
      <c r="ES1" s="845"/>
      <c r="ET1" s="845"/>
      <c r="EU1" s="845"/>
      <c r="EV1" s="845"/>
      <c r="EW1" s="845"/>
      <c r="EX1" s="845"/>
      <c r="EY1" s="845"/>
      <c r="EZ1" s="845"/>
      <c r="FA1" s="846"/>
    </row>
    <row r="2" spans="1:208" s="18" customFormat="1" ht="62.25" customHeight="1" thickBot="1" x14ac:dyDescent="0.55000000000000004">
      <c r="A2" s="917"/>
      <c r="B2" s="918"/>
      <c r="C2" s="918"/>
      <c r="D2" s="918"/>
      <c r="E2" s="919"/>
      <c r="F2" s="931" t="s">
        <v>361</v>
      </c>
      <c r="G2" s="931"/>
      <c r="H2" s="931"/>
      <c r="I2" s="931"/>
      <c r="J2" s="931"/>
      <c r="K2" s="931"/>
      <c r="L2" s="931"/>
      <c r="M2" s="931"/>
      <c r="N2" s="931"/>
      <c r="O2" s="931"/>
      <c r="P2" s="931"/>
      <c r="Q2" s="931"/>
      <c r="R2" s="931"/>
      <c r="S2" s="931"/>
      <c r="T2" s="931"/>
      <c r="U2" s="931"/>
      <c r="V2" s="931"/>
      <c r="W2" s="931"/>
      <c r="X2" s="931"/>
      <c r="Y2" s="931"/>
      <c r="Z2" s="931"/>
      <c r="AA2" s="931"/>
      <c r="AB2" s="931"/>
      <c r="AC2" s="931"/>
      <c r="AD2" s="931"/>
      <c r="AE2" s="931"/>
      <c r="AF2" s="931"/>
      <c r="AG2" s="931"/>
      <c r="AH2" s="931"/>
      <c r="AI2" s="931"/>
      <c r="AJ2" s="931"/>
      <c r="AK2" s="931"/>
      <c r="AL2" s="931"/>
      <c r="AM2" s="931"/>
      <c r="AN2" s="931"/>
      <c r="AO2" s="931"/>
      <c r="AP2" s="931"/>
      <c r="AQ2" s="931"/>
      <c r="AR2" s="931"/>
      <c r="AS2" s="931"/>
      <c r="AT2" s="931"/>
      <c r="AU2" s="931"/>
      <c r="AV2" s="931"/>
      <c r="AW2" s="931"/>
      <c r="AX2" s="931"/>
      <c r="AY2" s="931"/>
      <c r="AZ2" s="931"/>
      <c r="BA2" s="931"/>
      <c r="BB2" s="931"/>
      <c r="BC2" s="931"/>
      <c r="BD2" s="931"/>
      <c r="BE2" s="931"/>
      <c r="BF2" s="931"/>
      <c r="BG2" s="931"/>
      <c r="BH2" s="931"/>
      <c r="BI2" s="931"/>
      <c r="BJ2" s="931"/>
      <c r="BK2" s="931"/>
      <c r="BL2" s="931"/>
      <c r="BM2" s="931"/>
      <c r="BN2" s="931"/>
      <c r="BO2" s="931"/>
      <c r="BP2" s="931"/>
      <c r="BQ2" s="931"/>
      <c r="BR2" s="931"/>
      <c r="BS2" s="931"/>
      <c r="BT2" s="931"/>
      <c r="BU2" s="931"/>
      <c r="BV2" s="931"/>
      <c r="BW2" s="931"/>
      <c r="BX2" s="931"/>
      <c r="BY2" s="931"/>
      <c r="BZ2" s="931"/>
      <c r="CA2" s="931"/>
      <c r="CB2" s="931"/>
      <c r="CC2" s="931"/>
      <c r="CD2" s="931"/>
      <c r="CE2" s="931"/>
      <c r="CF2" s="931"/>
      <c r="CG2" s="931"/>
      <c r="CH2" s="931"/>
      <c r="CI2" s="931"/>
      <c r="CJ2" s="931"/>
      <c r="CK2" s="931"/>
      <c r="CL2" s="931"/>
      <c r="CM2" s="931"/>
      <c r="CN2" s="931"/>
      <c r="CO2" s="931"/>
      <c r="CP2" s="931"/>
      <c r="CQ2" s="931"/>
      <c r="CR2" s="931"/>
      <c r="CS2" s="931"/>
      <c r="CT2" s="931"/>
      <c r="CU2" s="931"/>
      <c r="CV2" s="931"/>
      <c r="CW2" s="931"/>
      <c r="CX2" s="931"/>
      <c r="CY2" s="931"/>
      <c r="CZ2" s="931"/>
      <c r="DA2" s="931"/>
      <c r="DB2" s="931"/>
      <c r="DC2" s="931"/>
      <c r="DD2" s="931"/>
      <c r="DE2" s="931"/>
      <c r="DF2" s="931"/>
      <c r="DG2" s="931"/>
      <c r="DH2" s="931"/>
      <c r="DI2" s="931"/>
      <c r="DJ2" s="931"/>
      <c r="DK2" s="931"/>
      <c r="DL2" s="931"/>
      <c r="DM2" s="931"/>
      <c r="DN2" s="931"/>
      <c r="DO2" s="931"/>
      <c r="DP2" s="931"/>
      <c r="DQ2" s="931"/>
      <c r="DR2" s="931"/>
      <c r="DS2" s="931"/>
      <c r="DT2" s="931"/>
      <c r="DU2" s="931"/>
      <c r="DV2" s="931"/>
      <c r="DW2" s="931"/>
      <c r="DX2" s="931"/>
      <c r="DY2" s="931"/>
      <c r="DZ2" s="931"/>
      <c r="EA2" s="931"/>
      <c r="EB2" s="931"/>
      <c r="EC2" s="931"/>
      <c r="ED2" s="931"/>
      <c r="EE2" s="931"/>
      <c r="EF2" s="931"/>
      <c r="EG2" s="931"/>
      <c r="EH2" s="931"/>
      <c r="EI2" s="931"/>
      <c r="EJ2" s="931"/>
      <c r="EK2" s="931"/>
      <c r="EL2" s="931"/>
      <c r="EM2" s="931"/>
      <c r="EN2" s="931"/>
      <c r="EO2" s="931"/>
      <c r="EP2" s="931"/>
      <c r="EQ2" s="931"/>
      <c r="ER2" s="932"/>
      <c r="ES2" s="932"/>
      <c r="ET2" s="932"/>
      <c r="EU2" s="932"/>
      <c r="EV2" s="932"/>
      <c r="EW2" s="932"/>
      <c r="EX2" s="932"/>
      <c r="EY2" s="932"/>
      <c r="EZ2" s="932"/>
      <c r="FA2" s="933"/>
    </row>
    <row r="3" spans="1:208" s="17" customFormat="1" ht="62.25" customHeight="1" thickBot="1" x14ac:dyDescent="0.45">
      <c r="A3" s="920"/>
      <c r="B3" s="921"/>
      <c r="C3" s="921"/>
      <c r="D3" s="921"/>
      <c r="E3" s="922"/>
      <c r="F3" s="934" t="s">
        <v>48</v>
      </c>
      <c r="G3" s="935"/>
      <c r="H3" s="935"/>
      <c r="I3" s="935"/>
      <c r="J3" s="935"/>
      <c r="K3" s="935"/>
      <c r="L3" s="935"/>
      <c r="M3" s="935"/>
      <c r="N3" s="935"/>
      <c r="O3" s="935"/>
      <c r="P3" s="935"/>
      <c r="Q3" s="935"/>
      <c r="R3" s="935"/>
      <c r="S3" s="935"/>
      <c r="T3" s="935"/>
      <c r="U3" s="935"/>
      <c r="V3" s="935"/>
      <c r="W3" s="935"/>
      <c r="X3" s="935"/>
      <c r="Y3" s="935"/>
      <c r="Z3" s="935"/>
      <c r="AA3" s="935"/>
      <c r="AB3" s="935"/>
      <c r="AC3" s="935"/>
      <c r="AD3" s="935"/>
      <c r="AE3" s="935"/>
      <c r="AF3" s="935"/>
      <c r="AG3" s="935"/>
      <c r="AH3" s="935"/>
      <c r="AI3" s="935"/>
      <c r="AJ3" s="935"/>
      <c r="AK3" s="935"/>
      <c r="AL3" s="935"/>
      <c r="AM3" s="935"/>
      <c r="AN3" s="935"/>
      <c r="AO3" s="935"/>
      <c r="AP3" s="935"/>
      <c r="AQ3" s="935"/>
      <c r="AR3" s="935"/>
      <c r="AS3" s="935"/>
      <c r="AT3" s="935"/>
      <c r="AU3" s="935"/>
      <c r="AV3" s="935"/>
      <c r="AW3" s="935"/>
      <c r="AX3" s="935"/>
      <c r="AY3" s="935"/>
      <c r="AZ3" s="935"/>
      <c r="BA3" s="935"/>
      <c r="BB3" s="935"/>
      <c r="BC3" s="935"/>
      <c r="BD3" s="935"/>
      <c r="BE3" s="935"/>
      <c r="BF3" s="935"/>
      <c r="BG3" s="935"/>
      <c r="BH3" s="935"/>
      <c r="BI3" s="935"/>
      <c r="BJ3" s="935"/>
      <c r="BK3" s="935"/>
      <c r="BL3" s="935"/>
      <c r="BM3" s="935"/>
      <c r="BN3" s="935"/>
      <c r="BO3" s="935"/>
      <c r="BP3" s="935"/>
      <c r="BQ3" s="935"/>
      <c r="BR3" s="935"/>
      <c r="BS3" s="935"/>
      <c r="BT3" s="935"/>
      <c r="BU3" s="935"/>
      <c r="BV3" s="935"/>
      <c r="BW3" s="935"/>
      <c r="BX3" s="935"/>
      <c r="BY3" s="935"/>
      <c r="BZ3" s="935"/>
      <c r="CA3" s="935"/>
      <c r="CB3" s="935"/>
      <c r="CC3" s="935"/>
      <c r="CD3" s="935"/>
      <c r="CE3" s="935"/>
      <c r="CF3" s="935"/>
      <c r="CG3" s="935"/>
      <c r="CH3" s="935"/>
      <c r="CI3" s="935"/>
      <c r="CJ3" s="935"/>
      <c r="CK3" s="935"/>
      <c r="CL3" s="935"/>
      <c r="CM3" s="935"/>
      <c r="CN3" s="935"/>
      <c r="CO3" s="935"/>
      <c r="CP3" s="935"/>
      <c r="CQ3" s="935"/>
      <c r="CR3" s="935"/>
      <c r="CS3" s="935"/>
      <c r="CT3" s="935"/>
      <c r="CU3" s="935"/>
      <c r="CV3" s="935"/>
      <c r="CW3" s="935"/>
      <c r="CX3" s="935"/>
      <c r="CY3" s="935"/>
      <c r="CZ3" s="935"/>
      <c r="DA3" s="935"/>
      <c r="DB3" s="935"/>
      <c r="DC3" s="935"/>
      <c r="DD3" s="935"/>
      <c r="DE3" s="935"/>
      <c r="DF3" s="935"/>
      <c r="DG3" s="935"/>
      <c r="DH3" s="935"/>
      <c r="DI3" s="935"/>
      <c r="DJ3" s="935"/>
      <c r="DK3" s="935"/>
      <c r="DL3" s="935"/>
      <c r="DM3" s="935"/>
      <c r="DN3" s="935"/>
      <c r="DO3" s="935"/>
      <c r="DP3" s="935"/>
      <c r="DQ3" s="935"/>
      <c r="DR3" s="935"/>
      <c r="DS3" s="935"/>
      <c r="DT3" s="935"/>
      <c r="DU3" s="935"/>
      <c r="DV3" s="935"/>
      <c r="DW3" s="935"/>
      <c r="DX3" s="935"/>
      <c r="DY3" s="935"/>
      <c r="DZ3" s="935"/>
      <c r="EA3" s="935"/>
      <c r="EB3" s="935"/>
      <c r="EC3" s="935"/>
      <c r="ED3" s="935"/>
      <c r="EE3" s="935"/>
      <c r="EF3" s="935"/>
      <c r="EG3" s="935"/>
      <c r="EH3" s="935"/>
      <c r="EI3" s="935"/>
      <c r="EJ3" s="935"/>
      <c r="EK3" s="935"/>
      <c r="EL3" s="935"/>
      <c r="EM3" s="935"/>
      <c r="EN3" s="935"/>
      <c r="EO3" s="935"/>
      <c r="EP3" s="935"/>
      <c r="EQ3" s="935"/>
      <c r="ER3" s="935" t="s">
        <v>342</v>
      </c>
      <c r="ES3" s="935"/>
      <c r="ET3" s="935"/>
      <c r="EU3" s="935"/>
      <c r="EV3" s="935"/>
      <c r="EW3" s="935"/>
      <c r="EX3" s="935"/>
      <c r="EY3" s="935"/>
      <c r="EZ3" s="935"/>
      <c r="FA3" s="938"/>
    </row>
    <row r="4" spans="1:208" ht="47.25" customHeight="1" thickBot="1" x14ac:dyDescent="0.3">
      <c r="A4" s="923" t="s">
        <v>0</v>
      </c>
      <c r="B4" s="924"/>
      <c r="C4" s="924"/>
      <c r="D4" s="924"/>
      <c r="E4" s="925"/>
      <c r="F4" s="833" t="s">
        <v>369</v>
      </c>
      <c r="G4" s="834"/>
      <c r="H4" s="834"/>
      <c r="I4" s="834"/>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4"/>
      <c r="AI4" s="834"/>
      <c r="AJ4" s="834"/>
      <c r="AK4" s="834"/>
      <c r="AL4" s="834"/>
      <c r="AM4" s="834"/>
      <c r="AN4" s="834"/>
      <c r="AO4" s="834"/>
      <c r="AP4" s="834"/>
      <c r="AQ4" s="834"/>
      <c r="AR4" s="834"/>
      <c r="AS4" s="834"/>
      <c r="AT4" s="834"/>
      <c r="AU4" s="834"/>
      <c r="AV4" s="834"/>
      <c r="AW4" s="834"/>
      <c r="AX4" s="834"/>
      <c r="AY4" s="834"/>
      <c r="AZ4" s="834"/>
      <c r="BA4" s="834"/>
      <c r="BB4" s="834"/>
      <c r="BC4" s="834"/>
      <c r="BD4" s="834"/>
      <c r="BE4" s="834"/>
      <c r="BF4" s="834"/>
      <c r="BG4" s="834"/>
      <c r="BH4" s="834"/>
      <c r="BI4" s="834"/>
      <c r="BJ4" s="834"/>
      <c r="BK4" s="834"/>
      <c r="BL4" s="834"/>
      <c r="BM4" s="834"/>
      <c r="BN4" s="834"/>
      <c r="BO4" s="834"/>
      <c r="BP4" s="834"/>
      <c r="BQ4" s="834"/>
      <c r="BR4" s="834"/>
      <c r="BS4" s="834"/>
      <c r="BT4" s="834"/>
      <c r="BU4" s="834"/>
      <c r="BV4" s="834"/>
      <c r="BW4" s="834"/>
      <c r="BX4" s="834"/>
      <c r="BY4" s="834"/>
      <c r="BZ4" s="834"/>
      <c r="CA4" s="834"/>
      <c r="CB4" s="834"/>
      <c r="CC4" s="834"/>
      <c r="CD4" s="834"/>
      <c r="CE4" s="834"/>
      <c r="CF4" s="834"/>
      <c r="CG4" s="834"/>
      <c r="CH4" s="834"/>
      <c r="CI4" s="834"/>
      <c r="CJ4" s="834"/>
      <c r="CK4" s="834"/>
      <c r="CL4" s="834"/>
      <c r="CM4" s="834"/>
      <c r="CN4" s="834"/>
      <c r="CO4" s="834"/>
      <c r="CP4" s="834"/>
      <c r="CQ4" s="834"/>
      <c r="CR4" s="834"/>
      <c r="CS4" s="834"/>
      <c r="CT4" s="834"/>
      <c r="CU4" s="834"/>
      <c r="CV4" s="834"/>
      <c r="CW4" s="834"/>
      <c r="CX4" s="834"/>
      <c r="CY4" s="834"/>
      <c r="CZ4" s="834"/>
      <c r="DA4" s="834"/>
      <c r="DB4" s="834"/>
      <c r="DC4" s="834"/>
      <c r="DD4" s="834"/>
      <c r="DE4" s="834"/>
      <c r="DF4" s="834"/>
      <c r="DG4" s="834"/>
      <c r="DH4" s="834"/>
      <c r="DI4" s="834"/>
      <c r="DJ4" s="834"/>
      <c r="DK4" s="834"/>
      <c r="DL4" s="834"/>
      <c r="DM4" s="834"/>
      <c r="DN4" s="834"/>
      <c r="DO4" s="834"/>
      <c r="DP4" s="834"/>
      <c r="DQ4" s="834"/>
      <c r="DR4" s="834"/>
      <c r="DS4" s="834"/>
      <c r="DT4" s="834"/>
      <c r="DU4" s="834"/>
      <c r="DV4" s="834"/>
      <c r="DW4" s="834"/>
      <c r="DX4" s="834"/>
      <c r="DY4" s="834"/>
      <c r="DZ4" s="834"/>
      <c r="EA4" s="834"/>
      <c r="EB4" s="834"/>
      <c r="EC4" s="834"/>
      <c r="ED4" s="834"/>
      <c r="EE4" s="834"/>
      <c r="EF4" s="834"/>
      <c r="EG4" s="834"/>
      <c r="EH4" s="834"/>
      <c r="EI4" s="834"/>
      <c r="EJ4" s="834"/>
      <c r="EK4" s="834"/>
      <c r="EL4" s="834"/>
      <c r="EM4" s="834"/>
      <c r="EN4" s="834"/>
      <c r="EO4" s="834"/>
      <c r="EP4" s="834"/>
      <c r="EQ4" s="834"/>
      <c r="ER4" s="834"/>
      <c r="ES4" s="834"/>
      <c r="ET4" s="834"/>
      <c r="EU4" s="834"/>
      <c r="EV4" s="834"/>
      <c r="EW4" s="834"/>
      <c r="EX4" s="834"/>
      <c r="EY4" s="834"/>
      <c r="EZ4" s="834"/>
      <c r="FA4" s="835"/>
    </row>
    <row r="5" spans="1:208" ht="70.5" customHeight="1" thickBot="1" x14ac:dyDescent="0.3">
      <c r="A5" s="923" t="s">
        <v>2</v>
      </c>
      <c r="B5" s="924"/>
      <c r="C5" s="924"/>
      <c r="D5" s="924"/>
      <c r="E5" s="925"/>
      <c r="F5" s="833" t="s">
        <v>370</v>
      </c>
      <c r="G5" s="834"/>
      <c r="H5" s="834"/>
      <c r="I5" s="834"/>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4"/>
      <c r="AI5" s="834"/>
      <c r="AJ5" s="834"/>
      <c r="AK5" s="834"/>
      <c r="AL5" s="834"/>
      <c r="AM5" s="834"/>
      <c r="AN5" s="834"/>
      <c r="AO5" s="834"/>
      <c r="AP5" s="834"/>
      <c r="AQ5" s="834"/>
      <c r="AR5" s="834"/>
      <c r="AS5" s="834"/>
      <c r="AT5" s="834"/>
      <c r="AU5" s="834"/>
      <c r="AV5" s="834"/>
      <c r="AW5" s="834"/>
      <c r="AX5" s="834"/>
      <c r="AY5" s="834"/>
      <c r="AZ5" s="834"/>
      <c r="BA5" s="834"/>
      <c r="BB5" s="834"/>
      <c r="BC5" s="834"/>
      <c r="BD5" s="834"/>
      <c r="BE5" s="834"/>
      <c r="BF5" s="834"/>
      <c r="BG5" s="834"/>
      <c r="BH5" s="834"/>
      <c r="BI5" s="834"/>
      <c r="BJ5" s="834"/>
      <c r="BK5" s="834"/>
      <c r="BL5" s="834"/>
      <c r="BM5" s="834"/>
      <c r="BN5" s="834"/>
      <c r="BO5" s="834"/>
      <c r="BP5" s="834"/>
      <c r="BQ5" s="834"/>
      <c r="BR5" s="834"/>
      <c r="BS5" s="834"/>
      <c r="BT5" s="834"/>
      <c r="BU5" s="834"/>
      <c r="BV5" s="834"/>
      <c r="BW5" s="834"/>
      <c r="BX5" s="834"/>
      <c r="BY5" s="834"/>
      <c r="BZ5" s="834"/>
      <c r="CA5" s="834"/>
      <c r="CB5" s="834"/>
      <c r="CC5" s="834"/>
      <c r="CD5" s="834"/>
      <c r="CE5" s="834"/>
      <c r="CF5" s="834"/>
      <c r="CG5" s="834"/>
      <c r="CH5" s="834"/>
      <c r="CI5" s="834"/>
      <c r="CJ5" s="834"/>
      <c r="CK5" s="834"/>
      <c r="CL5" s="834"/>
      <c r="CM5" s="834"/>
      <c r="CN5" s="834"/>
      <c r="CO5" s="834"/>
      <c r="CP5" s="834"/>
      <c r="CQ5" s="834"/>
      <c r="CR5" s="834"/>
      <c r="CS5" s="834"/>
      <c r="CT5" s="834"/>
      <c r="CU5" s="834"/>
      <c r="CV5" s="834"/>
      <c r="CW5" s="834"/>
      <c r="CX5" s="834"/>
      <c r="CY5" s="834"/>
      <c r="CZ5" s="834"/>
      <c r="DA5" s="834"/>
      <c r="DB5" s="834"/>
      <c r="DC5" s="834"/>
      <c r="DD5" s="834"/>
      <c r="DE5" s="834"/>
      <c r="DF5" s="834"/>
      <c r="DG5" s="834"/>
      <c r="DH5" s="834"/>
      <c r="DI5" s="834"/>
      <c r="DJ5" s="834"/>
      <c r="DK5" s="834"/>
      <c r="DL5" s="834"/>
      <c r="DM5" s="834"/>
      <c r="DN5" s="834"/>
      <c r="DO5" s="834"/>
      <c r="DP5" s="834"/>
      <c r="DQ5" s="834"/>
      <c r="DR5" s="834"/>
      <c r="DS5" s="834"/>
      <c r="DT5" s="834"/>
      <c r="DU5" s="834"/>
      <c r="DV5" s="834"/>
      <c r="DW5" s="834"/>
      <c r="DX5" s="834"/>
      <c r="DY5" s="834"/>
      <c r="DZ5" s="834"/>
      <c r="EA5" s="834"/>
      <c r="EB5" s="834"/>
      <c r="EC5" s="834"/>
      <c r="ED5" s="834"/>
      <c r="EE5" s="834"/>
      <c r="EF5" s="834"/>
      <c r="EG5" s="834"/>
      <c r="EH5" s="834"/>
      <c r="EI5" s="834"/>
      <c r="EJ5" s="834"/>
      <c r="EK5" s="834"/>
      <c r="EL5" s="834"/>
      <c r="EM5" s="834"/>
      <c r="EN5" s="834"/>
      <c r="EO5" s="834"/>
      <c r="EP5" s="834"/>
      <c r="EQ5" s="834"/>
      <c r="ER5" s="834"/>
      <c r="ES5" s="834"/>
      <c r="ET5" s="834"/>
      <c r="EU5" s="834"/>
      <c r="EV5" s="834"/>
      <c r="EW5" s="834"/>
      <c r="EX5" s="834"/>
      <c r="EY5" s="834"/>
      <c r="EZ5" s="834"/>
      <c r="FA5" s="835"/>
    </row>
    <row r="6" spans="1:208" ht="49.5" customHeight="1" thickBot="1" x14ac:dyDescent="0.3">
      <c r="A6" s="2"/>
      <c r="B6" s="2"/>
      <c r="C6" s="2"/>
      <c r="D6" s="22"/>
      <c r="E6" s="273"/>
      <c r="F6" s="889"/>
      <c r="G6" s="889"/>
      <c r="H6" s="889"/>
      <c r="I6" s="889"/>
      <c r="J6" s="889"/>
      <c r="K6" s="889"/>
      <c r="L6" s="889"/>
      <c r="M6" s="889"/>
      <c r="N6" s="889"/>
      <c r="O6" s="889"/>
      <c r="P6" s="889"/>
      <c r="Q6" s="889"/>
      <c r="R6" s="889"/>
      <c r="S6" s="889"/>
      <c r="T6" s="889"/>
      <c r="U6" s="889"/>
      <c r="V6" s="889"/>
      <c r="W6" s="889"/>
      <c r="X6" s="889"/>
      <c r="Y6" s="889"/>
      <c r="Z6" s="889"/>
      <c r="AA6" s="889"/>
      <c r="AB6" s="889"/>
      <c r="AC6" s="889"/>
      <c r="AD6" s="889"/>
      <c r="AE6" s="889"/>
      <c r="AF6" s="889"/>
      <c r="AG6" s="889"/>
      <c r="AH6" s="889"/>
      <c r="AI6" s="889"/>
      <c r="AJ6" s="889"/>
      <c r="AK6" s="889"/>
      <c r="AL6" s="889"/>
      <c r="AM6" s="889"/>
      <c r="AN6" s="889"/>
      <c r="AO6" s="889"/>
      <c r="AP6" s="889"/>
      <c r="AQ6" s="889"/>
      <c r="AR6" s="889"/>
      <c r="AS6" s="889"/>
      <c r="AT6" s="889"/>
      <c r="AU6" s="889"/>
      <c r="AV6" s="889"/>
      <c r="AW6" s="889"/>
      <c r="AX6" s="889"/>
      <c r="AY6" s="889"/>
      <c r="AZ6" s="889"/>
      <c r="BA6" s="889"/>
      <c r="BB6" s="889"/>
      <c r="BC6" s="889"/>
      <c r="BD6" s="889"/>
      <c r="BE6" s="889"/>
      <c r="BF6" s="889"/>
      <c r="BG6" s="889"/>
      <c r="BH6" s="889"/>
      <c r="BI6" s="889"/>
      <c r="BJ6" s="889"/>
      <c r="BK6" s="889"/>
      <c r="BL6" s="889"/>
      <c r="BM6" s="889"/>
      <c r="BN6" s="889"/>
      <c r="BO6" s="889"/>
      <c r="BP6" s="889"/>
      <c r="BQ6" s="889"/>
      <c r="BR6" s="889"/>
      <c r="BS6" s="889"/>
      <c r="BT6" s="889"/>
      <c r="BU6" s="889"/>
      <c r="BV6" s="889"/>
      <c r="BW6" s="889"/>
      <c r="BX6" s="889"/>
      <c r="BY6" s="889"/>
      <c r="BZ6" s="889"/>
      <c r="CA6" s="889"/>
      <c r="CB6" s="889"/>
      <c r="CC6" s="889"/>
      <c r="CD6" s="889"/>
      <c r="CE6" s="889"/>
      <c r="CF6" s="889"/>
      <c r="CG6" s="889"/>
      <c r="CH6" s="889"/>
      <c r="CI6" s="889"/>
      <c r="CJ6" s="889"/>
      <c r="CK6" s="889"/>
      <c r="CL6" s="889"/>
      <c r="CM6" s="889"/>
      <c r="CN6" s="889"/>
      <c r="CO6" s="889"/>
      <c r="CP6" s="889"/>
      <c r="CQ6" s="889"/>
      <c r="CR6" s="889"/>
      <c r="CS6" s="889"/>
      <c r="CT6" s="889"/>
      <c r="CU6" s="889"/>
      <c r="CV6" s="889"/>
      <c r="CW6" s="889"/>
      <c r="CX6" s="889"/>
      <c r="CY6" s="889"/>
      <c r="CZ6" s="889"/>
      <c r="DA6" s="889"/>
      <c r="DB6" s="889"/>
      <c r="DC6" s="889"/>
      <c r="DD6" s="889"/>
      <c r="DE6" s="889"/>
      <c r="DF6" s="889"/>
      <c r="DG6" s="889"/>
      <c r="DH6" s="889"/>
      <c r="DI6" s="889"/>
      <c r="DJ6" s="889"/>
      <c r="DK6" s="889"/>
      <c r="DL6" s="889"/>
      <c r="DM6" s="889"/>
      <c r="DN6" s="889"/>
      <c r="DO6" s="889"/>
      <c r="DP6" s="889"/>
      <c r="DQ6" s="889"/>
      <c r="DR6" s="889"/>
      <c r="DS6" s="889"/>
      <c r="DT6" s="889"/>
      <c r="DU6" s="889"/>
      <c r="DV6" s="889"/>
      <c r="DW6" s="889"/>
      <c r="DX6" s="889"/>
      <c r="DY6" s="889"/>
      <c r="DZ6" s="889"/>
      <c r="EA6" s="889"/>
      <c r="EB6" s="889"/>
      <c r="EC6" s="889"/>
      <c r="ED6" s="889"/>
      <c r="EE6" s="889"/>
      <c r="EF6" s="889"/>
      <c r="EG6" s="889"/>
      <c r="EH6" s="889"/>
      <c r="EI6" s="889"/>
      <c r="EJ6" s="889"/>
      <c r="EK6" s="889"/>
      <c r="EL6" s="889"/>
      <c r="EM6" s="889"/>
      <c r="EN6" s="889"/>
      <c r="EO6" s="889"/>
      <c r="EP6" s="889"/>
      <c r="EQ6" s="889"/>
      <c r="ER6" s="889"/>
      <c r="ES6" s="889"/>
      <c r="ET6" s="889"/>
      <c r="EU6" s="889"/>
      <c r="EV6" s="889"/>
      <c r="EW6" s="889"/>
      <c r="EX6" s="889"/>
      <c r="EY6" s="889"/>
      <c r="EZ6" s="889"/>
      <c r="FA6" s="890"/>
    </row>
    <row r="7" spans="1:208" s="16" customFormat="1" ht="39" customHeight="1" thickBot="1" x14ac:dyDescent="0.3">
      <c r="A7" s="926" t="s">
        <v>94</v>
      </c>
      <c r="B7" s="861"/>
      <c r="C7" s="861"/>
      <c r="D7" s="861"/>
      <c r="E7" s="861"/>
      <c r="F7" s="861"/>
      <c r="G7" s="927"/>
      <c r="H7" s="936" t="s">
        <v>307</v>
      </c>
      <c r="I7" s="936"/>
      <c r="J7" s="936"/>
      <c r="K7" s="936"/>
      <c r="L7" s="936"/>
      <c r="M7" s="936"/>
      <c r="N7" s="936"/>
      <c r="O7" s="936"/>
      <c r="P7" s="936"/>
      <c r="Q7" s="936"/>
      <c r="R7" s="936"/>
      <c r="S7" s="936"/>
      <c r="T7" s="936"/>
      <c r="U7" s="937"/>
      <c r="V7" s="937"/>
      <c r="W7" s="937"/>
      <c r="X7" s="937"/>
      <c r="Y7" s="937"/>
      <c r="Z7" s="937"/>
      <c r="AA7" s="937"/>
      <c r="AB7" s="937"/>
      <c r="AC7" s="937"/>
      <c r="AD7" s="937"/>
      <c r="AE7" s="937"/>
      <c r="AF7" s="937"/>
      <c r="AG7" s="937"/>
      <c r="AH7" s="937"/>
      <c r="AI7" s="937"/>
      <c r="AJ7" s="937"/>
      <c r="AK7" s="937"/>
      <c r="AL7" s="937"/>
      <c r="AM7" s="937"/>
      <c r="AN7" s="937"/>
      <c r="AO7" s="937"/>
      <c r="AP7" s="937"/>
      <c r="AQ7" s="937"/>
      <c r="AR7" s="937"/>
      <c r="AS7" s="937"/>
      <c r="AT7" s="937"/>
      <c r="AU7" s="937"/>
      <c r="AV7" s="937"/>
      <c r="AW7" s="937"/>
      <c r="AX7" s="937"/>
      <c r="AY7" s="937"/>
      <c r="AZ7" s="937"/>
      <c r="BA7" s="937"/>
      <c r="BB7" s="937"/>
      <c r="BC7" s="937"/>
      <c r="BD7" s="937"/>
      <c r="BE7" s="937"/>
      <c r="BF7" s="937"/>
      <c r="BG7" s="937"/>
      <c r="BH7" s="937"/>
      <c r="BI7" s="937"/>
      <c r="BJ7" s="937"/>
      <c r="BK7" s="937"/>
      <c r="BL7" s="937"/>
      <c r="BM7" s="937"/>
      <c r="BN7" s="937"/>
      <c r="BO7" s="937"/>
      <c r="BP7" s="937"/>
      <c r="BQ7" s="937"/>
      <c r="BR7" s="937"/>
      <c r="BS7" s="937"/>
      <c r="BT7" s="937"/>
      <c r="BU7" s="937"/>
      <c r="BV7" s="937"/>
      <c r="BW7" s="937"/>
      <c r="BX7" s="937"/>
      <c r="BY7" s="937"/>
      <c r="BZ7" s="937"/>
      <c r="CA7" s="937"/>
      <c r="CB7" s="937"/>
      <c r="CC7" s="937"/>
      <c r="CD7" s="937"/>
      <c r="CE7" s="937"/>
      <c r="CF7" s="937"/>
      <c r="CG7" s="937"/>
      <c r="CH7" s="937"/>
      <c r="CI7" s="937"/>
      <c r="CJ7" s="937"/>
      <c r="CK7" s="937"/>
      <c r="CL7" s="937"/>
      <c r="CM7" s="937"/>
      <c r="CN7" s="937"/>
      <c r="CO7" s="937"/>
      <c r="CP7" s="937"/>
      <c r="CQ7" s="937"/>
      <c r="CR7" s="937"/>
      <c r="CS7" s="937"/>
      <c r="CT7" s="937"/>
      <c r="CU7" s="937"/>
      <c r="CV7" s="937"/>
      <c r="CW7" s="937"/>
      <c r="CX7" s="937"/>
      <c r="CY7" s="937"/>
      <c r="CZ7" s="937"/>
      <c r="DA7" s="937"/>
      <c r="DB7" s="937"/>
      <c r="DC7" s="937"/>
      <c r="DD7" s="937"/>
      <c r="DE7" s="937"/>
      <c r="DF7" s="937"/>
      <c r="DG7" s="937"/>
      <c r="DH7" s="937"/>
      <c r="DI7" s="937"/>
      <c r="DJ7" s="937"/>
      <c r="DK7" s="937"/>
      <c r="DL7" s="937"/>
      <c r="DM7" s="937"/>
      <c r="DN7" s="937"/>
      <c r="DO7" s="937"/>
      <c r="DP7" s="937"/>
      <c r="DQ7" s="937"/>
      <c r="DR7" s="937"/>
      <c r="DS7" s="937"/>
      <c r="DT7" s="937"/>
      <c r="DU7" s="937"/>
      <c r="DV7" s="937"/>
      <c r="DW7" s="937"/>
      <c r="DX7" s="937"/>
      <c r="DY7" s="937"/>
      <c r="DZ7" s="937"/>
      <c r="EA7" s="937"/>
      <c r="EB7" s="937"/>
      <c r="EC7" s="937"/>
      <c r="ED7" s="937"/>
      <c r="EE7" s="937"/>
      <c r="EF7" s="937"/>
      <c r="EG7" s="937"/>
      <c r="EH7" s="937"/>
      <c r="EI7" s="937"/>
      <c r="EJ7" s="937"/>
      <c r="EK7" s="937"/>
      <c r="EL7" s="937"/>
      <c r="EM7" s="937"/>
      <c r="EN7" s="937"/>
      <c r="EO7" s="937"/>
      <c r="EP7" s="937"/>
      <c r="EQ7" s="937"/>
      <c r="ER7" s="862" t="s">
        <v>302</v>
      </c>
      <c r="ES7" s="862" t="s">
        <v>303</v>
      </c>
      <c r="ET7" s="912" t="s">
        <v>304</v>
      </c>
      <c r="EU7" s="866" t="s">
        <v>348</v>
      </c>
      <c r="EV7" s="907"/>
      <c r="EW7" s="909" t="s">
        <v>350</v>
      </c>
      <c r="EX7" s="874" t="s">
        <v>351</v>
      </c>
      <c r="EY7" s="874" t="s">
        <v>352</v>
      </c>
      <c r="EZ7" s="874" t="s">
        <v>354</v>
      </c>
      <c r="FA7" s="855" t="s">
        <v>353</v>
      </c>
    </row>
    <row r="8" spans="1:208" s="16" customFormat="1" ht="39" customHeight="1" thickBot="1" x14ac:dyDescent="0.3">
      <c r="A8" s="928"/>
      <c r="B8" s="929"/>
      <c r="C8" s="929"/>
      <c r="D8" s="929"/>
      <c r="E8" s="929"/>
      <c r="F8" s="929"/>
      <c r="G8" s="930"/>
      <c r="H8" s="869" t="s">
        <v>65</v>
      </c>
      <c r="I8" s="869"/>
      <c r="J8" s="869"/>
      <c r="K8" s="869"/>
      <c r="L8" s="869"/>
      <c r="M8" s="869"/>
      <c r="N8" s="869"/>
      <c r="O8" s="869"/>
      <c r="P8" s="869"/>
      <c r="Q8" s="869"/>
      <c r="R8" s="869"/>
      <c r="S8" s="869"/>
      <c r="T8" s="869"/>
      <c r="U8" s="869"/>
      <c r="V8" s="869"/>
      <c r="W8" s="869"/>
      <c r="X8" s="869"/>
      <c r="Y8" s="869"/>
      <c r="Z8" s="869"/>
      <c r="AA8" s="870"/>
      <c r="AB8" s="868" t="s">
        <v>362</v>
      </c>
      <c r="AC8" s="869"/>
      <c r="AD8" s="869"/>
      <c r="AE8" s="869"/>
      <c r="AF8" s="869"/>
      <c r="AG8" s="869"/>
      <c r="AH8" s="869"/>
      <c r="AI8" s="869"/>
      <c r="AJ8" s="869"/>
      <c r="AK8" s="869"/>
      <c r="AL8" s="869"/>
      <c r="AM8" s="869"/>
      <c r="AN8" s="869"/>
      <c r="AO8" s="869"/>
      <c r="AP8" s="869"/>
      <c r="AQ8" s="869"/>
      <c r="AR8" s="869"/>
      <c r="AS8" s="869"/>
      <c r="AT8" s="869"/>
      <c r="AU8" s="869"/>
      <c r="AV8" s="869"/>
      <c r="AW8" s="869"/>
      <c r="AX8" s="869"/>
      <c r="AY8" s="869"/>
      <c r="AZ8" s="869"/>
      <c r="BA8" s="869"/>
      <c r="BB8" s="869"/>
      <c r="BC8" s="869"/>
      <c r="BD8" s="869"/>
      <c r="BE8" s="870"/>
      <c r="BF8" s="868" t="s">
        <v>62</v>
      </c>
      <c r="BG8" s="869"/>
      <c r="BH8" s="869"/>
      <c r="BI8" s="869"/>
      <c r="BJ8" s="869"/>
      <c r="BK8" s="869"/>
      <c r="BL8" s="869"/>
      <c r="BM8" s="869"/>
      <c r="BN8" s="869"/>
      <c r="BO8" s="869"/>
      <c r="BP8" s="869"/>
      <c r="BQ8" s="869"/>
      <c r="BR8" s="869"/>
      <c r="BS8" s="869"/>
      <c r="BT8" s="869"/>
      <c r="BU8" s="869"/>
      <c r="BV8" s="869"/>
      <c r="BW8" s="869"/>
      <c r="BX8" s="869"/>
      <c r="BY8" s="869"/>
      <c r="BZ8" s="869"/>
      <c r="CA8" s="869"/>
      <c r="CB8" s="869"/>
      <c r="CC8" s="869"/>
      <c r="CD8" s="869"/>
      <c r="CE8" s="869"/>
      <c r="CF8" s="869"/>
      <c r="CG8" s="869"/>
      <c r="CH8" s="869"/>
      <c r="CI8" s="870"/>
      <c r="CJ8" s="904" t="s">
        <v>63</v>
      </c>
      <c r="CK8" s="905"/>
      <c r="CL8" s="905"/>
      <c r="CM8" s="905"/>
      <c r="CN8" s="905"/>
      <c r="CO8" s="905"/>
      <c r="CP8" s="905"/>
      <c r="CQ8" s="905"/>
      <c r="CR8" s="905"/>
      <c r="CS8" s="905"/>
      <c r="CT8" s="905"/>
      <c r="CU8" s="905"/>
      <c r="CV8" s="905"/>
      <c r="CW8" s="905"/>
      <c r="CX8" s="905"/>
      <c r="CY8" s="905"/>
      <c r="CZ8" s="905"/>
      <c r="DA8" s="905"/>
      <c r="DB8" s="905"/>
      <c r="DC8" s="905"/>
      <c r="DD8" s="905"/>
      <c r="DE8" s="905"/>
      <c r="DF8" s="905"/>
      <c r="DG8" s="905"/>
      <c r="DH8" s="905"/>
      <c r="DI8" s="905"/>
      <c r="DJ8" s="905"/>
      <c r="DK8" s="905"/>
      <c r="DL8" s="905"/>
      <c r="DM8" s="905"/>
      <c r="DN8" s="901" t="s">
        <v>64</v>
      </c>
      <c r="DO8" s="902"/>
      <c r="DP8" s="902"/>
      <c r="DQ8" s="902"/>
      <c r="DR8" s="902"/>
      <c r="DS8" s="902"/>
      <c r="DT8" s="902"/>
      <c r="DU8" s="902"/>
      <c r="DV8" s="902"/>
      <c r="DW8" s="902"/>
      <c r="DX8" s="902"/>
      <c r="DY8" s="902"/>
      <c r="DZ8" s="902"/>
      <c r="EA8" s="902"/>
      <c r="EB8" s="902"/>
      <c r="EC8" s="902"/>
      <c r="ED8" s="902"/>
      <c r="EE8" s="902"/>
      <c r="EF8" s="902"/>
      <c r="EG8" s="903"/>
      <c r="EH8" s="903"/>
      <c r="EI8" s="903"/>
      <c r="EJ8" s="903"/>
      <c r="EK8" s="903"/>
      <c r="EL8" s="903"/>
      <c r="EM8" s="903"/>
      <c r="EN8" s="903"/>
      <c r="EO8" s="903"/>
      <c r="EP8" s="903"/>
      <c r="EQ8" s="903"/>
      <c r="ER8" s="863"/>
      <c r="ES8" s="863"/>
      <c r="ET8" s="913"/>
      <c r="EU8" s="867"/>
      <c r="EV8" s="908"/>
      <c r="EW8" s="910"/>
      <c r="EX8" s="875"/>
      <c r="EY8" s="875"/>
      <c r="EZ8" s="875"/>
      <c r="FA8" s="856"/>
    </row>
    <row r="9" spans="1:208" s="16" customFormat="1" ht="90" customHeight="1" thickBot="1" x14ac:dyDescent="0.3">
      <c r="A9" s="200" t="s">
        <v>87</v>
      </c>
      <c r="B9" s="204" t="s">
        <v>88</v>
      </c>
      <c r="C9" s="205" t="s">
        <v>89</v>
      </c>
      <c r="D9" s="205" t="s">
        <v>90</v>
      </c>
      <c r="E9" s="206" t="s">
        <v>91</v>
      </c>
      <c r="F9" s="206" t="s">
        <v>92</v>
      </c>
      <c r="G9" s="280" t="s">
        <v>93</v>
      </c>
      <c r="H9" s="229" t="s">
        <v>317</v>
      </c>
      <c r="I9" s="207" t="s">
        <v>292</v>
      </c>
      <c r="J9" s="208" t="s">
        <v>300</v>
      </c>
      <c r="K9" s="207" t="s">
        <v>293</v>
      </c>
      <c r="L9" s="208" t="s">
        <v>58</v>
      </c>
      <c r="M9" s="207" t="s">
        <v>294</v>
      </c>
      <c r="N9" s="208" t="s">
        <v>59</v>
      </c>
      <c r="O9" s="207" t="s">
        <v>295</v>
      </c>
      <c r="P9" s="208" t="s">
        <v>60</v>
      </c>
      <c r="Q9" s="207" t="s">
        <v>296</v>
      </c>
      <c r="R9" s="208" t="s">
        <v>61</v>
      </c>
      <c r="S9" s="207" t="s">
        <v>297</v>
      </c>
      <c r="T9" s="208" t="s">
        <v>51</v>
      </c>
      <c r="U9" s="207" t="s">
        <v>298</v>
      </c>
      <c r="V9" s="209" t="s">
        <v>301</v>
      </c>
      <c r="W9" s="222" t="s">
        <v>299</v>
      </c>
      <c r="X9" s="201" t="s">
        <v>356</v>
      </c>
      <c r="Y9" s="202" t="s">
        <v>357</v>
      </c>
      <c r="Z9" s="203" t="s">
        <v>358</v>
      </c>
      <c r="AA9" s="202" t="s">
        <v>359</v>
      </c>
      <c r="AB9" s="229" t="s">
        <v>317</v>
      </c>
      <c r="AC9" s="207" t="s">
        <v>287</v>
      </c>
      <c r="AD9" s="208" t="s">
        <v>52</v>
      </c>
      <c r="AE9" s="207" t="s">
        <v>288</v>
      </c>
      <c r="AF9" s="208" t="s">
        <v>53</v>
      </c>
      <c r="AG9" s="207" t="s">
        <v>289</v>
      </c>
      <c r="AH9" s="208" t="s">
        <v>54</v>
      </c>
      <c r="AI9" s="207" t="s">
        <v>290</v>
      </c>
      <c r="AJ9" s="208" t="s">
        <v>55</v>
      </c>
      <c r="AK9" s="207" t="s">
        <v>291</v>
      </c>
      <c r="AL9" s="208" t="s">
        <v>57</v>
      </c>
      <c r="AM9" s="207" t="s">
        <v>292</v>
      </c>
      <c r="AN9" s="208" t="s">
        <v>300</v>
      </c>
      <c r="AO9" s="207" t="s">
        <v>293</v>
      </c>
      <c r="AP9" s="208" t="s">
        <v>58</v>
      </c>
      <c r="AQ9" s="207" t="s">
        <v>294</v>
      </c>
      <c r="AR9" s="208" t="s">
        <v>59</v>
      </c>
      <c r="AS9" s="207" t="s">
        <v>295</v>
      </c>
      <c r="AT9" s="208" t="s">
        <v>60</v>
      </c>
      <c r="AU9" s="207" t="s">
        <v>296</v>
      </c>
      <c r="AV9" s="208" t="s">
        <v>61</v>
      </c>
      <c r="AW9" s="207" t="s">
        <v>297</v>
      </c>
      <c r="AX9" s="208" t="s">
        <v>51</v>
      </c>
      <c r="AY9" s="207" t="s">
        <v>298</v>
      </c>
      <c r="AZ9" s="208" t="s">
        <v>301</v>
      </c>
      <c r="BA9" s="222" t="s">
        <v>299</v>
      </c>
      <c r="BB9" s="201" t="s">
        <v>347</v>
      </c>
      <c r="BC9" s="202" t="s">
        <v>412</v>
      </c>
      <c r="BD9" s="203" t="s">
        <v>345</v>
      </c>
      <c r="BE9" s="202" t="s">
        <v>344</v>
      </c>
      <c r="BF9" s="229" t="s">
        <v>547</v>
      </c>
      <c r="BG9" s="230" t="s">
        <v>523</v>
      </c>
      <c r="BH9" s="231" t="s">
        <v>524</v>
      </c>
      <c r="BI9" s="230" t="s">
        <v>525</v>
      </c>
      <c r="BJ9" s="231" t="s">
        <v>526</v>
      </c>
      <c r="BK9" s="230" t="s">
        <v>527</v>
      </c>
      <c r="BL9" s="231" t="s">
        <v>528</v>
      </c>
      <c r="BM9" s="230" t="s">
        <v>529</v>
      </c>
      <c r="BN9" s="231" t="s">
        <v>530</v>
      </c>
      <c r="BO9" s="230" t="s">
        <v>531</v>
      </c>
      <c r="BP9" s="231" t="s">
        <v>532</v>
      </c>
      <c r="BQ9" s="230" t="s">
        <v>533</v>
      </c>
      <c r="BR9" s="231" t="s">
        <v>534</v>
      </c>
      <c r="BS9" s="230" t="s">
        <v>535</v>
      </c>
      <c r="BT9" s="231" t="s">
        <v>536</v>
      </c>
      <c r="BU9" s="230" t="s">
        <v>537</v>
      </c>
      <c r="BV9" s="231" t="s">
        <v>538</v>
      </c>
      <c r="BW9" s="230" t="s">
        <v>539</v>
      </c>
      <c r="BX9" s="231" t="s">
        <v>540</v>
      </c>
      <c r="BY9" s="230" t="s">
        <v>541</v>
      </c>
      <c r="BZ9" s="231" t="s">
        <v>542</v>
      </c>
      <c r="CA9" s="230" t="s">
        <v>543</v>
      </c>
      <c r="CB9" s="231" t="s">
        <v>544</v>
      </c>
      <c r="CC9" s="230" t="s">
        <v>545</v>
      </c>
      <c r="CD9" s="232" t="s">
        <v>546</v>
      </c>
      <c r="CE9" s="222" t="s">
        <v>299</v>
      </c>
      <c r="CF9" s="201" t="s">
        <v>305</v>
      </c>
      <c r="CG9" s="202" t="s">
        <v>428</v>
      </c>
      <c r="CH9" s="203" t="s">
        <v>306</v>
      </c>
      <c r="CI9" s="202" t="s">
        <v>427</v>
      </c>
      <c r="CJ9" s="229" t="s">
        <v>522</v>
      </c>
      <c r="CK9" s="230" t="s">
        <v>318</v>
      </c>
      <c r="CL9" s="231" t="s">
        <v>319</v>
      </c>
      <c r="CM9" s="230" t="s">
        <v>320</v>
      </c>
      <c r="CN9" s="231" t="s">
        <v>321</v>
      </c>
      <c r="CO9" s="230" t="s">
        <v>322</v>
      </c>
      <c r="CP9" s="231" t="s">
        <v>323</v>
      </c>
      <c r="CQ9" s="230" t="s">
        <v>340</v>
      </c>
      <c r="CR9" s="231" t="s">
        <v>341</v>
      </c>
      <c r="CS9" s="230" t="s">
        <v>324</v>
      </c>
      <c r="CT9" s="231" t="s">
        <v>325</v>
      </c>
      <c r="CU9" s="230" t="s">
        <v>326</v>
      </c>
      <c r="CV9" s="231" t="s">
        <v>327</v>
      </c>
      <c r="CW9" s="230" t="s">
        <v>328</v>
      </c>
      <c r="CX9" s="231" t="s">
        <v>329</v>
      </c>
      <c r="CY9" s="230" t="s">
        <v>330</v>
      </c>
      <c r="CZ9" s="231" t="s">
        <v>331</v>
      </c>
      <c r="DA9" s="230" t="s">
        <v>332</v>
      </c>
      <c r="DB9" s="231" t="s">
        <v>333</v>
      </c>
      <c r="DC9" s="230" t="s">
        <v>334</v>
      </c>
      <c r="DD9" s="231" t="s">
        <v>335</v>
      </c>
      <c r="DE9" s="230" t="s">
        <v>336</v>
      </c>
      <c r="DF9" s="231" t="s">
        <v>337</v>
      </c>
      <c r="DG9" s="230" t="s">
        <v>338</v>
      </c>
      <c r="DH9" s="231" t="s">
        <v>339</v>
      </c>
      <c r="DI9" s="233" t="s">
        <v>299</v>
      </c>
      <c r="DJ9" s="197" t="s">
        <v>309</v>
      </c>
      <c r="DK9" s="198" t="s">
        <v>310</v>
      </c>
      <c r="DL9" s="199" t="s">
        <v>311</v>
      </c>
      <c r="DM9" s="198" t="s">
        <v>521</v>
      </c>
      <c r="DN9" s="229" t="s">
        <v>317</v>
      </c>
      <c r="DO9" s="207" t="s">
        <v>287</v>
      </c>
      <c r="DP9" s="208" t="s">
        <v>52</v>
      </c>
      <c r="DQ9" s="207" t="s">
        <v>288</v>
      </c>
      <c r="DR9" s="208" t="s">
        <v>53</v>
      </c>
      <c r="DS9" s="207" t="s">
        <v>289</v>
      </c>
      <c r="DT9" s="208" t="s">
        <v>54</v>
      </c>
      <c r="DU9" s="207" t="s">
        <v>290</v>
      </c>
      <c r="DV9" s="208" t="s">
        <v>55</v>
      </c>
      <c r="DW9" s="207" t="s">
        <v>291</v>
      </c>
      <c r="DX9" s="208" t="s">
        <v>57</v>
      </c>
      <c r="DY9" s="207" t="s">
        <v>292</v>
      </c>
      <c r="DZ9" s="208" t="s">
        <v>300</v>
      </c>
      <c r="EA9" s="207" t="s">
        <v>293</v>
      </c>
      <c r="EB9" s="208" t="s">
        <v>58</v>
      </c>
      <c r="EC9" s="207" t="s">
        <v>294</v>
      </c>
      <c r="ED9" s="208" t="s">
        <v>59</v>
      </c>
      <c r="EE9" s="207" t="s">
        <v>295</v>
      </c>
      <c r="EF9" s="208" t="s">
        <v>60</v>
      </c>
      <c r="EG9" s="207" t="s">
        <v>296</v>
      </c>
      <c r="EH9" s="208" t="s">
        <v>61</v>
      </c>
      <c r="EI9" s="207" t="s">
        <v>297</v>
      </c>
      <c r="EJ9" s="208" t="s">
        <v>51</v>
      </c>
      <c r="EK9" s="207" t="s">
        <v>298</v>
      </c>
      <c r="EL9" s="208" t="s">
        <v>301</v>
      </c>
      <c r="EM9" s="233" t="s">
        <v>299</v>
      </c>
      <c r="EN9" s="197" t="s">
        <v>313</v>
      </c>
      <c r="EO9" s="198" t="s">
        <v>314</v>
      </c>
      <c r="EP9" s="199" t="s">
        <v>315</v>
      </c>
      <c r="EQ9" s="198" t="s">
        <v>316</v>
      </c>
      <c r="ER9" s="863"/>
      <c r="ES9" s="863"/>
      <c r="ET9" s="913"/>
      <c r="EU9" s="867"/>
      <c r="EV9" s="908"/>
      <c r="EW9" s="911"/>
      <c r="EX9" s="876"/>
      <c r="EY9" s="876"/>
      <c r="EZ9" s="876"/>
      <c r="FA9" s="857"/>
    </row>
    <row r="10" spans="1:208" s="226" customFormat="1" ht="44.25" customHeight="1" x14ac:dyDescent="0.25">
      <c r="A10" s="939" t="s">
        <v>374</v>
      </c>
      <c r="B10" s="940">
        <v>1</v>
      </c>
      <c r="C10" s="943" t="s">
        <v>375</v>
      </c>
      <c r="D10" s="946" t="s">
        <v>376</v>
      </c>
      <c r="E10" s="947">
        <v>290</v>
      </c>
      <c r="F10" s="247" t="s">
        <v>41</v>
      </c>
      <c r="G10" s="748">
        <v>1</v>
      </c>
      <c r="H10" s="719">
        <v>1</v>
      </c>
      <c r="I10" s="477"/>
      <c r="J10" s="478"/>
      <c r="K10" s="477">
        <v>1</v>
      </c>
      <c r="L10" s="720">
        <v>0</v>
      </c>
      <c r="M10" s="477">
        <v>1</v>
      </c>
      <c r="N10" s="720">
        <v>0.25</v>
      </c>
      <c r="O10" s="477">
        <v>1</v>
      </c>
      <c r="P10" s="720">
        <v>0.46</v>
      </c>
      <c r="Q10" s="477">
        <v>1</v>
      </c>
      <c r="R10" s="720">
        <v>0.65</v>
      </c>
      <c r="S10" s="720">
        <v>1</v>
      </c>
      <c r="T10" s="720">
        <v>0.85</v>
      </c>
      <c r="U10" s="720">
        <v>1</v>
      </c>
      <c r="V10" s="720">
        <v>1</v>
      </c>
      <c r="W10" s="720">
        <f>K10</f>
        <v>1</v>
      </c>
      <c r="X10" s="720">
        <f>U10</f>
        <v>1</v>
      </c>
      <c r="Y10" s="720">
        <f>V10</f>
        <v>1</v>
      </c>
      <c r="Z10" s="720">
        <v>1</v>
      </c>
      <c r="AA10" s="720">
        <v>1</v>
      </c>
      <c r="AB10" s="719">
        <v>1</v>
      </c>
      <c r="AC10" s="720">
        <v>9.1999999999999998E-2</v>
      </c>
      <c r="AD10" s="720">
        <v>9.1999999999999998E-2</v>
      </c>
      <c r="AE10" s="720">
        <f>0.19-AC10</f>
        <v>9.8000000000000004E-2</v>
      </c>
      <c r="AF10" s="720">
        <f>0.17-AD10</f>
        <v>7.8000000000000014E-2</v>
      </c>
      <c r="AG10" s="720">
        <f>0.28-AE10-AC10</f>
        <v>9.0000000000000024E-2</v>
      </c>
      <c r="AH10" s="720">
        <f>0.2103-AF10-AD10</f>
        <v>4.0299999999999975E-2</v>
      </c>
      <c r="AI10" s="720">
        <f>0.334-AG10-AE10-AC10</f>
        <v>5.3999999999999992E-2</v>
      </c>
      <c r="AJ10" s="720">
        <f>0.316-AH10-AF10-AD10</f>
        <v>0.10570000000000004</v>
      </c>
      <c r="AK10" s="720">
        <f>0.424-AI10-AG10-AE10-AC10</f>
        <v>8.9999999999999969E-2</v>
      </c>
      <c r="AL10" s="720">
        <f>0.42-AJ10-AH10-AF10-AD10</f>
        <v>0.1039999999999999</v>
      </c>
      <c r="AM10" s="720">
        <f>0.514-AK10-AI10-AG10-AE10-AC10</f>
        <v>9.0000000000000024E-2</v>
      </c>
      <c r="AN10" s="720">
        <f>0.514-AL10-AJ10-AH10-AF10-AD10</f>
        <v>9.4000000000000111E-2</v>
      </c>
      <c r="AO10" s="720">
        <f>0.6-AM10-AK10-AI10-AG10-AE10-AC10</f>
        <v>8.6000000000000021E-2</v>
      </c>
      <c r="AP10" s="720">
        <v>0.08</v>
      </c>
      <c r="AQ10" s="720">
        <v>0.09</v>
      </c>
      <c r="AR10" s="720">
        <v>0.08</v>
      </c>
      <c r="AS10" s="720">
        <f>0.78-AQ10-AO10-AM10-AK10-AI10-AG10-AE10-AC10</f>
        <v>9.0000000000000024E-2</v>
      </c>
      <c r="AT10" s="721">
        <v>9.7000000000000003E-2</v>
      </c>
      <c r="AU10" s="720">
        <f>0.86-AS10-AQ10-AO10-AM10-AK10-AI10-AG10-AE10-AC10</f>
        <v>8.0000000000000016E-2</v>
      </c>
      <c r="AV10" s="720">
        <v>8.3199999999999996E-2</v>
      </c>
      <c r="AW10" s="720">
        <f>0.93-AU10-AS10-AQ10-AO10-AM10-AK10-AI10-AG10-AE10-AC10</f>
        <v>7.0000000000000062E-2</v>
      </c>
      <c r="AX10" s="720">
        <v>9.06E-2</v>
      </c>
      <c r="AY10" s="720">
        <f>1-AW10-AU10-AS10-AQ10-AO10-AM10-AK10-AI10-AG10-AE10-AC10</f>
        <v>6.999999999999984E-2</v>
      </c>
      <c r="AZ10" s="720">
        <v>0.06</v>
      </c>
      <c r="BA10" s="720">
        <f>AC10+AE10+AG10+AI10+AK10+AM10+AO10+AQ10+AS10+AU10+AW10+AY10</f>
        <v>1</v>
      </c>
      <c r="BB10" s="720">
        <f>AC10+AE10+AG10+AI10+AK10+AM10+AO10+AQ10+AS10+AU10+AW10+AY10</f>
        <v>1</v>
      </c>
      <c r="BC10" s="720">
        <f>AD10+AF10+AH10+AJ10+AL10+AN10+AP10+AR10+AT10+AV10+AX10+AZ10</f>
        <v>1.0047999999999999</v>
      </c>
      <c r="BD10" s="720">
        <f>AC10+AE10+AG10+AI10+AK10+AM10+AO10+AQ10+AS10+AU10+AW10+AY10</f>
        <v>1</v>
      </c>
      <c r="BE10" s="720">
        <f>AD10+AF10+AH10+AJ10+AL10+AN10+AP10+AR10+AT10+AV10+AX10+AZ10</f>
        <v>1.0047999999999999</v>
      </c>
      <c r="BF10" s="719">
        <v>1</v>
      </c>
      <c r="BG10" s="720">
        <v>1.4999999999999999E-2</v>
      </c>
      <c r="BH10" s="720">
        <v>0.02</v>
      </c>
      <c r="BI10" s="720">
        <v>0.08</v>
      </c>
      <c r="BJ10" s="473">
        <v>0.13</v>
      </c>
      <c r="BK10" s="720">
        <v>0.09</v>
      </c>
      <c r="BL10" s="720">
        <v>8.1000000000000003E-2</v>
      </c>
      <c r="BM10" s="720">
        <v>0.09</v>
      </c>
      <c r="BN10" s="720">
        <v>8.1000000000000003E-2</v>
      </c>
      <c r="BO10" s="720">
        <v>0.09</v>
      </c>
      <c r="BP10" s="720">
        <v>0.08</v>
      </c>
      <c r="BQ10" s="720">
        <v>0.09</v>
      </c>
      <c r="BR10" s="720">
        <v>0.11</v>
      </c>
      <c r="BS10" s="720">
        <v>0.09</v>
      </c>
      <c r="BT10" s="720">
        <v>8.0299999999999996E-2</v>
      </c>
      <c r="BU10" s="720">
        <v>0.09</v>
      </c>
      <c r="BV10" s="720">
        <v>7.8755999999999826E-2</v>
      </c>
      <c r="BW10" s="720">
        <v>0.09</v>
      </c>
      <c r="BX10" s="720">
        <v>0.1</v>
      </c>
      <c r="BY10" s="720">
        <v>0.09</v>
      </c>
      <c r="BZ10" s="720">
        <v>8.2199999999999995E-2</v>
      </c>
      <c r="CA10" s="720">
        <v>0.09</v>
      </c>
      <c r="CB10" s="720">
        <v>0.08</v>
      </c>
      <c r="CC10" s="720">
        <v>9.5000000000000001E-2</v>
      </c>
      <c r="CD10" s="720">
        <v>7.6700000000000004E-2</v>
      </c>
      <c r="CE10" s="720">
        <f>BG10+BI10+BK10+BM10+BO10+BQ10+BS10+BU10+BW10+BY10+CA10+CC10</f>
        <v>0.99999999999999978</v>
      </c>
      <c r="CF10" s="720">
        <f>BG10+BI10+BK10+BM10+BO10+BQ10+BS10+BU10+BW10+BY10+CA10+CC10</f>
        <v>0.99999999999999978</v>
      </c>
      <c r="CG10" s="720">
        <f>BH10+BJ10+BL10+BN10+BP10+BR10+BT10+BV10+BX10+BZ10+CB10+CD10</f>
        <v>0.99995599999999973</v>
      </c>
      <c r="CH10" s="720">
        <f>BG10+BI10+BK10+BM10+BO10+BQ10+BS10+BU10+BW10+BY10+CA10+CC10</f>
        <v>0.99999999999999978</v>
      </c>
      <c r="CI10" s="720">
        <f>BH10+BJ10+BL10+BN10+BP10+BR10+BT10+BV10+BX10+BZ10+CB10+CD10</f>
        <v>0.99995599999999973</v>
      </c>
      <c r="CJ10" s="719">
        <v>1</v>
      </c>
      <c r="CK10" s="721">
        <v>0.03</v>
      </c>
      <c r="CL10" s="721">
        <v>0.03</v>
      </c>
      <c r="CM10" s="721">
        <v>0.14000000000000001</v>
      </c>
      <c r="CN10" s="571">
        <v>0.14599999999999999</v>
      </c>
      <c r="CO10" s="721">
        <v>0.08</v>
      </c>
      <c r="CP10" s="721">
        <v>0.08</v>
      </c>
      <c r="CQ10" s="721">
        <v>0.1</v>
      </c>
      <c r="CR10" s="721">
        <v>7.0000000000000007E-2</v>
      </c>
      <c r="CS10" s="720">
        <v>0.1</v>
      </c>
      <c r="CT10" s="721">
        <v>7.4999999999999997E-2</v>
      </c>
      <c r="CU10" s="722">
        <v>0.1</v>
      </c>
      <c r="CV10" s="723">
        <v>0.105</v>
      </c>
      <c r="CW10" s="720">
        <v>0.1</v>
      </c>
      <c r="CX10" s="721">
        <v>0.08</v>
      </c>
      <c r="CY10" s="720">
        <v>0.09</v>
      </c>
      <c r="CZ10" s="721">
        <v>8.6999999999999994E-2</v>
      </c>
      <c r="DA10" s="720">
        <v>0.08</v>
      </c>
      <c r="DB10" s="721">
        <v>0.11</v>
      </c>
      <c r="DC10" s="720">
        <v>7.0000000000000007E-2</v>
      </c>
      <c r="DD10" s="721">
        <v>7.6999999999999999E-2</v>
      </c>
      <c r="DE10" s="720">
        <v>0.06</v>
      </c>
      <c r="DF10" s="721">
        <v>0.08</v>
      </c>
      <c r="DG10" s="720">
        <v>0.05</v>
      </c>
      <c r="DH10" s="721">
        <v>0.05</v>
      </c>
      <c r="DI10" s="720">
        <f>DG10+DE10+DC10+DA10+CW10+CY10+CU10+CS10+CQ10+CO10+CM10+CK10</f>
        <v>0.99999999999999989</v>
      </c>
      <c r="DJ10" s="722">
        <f>CK10+CM10+CO10+CQ10+CS10+CU10+CW10+CY10+DA10+DC10+DE10+DG10</f>
        <v>1</v>
      </c>
      <c r="DK10" s="721">
        <f>CL10+CN10+CP10+CR10+CT10+CV10+CX10+CZ10+DB10+DD10+DF10+DH10</f>
        <v>0.98999999999999988</v>
      </c>
      <c r="DL10" s="720">
        <f>DI10</f>
        <v>0.99999999999999989</v>
      </c>
      <c r="DM10" s="720">
        <f>DK10</f>
        <v>0.98999999999999988</v>
      </c>
      <c r="DN10" s="719">
        <v>1</v>
      </c>
      <c r="DO10" s="720">
        <v>7.0000000000000007E-2</v>
      </c>
      <c r="DP10" s="720">
        <v>7.0000000000000007E-2</v>
      </c>
      <c r="DQ10" s="720">
        <v>0.17</v>
      </c>
      <c r="DR10" s="721">
        <v>0.16</v>
      </c>
      <c r="DS10" s="720">
        <v>0.25</v>
      </c>
      <c r="DT10" s="720">
        <v>0.23</v>
      </c>
      <c r="DU10" s="720">
        <v>0.25</v>
      </c>
      <c r="DV10" s="720"/>
      <c r="DW10" s="720">
        <v>0.26</v>
      </c>
      <c r="DX10" s="720"/>
      <c r="DY10" s="720"/>
      <c r="DZ10" s="720"/>
      <c r="EA10" s="720"/>
      <c r="EB10" s="720"/>
      <c r="EC10" s="720"/>
      <c r="ED10" s="720"/>
      <c r="EE10" s="720"/>
      <c r="EF10" s="720"/>
      <c r="EG10" s="720"/>
      <c r="EH10" s="720"/>
      <c r="EI10" s="720"/>
      <c r="EJ10" s="720"/>
      <c r="EK10" s="720"/>
      <c r="EL10" s="720"/>
      <c r="EM10" s="720">
        <f>EK10+EI10+EG10+EE10+EA10+DY10+DW10+DU10+DS10+DQ10+DO10</f>
        <v>1</v>
      </c>
      <c r="EN10" s="720">
        <f>DO10+DQ10+DS10</f>
        <v>0.49</v>
      </c>
      <c r="EO10" s="720">
        <f>DP10+DR10+DT10</f>
        <v>0.46</v>
      </c>
      <c r="EP10" s="720">
        <f>DO10+DQ10+DS10+DU10+DW10+DY10+EA10+EC10</f>
        <v>1</v>
      </c>
      <c r="EQ10" s="720">
        <f>EO10</f>
        <v>0.46</v>
      </c>
      <c r="ER10" s="692">
        <f>DT10/DS10</f>
        <v>0.92</v>
      </c>
      <c r="ES10" s="698">
        <f>EO10/EN10</f>
        <v>0.93877551020408168</v>
      </c>
      <c r="ET10" s="694">
        <f>INVERSIÓN!EQ10/INVERSIÓN!EP10</f>
        <v>0.46</v>
      </c>
      <c r="EU10" s="688">
        <f>IFERROR((AA10+BE10+CI10+DM10+EO10)/(Z10+BD10+CH10+DL10+EN10),0)</f>
        <v>0.9921505567928729</v>
      </c>
      <c r="EV10" s="677">
        <f>(AA10+BE10+CI10+DM10+EQ10)/5</f>
        <v>0.89095119999999994</v>
      </c>
      <c r="EW10" s="891" t="s">
        <v>711</v>
      </c>
      <c r="EX10" s="893" t="s">
        <v>71</v>
      </c>
      <c r="EY10" s="893" t="s">
        <v>71</v>
      </c>
      <c r="EZ10" s="893" t="s">
        <v>373</v>
      </c>
      <c r="FA10" s="893" t="s">
        <v>762</v>
      </c>
      <c r="FB10" s="254"/>
      <c r="FC10" s="254"/>
      <c r="FD10" s="254"/>
      <c r="FE10" s="254"/>
      <c r="FF10" s="254"/>
      <c r="FG10" s="254"/>
      <c r="FH10" s="254"/>
      <c r="FI10" s="254"/>
      <c r="FJ10" s="254"/>
      <c r="FK10" s="254"/>
      <c r="FL10" s="254"/>
      <c r="FM10" s="254"/>
      <c r="FN10" s="254"/>
      <c r="FO10" s="254"/>
      <c r="FP10" s="254"/>
      <c r="FQ10" s="254"/>
      <c r="FR10" s="254"/>
      <c r="FS10" s="254"/>
      <c r="FT10" s="254"/>
      <c r="FU10" s="254"/>
      <c r="FV10" s="254"/>
      <c r="FW10" s="254"/>
      <c r="FX10" s="254"/>
      <c r="FY10" s="254"/>
      <c r="FZ10" s="254"/>
      <c r="GA10" s="254"/>
      <c r="GB10" s="254"/>
      <c r="GC10" s="254"/>
      <c r="GD10" s="254"/>
      <c r="GE10" s="254"/>
      <c r="GF10" s="254"/>
      <c r="GG10" s="254"/>
      <c r="GH10" s="254"/>
      <c r="GI10" s="254"/>
      <c r="GJ10" s="254"/>
      <c r="GK10" s="254"/>
      <c r="GL10" s="254"/>
      <c r="GM10" s="254"/>
      <c r="GN10" s="254"/>
      <c r="GO10" s="254"/>
      <c r="GP10" s="254"/>
      <c r="GQ10" s="254"/>
      <c r="GR10" s="254"/>
      <c r="GS10" s="254"/>
      <c r="GT10" s="254"/>
      <c r="GU10" s="254"/>
      <c r="GV10" s="254"/>
      <c r="GW10" s="254"/>
      <c r="GX10" s="254"/>
      <c r="GY10" s="254"/>
      <c r="GZ10" s="254"/>
    </row>
    <row r="11" spans="1:208" s="217" customFormat="1" ht="63" customHeight="1" x14ac:dyDescent="0.25">
      <c r="A11" s="939"/>
      <c r="B11" s="941"/>
      <c r="C11" s="944"/>
      <c r="D11" s="944"/>
      <c r="E11" s="948"/>
      <c r="F11" s="275" t="s">
        <v>3</v>
      </c>
      <c r="G11" s="749">
        <f>AA11+BE11+CI11+DM11+EP11</f>
        <v>23786632435</v>
      </c>
      <c r="H11" s="246">
        <v>2729118190</v>
      </c>
      <c r="I11" s="236"/>
      <c r="J11" s="236"/>
      <c r="K11" s="236">
        <v>2729118190</v>
      </c>
      <c r="L11" s="237">
        <v>61765000</v>
      </c>
      <c r="M11" s="236">
        <v>2729118190</v>
      </c>
      <c r="N11" s="236">
        <v>1624576000</v>
      </c>
      <c r="O11" s="236">
        <v>2729118190</v>
      </c>
      <c r="P11" s="237">
        <v>1781560000</v>
      </c>
      <c r="Q11" s="236">
        <v>2729118190</v>
      </c>
      <c r="R11" s="237">
        <v>1796256255</v>
      </c>
      <c r="S11" s="236">
        <v>2729118190</v>
      </c>
      <c r="T11" s="236">
        <v>2025564031</v>
      </c>
      <c r="U11" s="236">
        <v>2729118190</v>
      </c>
      <c r="V11" s="237">
        <v>2693651241</v>
      </c>
      <c r="W11" s="724">
        <f>K11</f>
        <v>2729118190</v>
      </c>
      <c r="X11" s="724">
        <f t="shared" ref="X11:Y15" si="0">U11</f>
        <v>2729118190</v>
      </c>
      <c r="Y11" s="724">
        <f t="shared" si="0"/>
        <v>2693651241</v>
      </c>
      <c r="Z11" s="237">
        <v>2729118190</v>
      </c>
      <c r="AA11" s="237">
        <v>2693651241</v>
      </c>
      <c r="AB11" s="237">
        <v>3782244731</v>
      </c>
      <c r="AC11" s="237">
        <v>0</v>
      </c>
      <c r="AD11" s="237">
        <v>0</v>
      </c>
      <c r="AE11" s="237">
        <v>3339446000</v>
      </c>
      <c r="AF11" s="237">
        <v>1042039000</v>
      </c>
      <c r="AG11" s="237">
        <v>229188200</v>
      </c>
      <c r="AH11" s="237">
        <f>3151409000-AF11</f>
        <v>2109370000</v>
      </c>
      <c r="AI11" s="237">
        <v>0</v>
      </c>
      <c r="AJ11" s="237">
        <f>3390620000-AH11-AF11</f>
        <v>239211000</v>
      </c>
      <c r="AK11" s="237">
        <v>10850000</v>
      </c>
      <c r="AL11" s="237">
        <f>3397664550-AJ11-AH11-AF11-AD11</f>
        <v>7044550</v>
      </c>
      <c r="AM11" s="237">
        <v>0</v>
      </c>
      <c r="AN11" s="237">
        <v>161532180</v>
      </c>
      <c r="AO11" s="237">
        <v>43822800</v>
      </c>
      <c r="AP11" s="237">
        <v>0</v>
      </c>
      <c r="AQ11" s="237"/>
      <c r="AR11" s="237">
        <v>11804000</v>
      </c>
      <c r="AS11" s="237">
        <v>0</v>
      </c>
      <c r="AT11" s="237">
        <v>54613000</v>
      </c>
      <c r="AU11" s="237">
        <v>24324000</v>
      </c>
      <c r="AV11" s="237">
        <f>30510934 - 6314267</f>
        <v>24196667</v>
      </c>
      <c r="AW11" s="237">
        <v>57295200</v>
      </c>
      <c r="AX11" s="237">
        <v>66592701</v>
      </c>
      <c r="AY11" s="237">
        <v>77318531</v>
      </c>
      <c r="AZ11" s="237">
        <v>61799866</v>
      </c>
      <c r="BA11" s="237">
        <f t="shared" ref="BA11:BA28" si="1">AC11+AE11+AG11+AI11+AK11+AM11+AO11+AQ11+AS11+AU11+AW11+AY11</f>
        <v>3782244731</v>
      </c>
      <c r="BB11" s="237">
        <f t="shared" ref="BB11:BB28" si="2">AC11+AE11+AG11+AI11+AK11+AM11+AO11+AQ11+AS11+AU11+AW11+AY11</f>
        <v>3782244731</v>
      </c>
      <c r="BC11" s="237">
        <f t="shared" ref="BC11:BC28" si="3">AD11+AF11+AH11+AJ11+AL11+AN11+AP11+AR11+AT11+AV11+AX11+AZ11</f>
        <v>3778202964</v>
      </c>
      <c r="BD11" s="237">
        <f t="shared" ref="BD11:BD28" si="4">AC11+AE11+AG11+AI11+AK11+AM11+AO11+AQ11+AS11+AU11+AW11+AY11</f>
        <v>3782244731</v>
      </c>
      <c r="BE11" s="237">
        <f t="shared" ref="BE11:BE28" si="5">AD11+AF11+AH11+AJ11+AL11+AN11+AP11+AR11+AT11+AV11+AX11+AZ11</f>
        <v>3778202964</v>
      </c>
      <c r="BF11" s="237">
        <v>5896434000</v>
      </c>
      <c r="BG11" s="237">
        <f>5852055000-192340000</f>
        <v>5659715000</v>
      </c>
      <c r="BH11" s="237">
        <v>5594980000</v>
      </c>
      <c r="BI11" s="237">
        <v>22628000</v>
      </c>
      <c r="BJ11" s="237">
        <v>50780000</v>
      </c>
      <c r="BK11" s="237">
        <v>23316000</v>
      </c>
      <c r="BL11" s="237">
        <v>18709000</v>
      </c>
      <c r="BM11" s="237">
        <v>0</v>
      </c>
      <c r="BN11" s="237">
        <v>0</v>
      </c>
      <c r="BO11" s="237">
        <v>0</v>
      </c>
      <c r="BP11" s="237">
        <v>0</v>
      </c>
      <c r="BQ11" s="237">
        <v>12677000</v>
      </c>
      <c r="BR11" s="237">
        <f>31044000+2926000</f>
        <v>33970000</v>
      </c>
      <c r="BS11" s="237">
        <v>154634000</v>
      </c>
      <c r="BT11" s="237">
        <v>2909400</v>
      </c>
      <c r="BU11" s="237">
        <v>10674000</v>
      </c>
      <c r="BV11" s="237">
        <v>51152500</v>
      </c>
      <c r="BW11" s="237">
        <v>0</v>
      </c>
      <c r="BX11" s="237">
        <v>9093000</v>
      </c>
      <c r="BY11" s="237">
        <v>8982800</v>
      </c>
      <c r="BZ11" s="237">
        <v>8271767</v>
      </c>
      <c r="CA11" s="237">
        <v>453944268</v>
      </c>
      <c r="CB11" s="237">
        <v>484885996</v>
      </c>
      <c r="CC11" s="237">
        <v>44436998</v>
      </c>
      <c r="CD11" s="237">
        <v>121784966</v>
      </c>
      <c r="CE11" s="237">
        <f t="shared" ref="CE11:CE28" si="6">BG11+BI11+BK11+BM11+BO11+BQ11+BS11+BU11+BW11+BY11+CA11+CC11</f>
        <v>6391008066</v>
      </c>
      <c r="CF11" s="237">
        <f t="shared" ref="CF11:CG28" si="7">BG11+BI11+BK11+BM11+BO11+BQ11+BS11+BU11+BW11+BY11+CA11+CC11</f>
        <v>6391008066</v>
      </c>
      <c r="CG11" s="237">
        <f t="shared" si="7"/>
        <v>6376536629</v>
      </c>
      <c r="CH11" s="237">
        <f t="shared" ref="CH11:CI28" si="8">BG11+BI11+BK11+BM11+BO11+BQ11+BS11+BU11+BW11+BY11+CA11+CC11</f>
        <v>6391008066</v>
      </c>
      <c r="CI11" s="237">
        <f t="shared" si="8"/>
        <v>6376536629</v>
      </c>
      <c r="CJ11" s="237">
        <v>4481764000</v>
      </c>
      <c r="CK11" s="237">
        <v>1369056000</v>
      </c>
      <c r="CL11" s="237">
        <v>1369056000</v>
      </c>
      <c r="CM11" s="237">
        <v>2039584000</v>
      </c>
      <c r="CN11" s="237">
        <v>2039584000</v>
      </c>
      <c r="CO11" s="237">
        <v>824607000</v>
      </c>
      <c r="CP11" s="237">
        <v>824607000</v>
      </c>
      <c r="CQ11" s="237">
        <v>133098000</v>
      </c>
      <c r="CR11" s="237">
        <v>48590000</v>
      </c>
      <c r="CS11" s="531">
        <v>60833000</v>
      </c>
      <c r="CT11" s="531">
        <v>92737000</v>
      </c>
      <c r="CU11" s="548">
        <v>0</v>
      </c>
      <c r="CV11" s="548">
        <v>0</v>
      </c>
      <c r="CW11" s="237">
        <v>54586000</v>
      </c>
      <c r="CX11" s="237">
        <v>0</v>
      </c>
      <c r="CY11" s="237">
        <v>0</v>
      </c>
      <c r="CZ11" s="237">
        <v>5000000</v>
      </c>
      <c r="DA11" s="237">
        <v>0</v>
      </c>
      <c r="DB11" s="237">
        <v>0</v>
      </c>
      <c r="DC11" s="237">
        <v>4464000</v>
      </c>
      <c r="DD11" s="237">
        <v>0</v>
      </c>
      <c r="DE11" s="237">
        <v>140093834</v>
      </c>
      <c r="DF11" s="237">
        <v>140093834</v>
      </c>
      <c r="DG11" s="237">
        <v>154188166</v>
      </c>
      <c r="DH11" s="237">
        <v>256190767</v>
      </c>
      <c r="DI11" s="237">
        <f>DG11+DE11+DC11+DA11+CW11+CY11+CU11+CS11+CQ11+CO11+CM11+CK11</f>
        <v>4780510000</v>
      </c>
      <c r="DJ11" s="722">
        <f t="shared" ref="DJ11:DJ33" si="9">CK11+CM11+CO11+CQ11+CS11+CU11+CW11+CY11+DA11+DC11+DE11+DG11</f>
        <v>4780510000</v>
      </c>
      <c r="DK11" s="721">
        <f t="shared" ref="DK11:DK33" si="10">CL11+CN11+CP11+CR11+CT11+CV11+CX11+CZ11+DB11+DD11+DF11+DH11</f>
        <v>4775858601</v>
      </c>
      <c r="DL11" s="237">
        <f>DI11</f>
        <v>4780510000</v>
      </c>
      <c r="DM11" s="237">
        <f>DK11</f>
        <v>4775858601</v>
      </c>
      <c r="DN11" s="237">
        <v>6162383000</v>
      </c>
      <c r="DO11" s="237">
        <v>500122466</v>
      </c>
      <c r="DP11" s="237">
        <v>500122466</v>
      </c>
      <c r="DQ11" s="237">
        <v>1095420000</v>
      </c>
      <c r="DR11" s="237">
        <v>513311934</v>
      </c>
      <c r="DS11" s="237">
        <v>1399953000</v>
      </c>
      <c r="DT11" s="237">
        <v>591417000</v>
      </c>
      <c r="DU11" s="237">
        <v>975912000</v>
      </c>
      <c r="DV11" s="237"/>
      <c r="DW11" s="237">
        <v>380000000</v>
      </c>
      <c r="DX11" s="237"/>
      <c r="DY11" s="237">
        <v>529188000</v>
      </c>
      <c r="DZ11" s="237"/>
      <c r="EA11" s="237">
        <v>1281787534</v>
      </c>
      <c r="EB11" s="237"/>
      <c r="EC11" s="237"/>
      <c r="ED11" s="237"/>
      <c r="EE11" s="237"/>
      <c r="EF11" s="237"/>
      <c r="EG11" s="237"/>
      <c r="EH11" s="237"/>
      <c r="EI11" s="237"/>
      <c r="EJ11" s="237"/>
      <c r="EK11" s="237"/>
      <c r="EL11" s="237"/>
      <c r="EM11" s="237">
        <f t="shared" ref="EM11:EM15" si="11">EK11+EI11+EG11+EE11+EA11+DY11+DW11+DU11+DS11+DQ11+DO11</f>
        <v>6162383000</v>
      </c>
      <c r="EN11" s="237">
        <f t="shared" ref="EN11:EN15" si="12">DO11+DQ11+DS11</f>
        <v>2995495466</v>
      </c>
      <c r="EO11" s="237">
        <f>DP11+DR11+DT11+DV11</f>
        <v>1604851400</v>
      </c>
      <c r="EP11" s="237">
        <f t="shared" ref="EP11:EP15" si="13">DO11+DQ11+DS11+DU11+DW11+DY11+EA11+EC11</f>
        <v>6162383000</v>
      </c>
      <c r="EQ11" s="237">
        <f t="shared" ref="EQ11:EQ15" si="14">EO11</f>
        <v>1604851400</v>
      </c>
      <c r="ER11" s="692">
        <f t="shared" ref="ER11:ER12" si="15">DT11/DS11</f>
        <v>0.4224548967001035</v>
      </c>
      <c r="ES11" s="698">
        <f>EO11/EN11</f>
        <v>0.53575490873401976</v>
      </c>
      <c r="ET11" s="694">
        <f>INVERSIÓN!EQ11/INVERSIÓN!EP11</f>
        <v>0.26042707829097933</v>
      </c>
      <c r="EU11" s="688">
        <f t="shared" ref="EU11:EU30" si="16">IFERROR((AA11+BE11+CI11+DM11+EO11)/(Z11+BD11+CH11+DL11+EN11),0)</f>
        <v>0.92991347162606952</v>
      </c>
      <c r="EV11" s="677">
        <f>(AA11+BE11+CI11+DM11+EQ11)/G11</f>
        <v>0.80839946081253677</v>
      </c>
      <c r="EW11" s="891"/>
      <c r="EX11" s="893"/>
      <c r="EY11" s="893"/>
      <c r="EZ11" s="893"/>
      <c r="FA11" s="893"/>
    </row>
    <row r="12" spans="1:208" s="217" customFormat="1" ht="62.85" customHeight="1" x14ac:dyDescent="0.25">
      <c r="A12" s="939"/>
      <c r="B12" s="941"/>
      <c r="C12" s="944"/>
      <c r="D12" s="944"/>
      <c r="E12" s="948"/>
      <c r="F12" s="276" t="s">
        <v>390</v>
      </c>
      <c r="G12" s="749"/>
      <c r="H12" s="246"/>
      <c r="I12" s="236"/>
      <c r="J12" s="236"/>
      <c r="K12" s="236"/>
      <c r="L12" s="237"/>
      <c r="M12" s="236"/>
      <c r="N12" s="236"/>
      <c r="O12" s="236"/>
      <c r="P12" s="237"/>
      <c r="Q12" s="236"/>
      <c r="R12" s="237"/>
      <c r="S12" s="236"/>
      <c r="T12" s="236"/>
      <c r="U12" s="236"/>
      <c r="V12" s="237"/>
      <c r="W12" s="724"/>
      <c r="X12" s="724"/>
      <c r="Y12" s="724"/>
      <c r="Z12" s="237">
        <v>0</v>
      </c>
      <c r="AA12" s="237">
        <v>0</v>
      </c>
      <c r="AB12" s="237"/>
      <c r="AC12" s="237">
        <v>0</v>
      </c>
      <c r="AD12" s="237">
        <v>0</v>
      </c>
      <c r="AE12" s="237">
        <v>0</v>
      </c>
      <c r="AF12" s="237">
        <v>0</v>
      </c>
      <c r="AG12" s="237">
        <v>15124067</v>
      </c>
      <c r="AH12" s="237">
        <v>8038933</v>
      </c>
      <c r="AI12" s="237">
        <v>234239897</v>
      </c>
      <c r="AJ12" s="237">
        <v>204935067</v>
      </c>
      <c r="AK12" s="237">
        <v>364182617</v>
      </c>
      <c r="AL12" s="237">
        <v>346936434</v>
      </c>
      <c r="AM12" s="237">
        <v>386326089</v>
      </c>
      <c r="AN12" s="237">
        <v>393176707</v>
      </c>
      <c r="AO12" s="237">
        <v>391052508</v>
      </c>
      <c r="AP12" s="237">
        <v>382790234</v>
      </c>
      <c r="AQ12" s="237">
        <v>422171554</v>
      </c>
      <c r="AR12" s="237">
        <v>401864858</v>
      </c>
      <c r="AS12" s="237">
        <v>421906087</v>
      </c>
      <c r="AT12" s="237">
        <v>406416219</v>
      </c>
      <c r="AU12" s="237">
        <v>415614787</v>
      </c>
      <c r="AV12" s="237">
        <v>386002443</v>
      </c>
      <c r="AW12" s="237">
        <v>405220754</v>
      </c>
      <c r="AX12" s="237">
        <v>395590776</v>
      </c>
      <c r="AY12" s="237">
        <v>726406371</v>
      </c>
      <c r="AZ12" s="237">
        <v>486445185</v>
      </c>
      <c r="BA12" s="237">
        <f>AC12+AE12+AG12+AI12+AK12+AM12+AO12+AQ12+AS12+AU12+AW12+AY12</f>
        <v>3782244731</v>
      </c>
      <c r="BB12" s="237">
        <f>AC12+AE12+AG12+AI12+AK12+AM12+AO12+AQ12+AS12+AU12+AW12+AY12</f>
        <v>3782244731</v>
      </c>
      <c r="BC12" s="237">
        <f>AD12+AF12+AH12+AJ12+AL12+AN12+AP12+AR12+AT12+AV12+AX12+AZ12</f>
        <v>3412196856</v>
      </c>
      <c r="BD12" s="237">
        <f t="shared" si="4"/>
        <v>3782244731</v>
      </c>
      <c r="BE12" s="237">
        <f t="shared" si="5"/>
        <v>3412196856</v>
      </c>
      <c r="BF12" s="237">
        <v>5896390000</v>
      </c>
      <c r="BG12" s="237">
        <v>0</v>
      </c>
      <c r="BH12" s="237">
        <v>0</v>
      </c>
      <c r="BI12" s="237">
        <v>83751000</v>
      </c>
      <c r="BJ12" s="237">
        <v>48250334</v>
      </c>
      <c r="BK12" s="237">
        <v>585838583</v>
      </c>
      <c r="BL12" s="237">
        <v>458483434</v>
      </c>
      <c r="BM12" s="237">
        <v>588101383</v>
      </c>
      <c r="BN12" s="237">
        <v>529968266</v>
      </c>
      <c r="BO12" s="237">
        <v>590266316</v>
      </c>
      <c r="BP12" s="237">
        <v>578167882</v>
      </c>
      <c r="BQ12" s="237">
        <v>590266316</v>
      </c>
      <c r="BR12" s="237">
        <v>537824500</v>
      </c>
      <c r="BS12" s="237">
        <v>590266316</v>
      </c>
      <c r="BT12" s="237">
        <v>618330400</v>
      </c>
      <c r="BU12" s="237">
        <v>590222316</v>
      </c>
      <c r="BV12" s="237">
        <v>545843369</v>
      </c>
      <c r="BW12" s="237">
        <v>590266316</v>
      </c>
      <c r="BX12" s="237">
        <v>591740056</v>
      </c>
      <c r="BY12" s="237">
        <v>590310316</v>
      </c>
      <c r="BZ12" s="237">
        <v>654840482</v>
      </c>
      <c r="CA12" s="237">
        <v>590266316</v>
      </c>
      <c r="CB12" s="237">
        <v>555135997</v>
      </c>
      <c r="CC12" s="237">
        <f>506878822+494574066</f>
        <v>1001452888</v>
      </c>
      <c r="CD12" s="237">
        <v>806784202</v>
      </c>
      <c r="CE12" s="237">
        <f t="shared" si="6"/>
        <v>6391008066</v>
      </c>
      <c r="CF12" s="237">
        <f t="shared" si="7"/>
        <v>6391008066</v>
      </c>
      <c r="CG12" s="237">
        <f t="shared" si="7"/>
        <v>5925368922</v>
      </c>
      <c r="CH12" s="237">
        <f t="shared" si="8"/>
        <v>6391008066</v>
      </c>
      <c r="CI12" s="237">
        <f t="shared" si="8"/>
        <v>5925368922</v>
      </c>
      <c r="CJ12" s="237">
        <v>4481764000</v>
      </c>
      <c r="CK12" s="237">
        <v>0</v>
      </c>
      <c r="CL12" s="237">
        <v>0</v>
      </c>
      <c r="CM12" s="237">
        <v>5613267</v>
      </c>
      <c r="CN12" s="237">
        <v>5613267</v>
      </c>
      <c r="CO12" s="237">
        <v>119220334</v>
      </c>
      <c r="CP12" s="237">
        <v>119220334</v>
      </c>
      <c r="CQ12" s="237">
        <v>405382000</v>
      </c>
      <c r="CR12" s="237">
        <v>339350066</v>
      </c>
      <c r="CS12" s="531">
        <v>405382000</v>
      </c>
      <c r="CT12" s="531">
        <v>412626401</v>
      </c>
      <c r="CU12" s="548">
        <v>412396000</v>
      </c>
      <c r="CV12" s="548">
        <v>435280375</v>
      </c>
      <c r="CW12" s="237">
        <v>412396000</v>
      </c>
      <c r="CX12" s="237">
        <v>464837434</v>
      </c>
      <c r="CY12" s="237">
        <v>469962985</v>
      </c>
      <c r="CZ12" s="237">
        <v>462293935</v>
      </c>
      <c r="DA12" s="237">
        <v>558146151</v>
      </c>
      <c r="DB12" s="237">
        <v>454781132</v>
      </c>
      <c r="DC12" s="237">
        <v>558146151</v>
      </c>
      <c r="DD12" s="237">
        <v>482176689</v>
      </c>
      <c r="DE12" s="237">
        <v>558146151</v>
      </c>
      <c r="DF12" s="237">
        <v>463575851</v>
      </c>
      <c r="DG12" s="237">
        <v>875718961</v>
      </c>
      <c r="DH12" s="237">
        <v>660821140</v>
      </c>
      <c r="DI12" s="237">
        <f>DG12+DE12+DC12+DA12+CW12+CY12+CU12+CS12+CQ12+CO12+CM12+CK12</f>
        <v>4780510000</v>
      </c>
      <c r="DJ12" s="722">
        <f t="shared" si="9"/>
        <v>4780510000</v>
      </c>
      <c r="DK12" s="721">
        <f t="shared" si="10"/>
        <v>4300576624</v>
      </c>
      <c r="DL12" s="237">
        <f t="shared" ref="DL12:DL29" si="17">DI12</f>
        <v>4780510000</v>
      </c>
      <c r="DM12" s="237">
        <f t="shared" ref="DM12:DM29" si="18">DK12</f>
        <v>4300576624</v>
      </c>
      <c r="DN12" s="237">
        <v>6162383000</v>
      </c>
      <c r="DO12" s="237"/>
      <c r="DP12" s="237"/>
      <c r="DQ12" s="237">
        <v>224064335</v>
      </c>
      <c r="DR12" s="237">
        <v>48115800</v>
      </c>
      <c r="DS12" s="237">
        <v>552053000</v>
      </c>
      <c r="DT12" s="237">
        <v>171596235</v>
      </c>
      <c r="DU12" s="237">
        <v>558053000</v>
      </c>
      <c r="DV12" s="237"/>
      <c r="DW12" s="237">
        <v>558553000</v>
      </c>
      <c r="DX12" s="237"/>
      <c r="DY12" s="237">
        <v>558553000</v>
      </c>
      <c r="DZ12" s="237"/>
      <c r="EA12" s="237">
        <v>558553000</v>
      </c>
      <c r="EB12" s="237"/>
      <c r="EC12" s="237">
        <v>562553000</v>
      </c>
      <c r="ED12" s="237"/>
      <c r="EE12" s="237">
        <v>562553000</v>
      </c>
      <c r="EF12" s="237"/>
      <c r="EG12" s="237">
        <v>562553000</v>
      </c>
      <c r="EH12" s="237"/>
      <c r="EI12" s="237">
        <v>562553000</v>
      </c>
      <c r="EJ12" s="237"/>
      <c r="EK12" s="237">
        <v>902341665</v>
      </c>
      <c r="EL12" s="237"/>
      <c r="EM12" s="237">
        <f t="shared" si="11"/>
        <v>5599830000</v>
      </c>
      <c r="EN12" s="237">
        <f t="shared" si="12"/>
        <v>776117335</v>
      </c>
      <c r="EO12" s="237">
        <f t="shared" ref="EO12:EO15" si="19">DP12+DR12+DT12+DV12</f>
        <v>219712035</v>
      </c>
      <c r="EP12" s="237">
        <f t="shared" si="13"/>
        <v>3572382335</v>
      </c>
      <c r="EQ12" s="237">
        <f t="shared" si="14"/>
        <v>219712035</v>
      </c>
      <c r="ER12" s="692">
        <f t="shared" si="15"/>
        <v>0.31083290010198295</v>
      </c>
      <c r="ES12" s="698">
        <f t="shared" ref="ES12:ES16" si="20">EO12/EN12</f>
        <v>0.28309126093672421</v>
      </c>
      <c r="ET12" s="694">
        <f>INVERSIÓN!EQ12/INVERSIÓN!EP12</f>
        <v>6.1502945204771876E-2</v>
      </c>
      <c r="EU12" s="688">
        <f t="shared" si="16"/>
        <v>0.8809891951311406</v>
      </c>
      <c r="EV12" s="677">
        <f>IFERROR((AA12+BE12+CI12+DM12+EQ12)/G12,0)</f>
        <v>0</v>
      </c>
      <c r="EW12" s="891"/>
      <c r="EX12" s="893"/>
      <c r="EY12" s="893"/>
      <c r="EZ12" s="893"/>
      <c r="FA12" s="893"/>
    </row>
    <row r="13" spans="1:208" s="218" customFormat="1" ht="54.75" customHeight="1" x14ac:dyDescent="0.25">
      <c r="A13" s="939"/>
      <c r="B13" s="941"/>
      <c r="C13" s="944"/>
      <c r="D13" s="944"/>
      <c r="E13" s="948"/>
      <c r="F13" s="277" t="s">
        <v>42</v>
      </c>
      <c r="G13" s="239">
        <v>0</v>
      </c>
      <c r="H13" s="689"/>
      <c r="I13" s="238"/>
      <c r="J13" s="238"/>
      <c r="K13" s="238"/>
      <c r="L13" s="239"/>
      <c r="M13" s="238"/>
      <c r="N13" s="238"/>
      <c r="O13" s="238"/>
      <c r="P13" s="239"/>
      <c r="Q13" s="238"/>
      <c r="R13" s="239"/>
      <c r="S13" s="238"/>
      <c r="T13" s="238"/>
      <c r="U13" s="238"/>
      <c r="V13" s="239"/>
      <c r="W13" s="725">
        <f>K13</f>
        <v>0</v>
      </c>
      <c r="X13" s="725">
        <f t="shared" si="0"/>
        <v>0</v>
      </c>
      <c r="Y13" s="725">
        <f t="shared" si="0"/>
        <v>0</v>
      </c>
      <c r="Z13" s="239">
        <v>0</v>
      </c>
      <c r="AA13" s="239">
        <v>0</v>
      </c>
      <c r="AB13" s="689">
        <v>0</v>
      </c>
      <c r="AC13" s="239">
        <v>0</v>
      </c>
      <c r="AD13" s="239">
        <v>0</v>
      </c>
      <c r="AE13" s="239">
        <v>0</v>
      </c>
      <c r="AF13" s="239">
        <v>0</v>
      </c>
      <c r="AG13" s="239">
        <v>0</v>
      </c>
      <c r="AH13" s="239">
        <v>0</v>
      </c>
      <c r="AI13" s="239">
        <v>0</v>
      </c>
      <c r="AJ13" s="239">
        <v>0</v>
      </c>
      <c r="AK13" s="239"/>
      <c r="AL13" s="239"/>
      <c r="AM13" s="239"/>
      <c r="AN13" s="239">
        <v>0</v>
      </c>
      <c r="AO13" s="239"/>
      <c r="AP13" s="239"/>
      <c r="AQ13" s="239"/>
      <c r="AR13" s="239"/>
      <c r="AS13" s="239"/>
      <c r="AT13" s="239"/>
      <c r="AU13" s="239"/>
      <c r="AV13" s="239"/>
      <c r="AW13" s="239">
        <v>0</v>
      </c>
      <c r="AX13" s="239">
        <v>0</v>
      </c>
      <c r="AY13" s="239">
        <v>0</v>
      </c>
      <c r="AZ13" s="239">
        <v>0</v>
      </c>
      <c r="BA13" s="720">
        <f t="shared" si="1"/>
        <v>0</v>
      </c>
      <c r="BB13" s="720">
        <f t="shared" si="2"/>
        <v>0</v>
      </c>
      <c r="BC13" s="720">
        <f t="shared" si="3"/>
        <v>0</v>
      </c>
      <c r="BD13" s="720">
        <f t="shared" si="4"/>
        <v>0</v>
      </c>
      <c r="BE13" s="720">
        <f t="shared" si="5"/>
        <v>0</v>
      </c>
      <c r="BF13" s="719">
        <v>0</v>
      </c>
      <c r="BG13" s="720">
        <v>0</v>
      </c>
      <c r="BH13" s="720">
        <v>0</v>
      </c>
      <c r="BI13" s="720">
        <v>0</v>
      </c>
      <c r="BJ13" s="473">
        <v>0</v>
      </c>
      <c r="BK13" s="720">
        <v>0</v>
      </c>
      <c r="BL13" s="720">
        <v>0</v>
      </c>
      <c r="BM13" s="720">
        <v>0</v>
      </c>
      <c r="BN13" s="720">
        <v>0</v>
      </c>
      <c r="BO13" s="720">
        <v>0</v>
      </c>
      <c r="BP13" s="720">
        <v>0</v>
      </c>
      <c r="BQ13" s="720">
        <v>0</v>
      </c>
      <c r="BR13" s="720">
        <v>0</v>
      </c>
      <c r="BS13" s="720">
        <v>0</v>
      </c>
      <c r="BT13" s="720">
        <v>0</v>
      </c>
      <c r="BU13" s="720">
        <v>0</v>
      </c>
      <c r="BV13" s="720">
        <v>0</v>
      </c>
      <c r="BW13" s="720">
        <v>0</v>
      </c>
      <c r="BX13" s="720">
        <v>0</v>
      </c>
      <c r="BY13" s="720">
        <v>0</v>
      </c>
      <c r="BZ13" s="720">
        <v>0</v>
      </c>
      <c r="CA13" s="720">
        <v>0</v>
      </c>
      <c r="CB13" s="720">
        <v>0</v>
      </c>
      <c r="CC13" s="720">
        <v>0</v>
      </c>
      <c r="CD13" s="720">
        <v>0</v>
      </c>
      <c r="CE13" s="720">
        <f t="shared" si="6"/>
        <v>0</v>
      </c>
      <c r="CF13" s="720">
        <f t="shared" si="7"/>
        <v>0</v>
      </c>
      <c r="CG13" s="720">
        <f t="shared" si="7"/>
        <v>0</v>
      </c>
      <c r="CH13" s="720">
        <f t="shared" si="8"/>
        <v>0</v>
      </c>
      <c r="CI13" s="720">
        <f t="shared" si="8"/>
        <v>0</v>
      </c>
      <c r="CJ13" s="719">
        <v>0</v>
      </c>
      <c r="CK13" s="720">
        <v>0</v>
      </c>
      <c r="CL13" s="720">
        <v>0</v>
      </c>
      <c r="CM13" s="720">
        <v>0</v>
      </c>
      <c r="CN13" s="720">
        <v>0</v>
      </c>
      <c r="CO13" s="720">
        <v>0</v>
      </c>
      <c r="CP13" s="720">
        <v>0</v>
      </c>
      <c r="CQ13" s="720">
        <v>0</v>
      </c>
      <c r="CR13" s="720">
        <v>0</v>
      </c>
      <c r="CS13" s="720">
        <v>0</v>
      </c>
      <c r="CT13" s="720">
        <v>0</v>
      </c>
      <c r="CU13" s="722">
        <v>0</v>
      </c>
      <c r="CV13" s="722">
        <v>0</v>
      </c>
      <c r="CW13" s="720">
        <v>0</v>
      </c>
      <c r="CX13" s="720">
        <v>0</v>
      </c>
      <c r="CY13" s="720">
        <v>0</v>
      </c>
      <c r="CZ13" s="720">
        <v>0</v>
      </c>
      <c r="DA13" s="720">
        <v>0</v>
      </c>
      <c r="DB13" s="720">
        <v>0</v>
      </c>
      <c r="DC13" s="720">
        <v>0</v>
      </c>
      <c r="DD13" s="720">
        <v>0</v>
      </c>
      <c r="DE13" s="720">
        <v>0</v>
      </c>
      <c r="DF13" s="720">
        <v>0</v>
      </c>
      <c r="DG13" s="720">
        <v>0</v>
      </c>
      <c r="DH13" s="720">
        <v>0</v>
      </c>
      <c r="DI13" s="720">
        <f t="shared" ref="DI13:DI29" si="21">DG13+DE13+DC13+DA13+CW13+CY13+CU13+CS13+CQ13+CO13+CM13+CK13</f>
        <v>0</v>
      </c>
      <c r="DJ13" s="722">
        <f t="shared" si="9"/>
        <v>0</v>
      </c>
      <c r="DK13" s="721">
        <f t="shared" si="10"/>
        <v>0</v>
      </c>
      <c r="DL13" s="720">
        <f t="shared" si="17"/>
        <v>0</v>
      </c>
      <c r="DM13" s="720">
        <f>DK13</f>
        <v>0</v>
      </c>
      <c r="DN13" s="721">
        <v>0</v>
      </c>
      <c r="DO13" s="720">
        <v>0</v>
      </c>
      <c r="DP13" s="720">
        <v>0</v>
      </c>
      <c r="DQ13" s="720">
        <v>0</v>
      </c>
      <c r="DR13" s="720">
        <v>0</v>
      </c>
      <c r="DS13" s="720">
        <v>0</v>
      </c>
      <c r="DT13" s="720">
        <v>0</v>
      </c>
      <c r="DU13" s="720"/>
      <c r="DV13" s="720"/>
      <c r="DW13" s="720"/>
      <c r="DX13" s="720"/>
      <c r="DY13" s="720"/>
      <c r="DZ13" s="720"/>
      <c r="EA13" s="720"/>
      <c r="EB13" s="720"/>
      <c r="EC13" s="720"/>
      <c r="ED13" s="720"/>
      <c r="EE13" s="720"/>
      <c r="EF13" s="720"/>
      <c r="EG13" s="720"/>
      <c r="EH13" s="720"/>
      <c r="EI13" s="720"/>
      <c r="EJ13" s="720"/>
      <c r="EK13" s="720"/>
      <c r="EL13" s="720"/>
      <c r="EM13" s="720">
        <f t="shared" si="11"/>
        <v>0</v>
      </c>
      <c r="EN13" s="720">
        <f t="shared" si="12"/>
        <v>0</v>
      </c>
      <c r="EO13" s="720">
        <f t="shared" si="19"/>
        <v>0</v>
      </c>
      <c r="EP13" s="720">
        <f t="shared" si="13"/>
        <v>0</v>
      </c>
      <c r="EQ13" s="720">
        <f t="shared" si="14"/>
        <v>0</v>
      </c>
      <c r="ER13" s="692">
        <f>IFERROR(DT13/DS13,0)</f>
        <v>0</v>
      </c>
      <c r="ES13" s="698">
        <f>IFERROR(EO13/EN13,0)</f>
        <v>0</v>
      </c>
      <c r="ET13" s="694">
        <f>IFERROR(INVERSIÓN!EQ13/INVERSIÓN!EP13,0)</f>
        <v>0</v>
      </c>
      <c r="EU13" s="688">
        <f t="shared" si="16"/>
        <v>0</v>
      </c>
      <c r="EV13" s="677">
        <f>IFERROR((AA13+BE13+CI13+DM13+EQ13)/G13,0)</f>
        <v>0</v>
      </c>
      <c r="EW13" s="891"/>
      <c r="EX13" s="893"/>
      <c r="EY13" s="893"/>
      <c r="EZ13" s="893"/>
      <c r="FA13" s="893"/>
    </row>
    <row r="14" spans="1:208" s="219" customFormat="1" ht="60.75" customHeight="1" x14ac:dyDescent="0.25">
      <c r="A14" s="939"/>
      <c r="B14" s="941"/>
      <c r="C14" s="944"/>
      <c r="D14" s="944"/>
      <c r="E14" s="948"/>
      <c r="F14" s="278" t="s">
        <v>4</v>
      </c>
      <c r="G14" s="749">
        <f>AA14+BE14+CI14+DM14+EP14</f>
        <v>2291838775</v>
      </c>
      <c r="H14" s="237"/>
      <c r="I14" s="237"/>
      <c r="J14" s="237"/>
      <c r="K14" s="237"/>
      <c r="L14" s="237"/>
      <c r="M14" s="237"/>
      <c r="N14" s="237"/>
      <c r="O14" s="237"/>
      <c r="P14" s="237"/>
      <c r="Q14" s="237"/>
      <c r="R14" s="237"/>
      <c r="S14" s="237"/>
      <c r="T14" s="237"/>
      <c r="U14" s="237"/>
      <c r="V14" s="237"/>
      <c r="W14" s="237">
        <f>K14</f>
        <v>0</v>
      </c>
      <c r="X14" s="237">
        <f t="shared" si="0"/>
        <v>0</v>
      </c>
      <c r="Y14" s="237">
        <f t="shared" si="0"/>
        <v>0</v>
      </c>
      <c r="Z14" s="237">
        <v>0</v>
      </c>
      <c r="AA14" s="237">
        <v>0</v>
      </c>
      <c r="AB14" s="237">
        <v>1102346579</v>
      </c>
      <c r="AC14" s="237">
        <v>215147433</v>
      </c>
      <c r="AD14" s="237">
        <v>215147433</v>
      </c>
      <c r="AE14" s="237">
        <v>352022479</v>
      </c>
      <c r="AF14" s="237">
        <f>567169912-AD14</f>
        <v>352022479</v>
      </c>
      <c r="AG14" s="237">
        <v>306949120</v>
      </c>
      <c r="AH14" s="237">
        <f>874119032-AF14-AD14</f>
        <v>306949120</v>
      </c>
      <c r="AI14" s="237">
        <v>110956632</v>
      </c>
      <c r="AJ14" s="237">
        <f>985075664-AH14-AF14-AD14</f>
        <v>110956632</v>
      </c>
      <c r="AK14" s="237">
        <v>47503633</v>
      </c>
      <c r="AL14" s="237">
        <f>1032579297-AJ14-AH14-AF14-AD14</f>
        <v>47503633</v>
      </c>
      <c r="AM14" s="237">
        <v>27631517</v>
      </c>
      <c r="AN14" s="237">
        <v>9597876</v>
      </c>
      <c r="AO14" s="237">
        <v>24221693</v>
      </c>
      <c r="AP14" s="237">
        <v>11552967</v>
      </c>
      <c r="AQ14" s="237"/>
      <c r="AR14" s="237">
        <v>3746000</v>
      </c>
      <c r="AS14" s="237"/>
      <c r="AT14" s="237">
        <v>7933367</v>
      </c>
      <c r="AU14" s="237"/>
      <c r="AV14" s="237">
        <v>2573700</v>
      </c>
      <c r="AW14" s="237">
        <v>0</v>
      </c>
      <c r="AX14" s="237">
        <v>3021300</v>
      </c>
      <c r="AY14" s="237">
        <v>-10518600</v>
      </c>
      <c r="AZ14" s="237"/>
      <c r="BA14" s="237">
        <f t="shared" si="1"/>
        <v>1073913907</v>
      </c>
      <c r="BB14" s="237">
        <f t="shared" si="2"/>
        <v>1073913907</v>
      </c>
      <c r="BC14" s="237">
        <f t="shared" si="3"/>
        <v>1071004507</v>
      </c>
      <c r="BD14" s="237">
        <f t="shared" si="4"/>
        <v>1073913907</v>
      </c>
      <c r="BE14" s="237">
        <f t="shared" si="5"/>
        <v>1071004507</v>
      </c>
      <c r="BF14" s="237">
        <v>366006108</v>
      </c>
      <c r="BG14" s="237">
        <v>197460107</v>
      </c>
      <c r="BH14" s="237">
        <v>197460107</v>
      </c>
      <c r="BI14" s="237">
        <v>129455335</v>
      </c>
      <c r="BJ14" s="237">
        <v>46494600</v>
      </c>
      <c r="BK14" s="237">
        <f>12096000-16622666</f>
        <v>-4526666</v>
      </c>
      <c r="BL14" s="237">
        <v>28568929</v>
      </c>
      <c r="BM14" s="237">
        <v>10096000</v>
      </c>
      <c r="BN14" s="237">
        <v>29846014</v>
      </c>
      <c r="BO14" s="237">
        <f>140000-910058</f>
        <v>-770058</v>
      </c>
      <c r="BP14" s="237">
        <v>2580200</v>
      </c>
      <c r="BQ14" s="237">
        <v>136000</v>
      </c>
      <c r="BR14" s="237">
        <v>139200</v>
      </c>
      <c r="BS14" s="237">
        <v>0</v>
      </c>
      <c r="BT14" s="237">
        <v>6875734</v>
      </c>
      <c r="BU14" s="237">
        <v>0</v>
      </c>
      <c r="BV14" s="237">
        <v>0</v>
      </c>
      <c r="BW14" s="237">
        <v>0</v>
      </c>
      <c r="BX14" s="237">
        <v>1604400</v>
      </c>
      <c r="BY14" s="237">
        <v>0</v>
      </c>
      <c r="BZ14" s="237">
        <v>0</v>
      </c>
      <c r="CA14" s="237">
        <v>0</v>
      </c>
      <c r="CB14" s="237">
        <v>0</v>
      </c>
      <c r="CC14" s="237">
        <v>12617866</v>
      </c>
      <c r="CD14" s="237">
        <v>0</v>
      </c>
      <c r="CE14" s="237">
        <f t="shared" si="6"/>
        <v>344468584</v>
      </c>
      <c r="CF14" s="237">
        <f t="shared" si="7"/>
        <v>344468584</v>
      </c>
      <c r="CG14" s="237">
        <f t="shared" si="7"/>
        <v>313569184</v>
      </c>
      <c r="CH14" s="237">
        <f t="shared" si="8"/>
        <v>344468584</v>
      </c>
      <c r="CI14" s="237">
        <f t="shared" si="8"/>
        <v>313569184</v>
      </c>
      <c r="CJ14" s="548">
        <f>DI14</f>
        <v>441857707</v>
      </c>
      <c r="CK14" s="237">
        <v>106914766</v>
      </c>
      <c r="CL14" s="237">
        <v>106914766</v>
      </c>
      <c r="CM14" s="237">
        <v>192616478</v>
      </c>
      <c r="CN14" s="237">
        <v>192616478</v>
      </c>
      <c r="CO14" s="237">
        <v>34274580</v>
      </c>
      <c r="CP14" s="237">
        <v>34274580</v>
      </c>
      <c r="CQ14" s="237">
        <v>75172930</v>
      </c>
      <c r="CR14" s="237">
        <v>24304125</v>
      </c>
      <c r="CS14" s="531">
        <f>34492953-9310000</f>
        <v>25182953</v>
      </c>
      <c r="CT14" s="531">
        <v>36052125</v>
      </c>
      <c r="CU14" s="548">
        <f>7696000</f>
        <v>7696000</v>
      </c>
      <c r="CV14" s="548">
        <v>5067268</v>
      </c>
      <c r="CW14" s="549">
        <v>0</v>
      </c>
      <c r="CX14" s="549">
        <v>6591934</v>
      </c>
      <c r="CY14" s="237">
        <v>0</v>
      </c>
      <c r="CZ14" s="237">
        <v>2577431</v>
      </c>
      <c r="DA14" s="237">
        <v>0</v>
      </c>
      <c r="DB14" s="237">
        <v>3623900</v>
      </c>
      <c r="DC14" s="237">
        <v>0</v>
      </c>
      <c r="DD14" s="237">
        <v>7014000</v>
      </c>
      <c r="DE14" s="237">
        <v>0</v>
      </c>
      <c r="DF14" s="720">
        <v>3010000</v>
      </c>
      <c r="DG14" s="237">
        <v>0</v>
      </c>
      <c r="DH14" s="237">
        <v>9936500</v>
      </c>
      <c r="DI14" s="237">
        <f t="shared" si="21"/>
        <v>441857707</v>
      </c>
      <c r="DJ14" s="722">
        <f t="shared" si="9"/>
        <v>441857707</v>
      </c>
      <c r="DK14" s="721">
        <f t="shared" si="10"/>
        <v>431983107</v>
      </c>
      <c r="DL14" s="237">
        <f t="shared" si="17"/>
        <v>441857707</v>
      </c>
      <c r="DM14" s="237">
        <f t="shared" si="18"/>
        <v>431983107</v>
      </c>
      <c r="DN14" s="237">
        <v>475281977</v>
      </c>
      <c r="DO14" s="720">
        <v>115906000</v>
      </c>
      <c r="DP14" s="237">
        <v>115906000</v>
      </c>
      <c r="DQ14" s="237">
        <v>252391634</v>
      </c>
      <c r="DR14" s="237">
        <v>244335721</v>
      </c>
      <c r="DS14" s="237">
        <v>28004077</v>
      </c>
      <c r="DT14" s="237">
        <v>57392578</v>
      </c>
      <c r="DU14" s="237"/>
      <c r="DV14" s="237"/>
      <c r="DW14" s="237">
        <v>45011733</v>
      </c>
      <c r="DX14" s="237"/>
      <c r="DY14" s="237">
        <v>33968533</v>
      </c>
      <c r="DZ14" s="237"/>
      <c r="EA14" s="237"/>
      <c r="EB14" s="237"/>
      <c r="EC14" s="237"/>
      <c r="ED14" s="237"/>
      <c r="EE14" s="237"/>
      <c r="EF14" s="237"/>
      <c r="EG14" s="237"/>
      <c r="EH14" s="237"/>
      <c r="EI14" s="237"/>
      <c r="EJ14" s="237"/>
      <c r="EK14" s="237"/>
      <c r="EL14" s="237"/>
      <c r="EM14" s="237">
        <f t="shared" si="11"/>
        <v>475281977</v>
      </c>
      <c r="EN14" s="237">
        <f t="shared" si="12"/>
        <v>396301711</v>
      </c>
      <c r="EO14" s="237">
        <f t="shared" si="19"/>
        <v>417634299</v>
      </c>
      <c r="EP14" s="237">
        <f t="shared" si="13"/>
        <v>475281977</v>
      </c>
      <c r="EQ14" s="237">
        <f t="shared" si="14"/>
        <v>417634299</v>
      </c>
      <c r="ER14" s="692">
        <f t="shared" ref="ER14:ER30" si="22">IFERROR(DT14/DS14,0)</f>
        <v>2.0494365159758701</v>
      </c>
      <c r="ES14" s="698">
        <f t="shared" si="20"/>
        <v>1.053829159470876</v>
      </c>
      <c r="ET14" s="694">
        <f>INVERSIÓN!EQ14/INVERSIÓN!EP14</f>
        <v>0.87870847036137456</v>
      </c>
      <c r="EU14" s="688">
        <f t="shared" si="16"/>
        <v>0.99009510441137571</v>
      </c>
      <c r="EV14" s="677">
        <f t="shared" ref="EV14:EV16" si="23">(AA14+BE14+CI14+DM14+EQ14)/G14</f>
        <v>0.97484653867067939</v>
      </c>
      <c r="EW14" s="891"/>
      <c r="EX14" s="893"/>
      <c r="EY14" s="893"/>
      <c r="EZ14" s="893"/>
      <c r="FA14" s="893"/>
      <c r="FB14" s="8"/>
      <c r="FC14" s="8"/>
      <c r="FD14" s="8"/>
      <c r="FE14" s="8"/>
    </row>
    <row r="15" spans="1:208" s="220" customFormat="1" ht="57.75" customHeight="1" thickBot="1" x14ac:dyDescent="0.3">
      <c r="A15" s="939"/>
      <c r="B15" s="941"/>
      <c r="C15" s="944"/>
      <c r="D15" s="944"/>
      <c r="E15" s="948"/>
      <c r="F15" s="279" t="s">
        <v>43</v>
      </c>
      <c r="G15" s="750">
        <f>G10+G13</f>
        <v>1</v>
      </c>
      <c r="H15" s="705">
        <v>1</v>
      </c>
      <c r="I15" s="686"/>
      <c r="J15" s="686"/>
      <c r="K15" s="686">
        <v>1</v>
      </c>
      <c r="L15" s="686">
        <v>0</v>
      </c>
      <c r="M15" s="686">
        <v>1</v>
      </c>
      <c r="N15" s="686">
        <v>0.25</v>
      </c>
      <c r="O15" s="686">
        <v>1</v>
      </c>
      <c r="P15" s="686">
        <v>0.46</v>
      </c>
      <c r="Q15" s="686">
        <v>1</v>
      </c>
      <c r="R15" s="726">
        <v>0.65</v>
      </c>
      <c r="S15" s="686">
        <v>1</v>
      </c>
      <c r="T15" s="686">
        <v>0.85</v>
      </c>
      <c r="U15" s="686">
        <v>1</v>
      </c>
      <c r="V15" s="686">
        <v>1</v>
      </c>
      <c r="W15" s="726">
        <f>K15</f>
        <v>1</v>
      </c>
      <c r="X15" s="726">
        <f t="shared" si="0"/>
        <v>1</v>
      </c>
      <c r="Y15" s="726">
        <f t="shared" si="0"/>
        <v>1</v>
      </c>
      <c r="Z15" s="686">
        <v>1</v>
      </c>
      <c r="AA15" s="686">
        <f>AA10+AA13</f>
        <v>1</v>
      </c>
      <c r="AB15" s="686">
        <f t="shared" ref="AB15:CM15" si="24">AB10+AB13</f>
        <v>1</v>
      </c>
      <c r="AC15" s="686">
        <f t="shared" si="24"/>
        <v>9.1999999999999998E-2</v>
      </c>
      <c r="AD15" s="686">
        <f t="shared" si="24"/>
        <v>9.1999999999999998E-2</v>
      </c>
      <c r="AE15" s="686">
        <f t="shared" si="24"/>
        <v>9.8000000000000004E-2</v>
      </c>
      <c r="AF15" s="686">
        <f t="shared" si="24"/>
        <v>7.8000000000000014E-2</v>
      </c>
      <c r="AG15" s="686">
        <f t="shared" si="24"/>
        <v>9.0000000000000024E-2</v>
      </c>
      <c r="AH15" s="686">
        <f t="shared" si="24"/>
        <v>4.0299999999999975E-2</v>
      </c>
      <c r="AI15" s="686">
        <f t="shared" si="24"/>
        <v>5.3999999999999992E-2</v>
      </c>
      <c r="AJ15" s="686">
        <f t="shared" si="24"/>
        <v>0.10570000000000004</v>
      </c>
      <c r="AK15" s="686">
        <f t="shared" si="24"/>
        <v>8.9999999999999969E-2</v>
      </c>
      <c r="AL15" s="686">
        <f t="shared" si="24"/>
        <v>0.1039999999999999</v>
      </c>
      <c r="AM15" s="686">
        <f t="shared" si="24"/>
        <v>9.0000000000000024E-2</v>
      </c>
      <c r="AN15" s="686">
        <f t="shared" si="24"/>
        <v>9.4000000000000111E-2</v>
      </c>
      <c r="AO15" s="686">
        <f t="shared" si="24"/>
        <v>8.6000000000000021E-2</v>
      </c>
      <c r="AP15" s="686">
        <f t="shared" si="24"/>
        <v>0.08</v>
      </c>
      <c r="AQ15" s="686">
        <f t="shared" si="24"/>
        <v>0.09</v>
      </c>
      <c r="AR15" s="686">
        <f t="shared" si="24"/>
        <v>0.08</v>
      </c>
      <c r="AS15" s="686">
        <f t="shared" si="24"/>
        <v>9.0000000000000024E-2</v>
      </c>
      <c r="AT15" s="686">
        <f t="shared" si="24"/>
        <v>9.7000000000000003E-2</v>
      </c>
      <c r="AU15" s="686">
        <f t="shared" si="24"/>
        <v>8.0000000000000016E-2</v>
      </c>
      <c r="AV15" s="686">
        <f t="shared" si="24"/>
        <v>8.3199999999999996E-2</v>
      </c>
      <c r="AW15" s="686">
        <f t="shared" si="24"/>
        <v>7.0000000000000062E-2</v>
      </c>
      <c r="AX15" s="686">
        <f t="shared" si="24"/>
        <v>9.06E-2</v>
      </c>
      <c r="AY15" s="686">
        <f t="shared" si="24"/>
        <v>6.999999999999984E-2</v>
      </c>
      <c r="AZ15" s="686">
        <f t="shared" si="24"/>
        <v>0.06</v>
      </c>
      <c r="BA15" s="686">
        <f t="shared" si="24"/>
        <v>1</v>
      </c>
      <c r="BB15" s="686">
        <f t="shared" si="24"/>
        <v>1</v>
      </c>
      <c r="BC15" s="686">
        <f t="shared" si="24"/>
        <v>1.0047999999999999</v>
      </c>
      <c r="BD15" s="686">
        <f t="shared" si="24"/>
        <v>1</v>
      </c>
      <c r="BE15" s="686">
        <f t="shared" si="24"/>
        <v>1.0047999999999999</v>
      </c>
      <c r="BF15" s="686">
        <f t="shared" si="24"/>
        <v>1</v>
      </c>
      <c r="BG15" s="686">
        <f t="shared" si="24"/>
        <v>1.4999999999999999E-2</v>
      </c>
      <c r="BH15" s="686">
        <f t="shared" si="24"/>
        <v>0.02</v>
      </c>
      <c r="BI15" s="686">
        <f t="shared" si="24"/>
        <v>0.08</v>
      </c>
      <c r="BJ15" s="686">
        <f t="shared" si="24"/>
        <v>0.13</v>
      </c>
      <c r="BK15" s="686">
        <f t="shared" si="24"/>
        <v>0.09</v>
      </c>
      <c r="BL15" s="686">
        <f t="shared" si="24"/>
        <v>8.1000000000000003E-2</v>
      </c>
      <c r="BM15" s="686">
        <f t="shared" si="24"/>
        <v>0.09</v>
      </c>
      <c r="BN15" s="686">
        <f t="shared" si="24"/>
        <v>8.1000000000000003E-2</v>
      </c>
      <c r="BO15" s="686">
        <f t="shared" si="24"/>
        <v>0.09</v>
      </c>
      <c r="BP15" s="686">
        <f t="shared" si="24"/>
        <v>0.08</v>
      </c>
      <c r="BQ15" s="686">
        <f t="shared" si="24"/>
        <v>0.09</v>
      </c>
      <c r="BR15" s="686">
        <f t="shared" si="24"/>
        <v>0.11</v>
      </c>
      <c r="BS15" s="686">
        <f t="shared" si="24"/>
        <v>0.09</v>
      </c>
      <c r="BT15" s="686">
        <f t="shared" si="24"/>
        <v>8.0299999999999996E-2</v>
      </c>
      <c r="BU15" s="686">
        <f t="shared" si="24"/>
        <v>0.09</v>
      </c>
      <c r="BV15" s="686">
        <f t="shared" si="24"/>
        <v>7.8755999999999826E-2</v>
      </c>
      <c r="BW15" s="686">
        <f t="shared" si="24"/>
        <v>0.09</v>
      </c>
      <c r="BX15" s="686">
        <f t="shared" si="24"/>
        <v>0.1</v>
      </c>
      <c r="BY15" s="686">
        <f t="shared" si="24"/>
        <v>0.09</v>
      </c>
      <c r="BZ15" s="686">
        <f t="shared" si="24"/>
        <v>8.2199999999999995E-2</v>
      </c>
      <c r="CA15" s="686">
        <f t="shared" si="24"/>
        <v>0.09</v>
      </c>
      <c r="CB15" s="686">
        <f t="shared" si="24"/>
        <v>0.08</v>
      </c>
      <c r="CC15" s="686">
        <f t="shared" si="24"/>
        <v>9.5000000000000001E-2</v>
      </c>
      <c r="CD15" s="686">
        <f t="shared" si="24"/>
        <v>7.6700000000000004E-2</v>
      </c>
      <c r="CE15" s="686">
        <f t="shared" si="24"/>
        <v>0.99999999999999978</v>
      </c>
      <c r="CF15" s="686">
        <f t="shared" si="24"/>
        <v>0.99999999999999978</v>
      </c>
      <c r="CG15" s="686">
        <f t="shared" si="24"/>
        <v>0.99995599999999973</v>
      </c>
      <c r="CH15" s="686">
        <f t="shared" si="24"/>
        <v>0.99999999999999978</v>
      </c>
      <c r="CI15" s="686">
        <f t="shared" si="24"/>
        <v>0.99995599999999973</v>
      </c>
      <c r="CJ15" s="686">
        <f t="shared" si="24"/>
        <v>1</v>
      </c>
      <c r="CK15" s="691">
        <f t="shared" si="24"/>
        <v>0.03</v>
      </c>
      <c r="CL15" s="691">
        <f t="shared" si="24"/>
        <v>0.03</v>
      </c>
      <c r="CM15" s="691">
        <f t="shared" si="24"/>
        <v>0.14000000000000001</v>
      </c>
      <c r="CN15" s="691">
        <f t="shared" ref="CN15:DH15" si="25">CN10+CN13</f>
        <v>0.14599999999999999</v>
      </c>
      <c r="CO15" s="686">
        <f t="shared" si="25"/>
        <v>0.08</v>
      </c>
      <c r="CP15" s="686">
        <f t="shared" si="25"/>
        <v>0.08</v>
      </c>
      <c r="CQ15" s="686">
        <f t="shared" si="25"/>
        <v>0.1</v>
      </c>
      <c r="CR15" s="686">
        <f t="shared" si="25"/>
        <v>7.0000000000000007E-2</v>
      </c>
      <c r="CS15" s="686">
        <f t="shared" si="25"/>
        <v>0.1</v>
      </c>
      <c r="CT15" s="686">
        <f t="shared" si="25"/>
        <v>7.4999999999999997E-2</v>
      </c>
      <c r="CU15" s="674">
        <f t="shared" si="25"/>
        <v>0.1</v>
      </c>
      <c r="CV15" s="674">
        <f t="shared" si="25"/>
        <v>0.105</v>
      </c>
      <c r="CW15" s="686">
        <f t="shared" si="25"/>
        <v>0.1</v>
      </c>
      <c r="CX15" s="686">
        <f t="shared" si="25"/>
        <v>0.08</v>
      </c>
      <c r="CY15" s="686">
        <f t="shared" si="25"/>
        <v>0.09</v>
      </c>
      <c r="CZ15" s="686">
        <f t="shared" si="25"/>
        <v>8.6999999999999994E-2</v>
      </c>
      <c r="DA15" s="686">
        <f t="shared" si="25"/>
        <v>0.08</v>
      </c>
      <c r="DB15" s="686">
        <f t="shared" si="25"/>
        <v>0.11</v>
      </c>
      <c r="DC15" s="686">
        <f t="shared" si="25"/>
        <v>7.0000000000000007E-2</v>
      </c>
      <c r="DD15" s="686">
        <f t="shared" si="25"/>
        <v>7.6999999999999999E-2</v>
      </c>
      <c r="DE15" s="686">
        <f t="shared" si="25"/>
        <v>0.06</v>
      </c>
      <c r="DF15" s="686">
        <f t="shared" si="25"/>
        <v>0.08</v>
      </c>
      <c r="DG15" s="686">
        <f t="shared" si="25"/>
        <v>0.05</v>
      </c>
      <c r="DH15" s="686">
        <f t="shared" si="25"/>
        <v>0.05</v>
      </c>
      <c r="DI15" s="727">
        <f t="shared" si="21"/>
        <v>0.99999999999999989</v>
      </c>
      <c r="DJ15" s="728">
        <f t="shared" si="9"/>
        <v>1</v>
      </c>
      <c r="DK15" s="729">
        <f t="shared" si="10"/>
        <v>0.98999999999999988</v>
      </c>
      <c r="DL15" s="727">
        <f t="shared" si="17"/>
        <v>0.99999999999999989</v>
      </c>
      <c r="DM15" s="727">
        <f t="shared" si="18"/>
        <v>0.98999999999999988</v>
      </c>
      <c r="DN15" s="686">
        <f>DN10+DN13</f>
        <v>1</v>
      </c>
      <c r="DO15" s="727">
        <f>DO10+DO13</f>
        <v>7.0000000000000007E-2</v>
      </c>
      <c r="DP15" s="727">
        <f>DP10+DP13</f>
        <v>7.0000000000000007E-2</v>
      </c>
      <c r="DQ15" s="727">
        <f t="shared" ref="DQ15:EL15" si="26">DQ10+DQ13</f>
        <v>0.17</v>
      </c>
      <c r="DR15" s="727">
        <f t="shared" si="26"/>
        <v>0.16</v>
      </c>
      <c r="DS15" s="727">
        <f t="shared" si="26"/>
        <v>0.25</v>
      </c>
      <c r="DT15" s="727">
        <f t="shared" si="26"/>
        <v>0.23</v>
      </c>
      <c r="DU15" s="727">
        <f t="shared" si="26"/>
        <v>0.25</v>
      </c>
      <c r="DV15" s="727">
        <f t="shared" si="26"/>
        <v>0</v>
      </c>
      <c r="DW15" s="727">
        <f t="shared" si="26"/>
        <v>0.26</v>
      </c>
      <c r="DX15" s="727">
        <f t="shared" si="26"/>
        <v>0</v>
      </c>
      <c r="DY15" s="727">
        <f t="shared" si="26"/>
        <v>0</v>
      </c>
      <c r="DZ15" s="727">
        <f t="shared" si="26"/>
        <v>0</v>
      </c>
      <c r="EA15" s="727">
        <f t="shared" si="26"/>
        <v>0</v>
      </c>
      <c r="EB15" s="727">
        <f t="shared" si="26"/>
        <v>0</v>
      </c>
      <c r="EC15" s="727">
        <f t="shared" si="26"/>
        <v>0</v>
      </c>
      <c r="ED15" s="727">
        <f t="shared" si="26"/>
        <v>0</v>
      </c>
      <c r="EE15" s="727">
        <f t="shared" si="26"/>
        <v>0</v>
      </c>
      <c r="EF15" s="727">
        <f t="shared" si="26"/>
        <v>0</v>
      </c>
      <c r="EG15" s="727">
        <f t="shared" si="26"/>
        <v>0</v>
      </c>
      <c r="EH15" s="727">
        <f t="shared" si="26"/>
        <v>0</v>
      </c>
      <c r="EI15" s="727">
        <f t="shared" si="26"/>
        <v>0</v>
      </c>
      <c r="EJ15" s="727">
        <f t="shared" si="26"/>
        <v>0</v>
      </c>
      <c r="EK15" s="727">
        <f t="shared" si="26"/>
        <v>0</v>
      </c>
      <c r="EL15" s="727">
        <f t="shared" si="26"/>
        <v>0</v>
      </c>
      <c r="EM15" s="727">
        <f t="shared" si="11"/>
        <v>1</v>
      </c>
      <c r="EN15" s="727">
        <f t="shared" si="12"/>
        <v>0.49</v>
      </c>
      <c r="EO15" s="727">
        <f t="shared" si="19"/>
        <v>0.46</v>
      </c>
      <c r="EP15" s="727">
        <f t="shared" si="13"/>
        <v>1</v>
      </c>
      <c r="EQ15" s="727">
        <f t="shared" si="14"/>
        <v>0.46</v>
      </c>
      <c r="ER15" s="696">
        <f t="shared" si="22"/>
        <v>0.92</v>
      </c>
      <c r="ES15" s="693">
        <f t="shared" si="20"/>
        <v>0.93877551020408168</v>
      </c>
      <c r="ET15" s="678">
        <f>INVERSIÓN!EQ15/INVERSIÓN!EP15</f>
        <v>0.46</v>
      </c>
      <c r="EU15" s="690">
        <f t="shared" si="16"/>
        <v>0.9921505567928729</v>
      </c>
      <c r="EV15" s="695">
        <f t="shared" si="23"/>
        <v>4.4547559999999997</v>
      </c>
      <c r="EW15" s="891"/>
      <c r="EX15" s="893"/>
      <c r="EY15" s="893"/>
      <c r="EZ15" s="893"/>
      <c r="FA15" s="893"/>
    </row>
    <row r="16" spans="1:208" s="221" customFormat="1" ht="39" customHeight="1" thickBot="1" x14ac:dyDescent="0.3">
      <c r="A16" s="939"/>
      <c r="B16" s="942"/>
      <c r="C16" s="945"/>
      <c r="D16" s="945"/>
      <c r="E16" s="949"/>
      <c r="F16" s="350" t="s">
        <v>45</v>
      </c>
      <c r="G16" s="752">
        <f>G11+G14</f>
        <v>26078471210</v>
      </c>
      <c r="H16" s="484">
        <f t="shared" ref="H16:Z16" si="27">H11+H14</f>
        <v>2729118190</v>
      </c>
      <c r="I16" s="484">
        <f t="shared" si="27"/>
        <v>0</v>
      </c>
      <c r="J16" s="484">
        <f t="shared" si="27"/>
        <v>0</v>
      </c>
      <c r="K16" s="484">
        <f t="shared" si="27"/>
        <v>2729118190</v>
      </c>
      <c r="L16" s="484">
        <f t="shared" si="27"/>
        <v>61765000</v>
      </c>
      <c r="M16" s="484">
        <f t="shared" si="27"/>
        <v>2729118190</v>
      </c>
      <c r="N16" s="484">
        <f t="shared" si="27"/>
        <v>1624576000</v>
      </c>
      <c r="O16" s="484">
        <f t="shared" si="27"/>
        <v>2729118190</v>
      </c>
      <c r="P16" s="484">
        <f t="shared" si="27"/>
        <v>1781560000</v>
      </c>
      <c r="Q16" s="484">
        <f t="shared" si="27"/>
        <v>2729118190</v>
      </c>
      <c r="R16" s="484">
        <f t="shared" si="27"/>
        <v>1796256255</v>
      </c>
      <c r="S16" s="484">
        <f t="shared" si="27"/>
        <v>2729118190</v>
      </c>
      <c r="T16" s="484">
        <f t="shared" si="27"/>
        <v>2025564031</v>
      </c>
      <c r="U16" s="484">
        <f t="shared" si="27"/>
        <v>2729118190</v>
      </c>
      <c r="V16" s="484">
        <f t="shared" si="27"/>
        <v>2693651241</v>
      </c>
      <c r="W16" s="484">
        <f t="shared" si="27"/>
        <v>2729118190</v>
      </c>
      <c r="X16" s="484">
        <f t="shared" si="27"/>
        <v>2729118190</v>
      </c>
      <c r="Y16" s="484">
        <f t="shared" si="27"/>
        <v>2693651241</v>
      </c>
      <c r="Z16" s="484">
        <f t="shared" si="27"/>
        <v>2729118190</v>
      </c>
      <c r="AA16" s="485">
        <f t="shared" ref="AA16:BS16" si="28">AA11+AA14</f>
        <v>2693651241</v>
      </c>
      <c r="AB16" s="485">
        <f t="shared" si="28"/>
        <v>4884591310</v>
      </c>
      <c r="AC16" s="485">
        <f t="shared" si="28"/>
        <v>215147433</v>
      </c>
      <c r="AD16" s="485">
        <f t="shared" si="28"/>
        <v>215147433</v>
      </c>
      <c r="AE16" s="485">
        <f t="shared" si="28"/>
        <v>3691468479</v>
      </c>
      <c r="AF16" s="485">
        <f t="shared" si="28"/>
        <v>1394061479</v>
      </c>
      <c r="AG16" s="485">
        <f t="shared" si="28"/>
        <v>536137320</v>
      </c>
      <c r="AH16" s="485">
        <f t="shared" si="28"/>
        <v>2416319120</v>
      </c>
      <c r="AI16" s="485">
        <f t="shared" si="28"/>
        <v>110956632</v>
      </c>
      <c r="AJ16" s="485">
        <f t="shared" si="28"/>
        <v>350167632</v>
      </c>
      <c r="AK16" s="485">
        <f t="shared" si="28"/>
        <v>58353633</v>
      </c>
      <c r="AL16" s="485">
        <f t="shared" si="28"/>
        <v>54548183</v>
      </c>
      <c r="AM16" s="485">
        <f t="shared" si="28"/>
        <v>27631517</v>
      </c>
      <c r="AN16" s="485">
        <f t="shared" si="28"/>
        <v>171130056</v>
      </c>
      <c r="AO16" s="485">
        <f t="shared" si="28"/>
        <v>68044493</v>
      </c>
      <c r="AP16" s="485">
        <f t="shared" si="28"/>
        <v>11552967</v>
      </c>
      <c r="AQ16" s="485">
        <f t="shared" si="28"/>
        <v>0</v>
      </c>
      <c r="AR16" s="485">
        <f t="shared" si="28"/>
        <v>15550000</v>
      </c>
      <c r="AS16" s="485">
        <f t="shared" si="28"/>
        <v>0</v>
      </c>
      <c r="AT16" s="485">
        <f t="shared" si="28"/>
        <v>62546367</v>
      </c>
      <c r="AU16" s="485">
        <f t="shared" si="28"/>
        <v>24324000</v>
      </c>
      <c r="AV16" s="485">
        <f t="shared" si="28"/>
        <v>26770367</v>
      </c>
      <c r="AW16" s="485">
        <f t="shared" si="28"/>
        <v>57295200</v>
      </c>
      <c r="AX16" s="485">
        <f t="shared" si="28"/>
        <v>69614001</v>
      </c>
      <c r="AY16" s="485">
        <f t="shared" si="28"/>
        <v>66799931</v>
      </c>
      <c r="AZ16" s="485">
        <f t="shared" si="28"/>
        <v>61799866</v>
      </c>
      <c r="BA16" s="485">
        <f t="shared" si="28"/>
        <v>4856158638</v>
      </c>
      <c r="BB16" s="485">
        <f t="shared" si="28"/>
        <v>4856158638</v>
      </c>
      <c r="BC16" s="485">
        <f t="shared" si="28"/>
        <v>4849207471</v>
      </c>
      <c r="BD16" s="485">
        <f t="shared" si="28"/>
        <v>4856158638</v>
      </c>
      <c r="BE16" s="485">
        <f t="shared" si="28"/>
        <v>4849207471</v>
      </c>
      <c r="BF16" s="485">
        <f t="shared" si="28"/>
        <v>6262440108</v>
      </c>
      <c r="BG16" s="485">
        <f t="shared" si="28"/>
        <v>5857175107</v>
      </c>
      <c r="BH16" s="485">
        <f t="shared" si="28"/>
        <v>5792440107</v>
      </c>
      <c r="BI16" s="485">
        <f t="shared" si="28"/>
        <v>152083335</v>
      </c>
      <c r="BJ16" s="485">
        <f t="shared" si="28"/>
        <v>97274600</v>
      </c>
      <c r="BK16" s="485">
        <f t="shared" si="28"/>
        <v>18789334</v>
      </c>
      <c r="BL16" s="485">
        <f t="shared" si="28"/>
        <v>47277929</v>
      </c>
      <c r="BM16" s="485">
        <f t="shared" si="28"/>
        <v>10096000</v>
      </c>
      <c r="BN16" s="485">
        <f t="shared" si="28"/>
        <v>29846014</v>
      </c>
      <c r="BO16" s="485">
        <f t="shared" si="28"/>
        <v>-770058</v>
      </c>
      <c r="BP16" s="485">
        <f t="shared" si="28"/>
        <v>2580200</v>
      </c>
      <c r="BQ16" s="485">
        <f t="shared" si="28"/>
        <v>12813000</v>
      </c>
      <c r="BR16" s="485">
        <f t="shared" si="28"/>
        <v>34109200</v>
      </c>
      <c r="BS16" s="485">
        <f t="shared" si="28"/>
        <v>154634000</v>
      </c>
      <c r="BT16" s="485">
        <f t="shared" ref="BT16:DH16" si="29">BT11+BT14</f>
        <v>9785134</v>
      </c>
      <c r="BU16" s="485">
        <f t="shared" si="29"/>
        <v>10674000</v>
      </c>
      <c r="BV16" s="485">
        <f t="shared" si="29"/>
        <v>51152500</v>
      </c>
      <c r="BW16" s="485">
        <f t="shared" si="29"/>
        <v>0</v>
      </c>
      <c r="BX16" s="485">
        <f t="shared" si="29"/>
        <v>10697400</v>
      </c>
      <c r="BY16" s="485">
        <f t="shared" si="29"/>
        <v>8982800</v>
      </c>
      <c r="BZ16" s="485">
        <f t="shared" si="29"/>
        <v>8271767</v>
      </c>
      <c r="CA16" s="485">
        <f t="shared" si="29"/>
        <v>453944268</v>
      </c>
      <c r="CB16" s="485">
        <f t="shared" si="29"/>
        <v>484885996</v>
      </c>
      <c r="CC16" s="485">
        <f t="shared" si="29"/>
        <v>57054864</v>
      </c>
      <c r="CD16" s="485">
        <f t="shared" si="29"/>
        <v>121784966</v>
      </c>
      <c r="CE16" s="485">
        <f t="shared" si="29"/>
        <v>6735476650</v>
      </c>
      <c r="CF16" s="485">
        <f t="shared" si="29"/>
        <v>6735476650</v>
      </c>
      <c r="CG16" s="485">
        <f t="shared" si="29"/>
        <v>6690105813</v>
      </c>
      <c r="CH16" s="485">
        <f t="shared" si="29"/>
        <v>6735476650</v>
      </c>
      <c r="CI16" s="485">
        <f t="shared" si="29"/>
        <v>6690105813</v>
      </c>
      <c r="CJ16" s="485">
        <f t="shared" si="29"/>
        <v>4923621707</v>
      </c>
      <c r="CK16" s="485">
        <f t="shared" si="29"/>
        <v>1475970766</v>
      </c>
      <c r="CL16" s="485">
        <f t="shared" si="29"/>
        <v>1475970766</v>
      </c>
      <c r="CM16" s="485">
        <f t="shared" si="29"/>
        <v>2232200478</v>
      </c>
      <c r="CN16" s="485">
        <f t="shared" si="29"/>
        <v>2232200478</v>
      </c>
      <c r="CO16" s="485">
        <f t="shared" si="29"/>
        <v>858881580</v>
      </c>
      <c r="CP16" s="485">
        <f t="shared" si="29"/>
        <v>858881580</v>
      </c>
      <c r="CQ16" s="485">
        <f t="shared" si="29"/>
        <v>208270930</v>
      </c>
      <c r="CR16" s="485">
        <f t="shared" si="29"/>
        <v>72894125</v>
      </c>
      <c r="CS16" s="552">
        <f t="shared" si="29"/>
        <v>86015953</v>
      </c>
      <c r="CT16" s="552">
        <f t="shared" si="29"/>
        <v>128789125</v>
      </c>
      <c r="CU16" s="553">
        <f>CU11+CU14</f>
        <v>7696000</v>
      </c>
      <c r="CV16" s="553">
        <f>CV11+CV14</f>
        <v>5067268</v>
      </c>
      <c r="CW16" s="485">
        <f t="shared" si="29"/>
        <v>54586000</v>
      </c>
      <c r="CX16" s="485">
        <f t="shared" si="29"/>
        <v>6591934</v>
      </c>
      <c r="CY16" s="485">
        <f t="shared" si="29"/>
        <v>0</v>
      </c>
      <c r="CZ16" s="485">
        <f t="shared" si="29"/>
        <v>7577431</v>
      </c>
      <c r="DA16" s="485">
        <f t="shared" si="29"/>
        <v>0</v>
      </c>
      <c r="DB16" s="485">
        <f t="shared" si="29"/>
        <v>3623900</v>
      </c>
      <c r="DC16" s="485">
        <f t="shared" si="29"/>
        <v>4464000</v>
      </c>
      <c r="DD16" s="485">
        <f t="shared" si="29"/>
        <v>7014000</v>
      </c>
      <c r="DE16" s="485">
        <f t="shared" si="29"/>
        <v>140093834</v>
      </c>
      <c r="DF16" s="485">
        <f t="shared" si="29"/>
        <v>143103834</v>
      </c>
      <c r="DG16" s="485">
        <f t="shared" si="29"/>
        <v>154188166</v>
      </c>
      <c r="DH16" s="572">
        <f t="shared" si="29"/>
        <v>266127267</v>
      </c>
      <c r="DI16" s="484">
        <f>DI11+DI14</f>
        <v>5222367707</v>
      </c>
      <c r="DJ16" s="711">
        <f t="shared" si="9"/>
        <v>5222367707</v>
      </c>
      <c r="DK16" s="712">
        <f t="shared" si="10"/>
        <v>5207841708</v>
      </c>
      <c r="DL16" s="485">
        <f>DL11+DL14</f>
        <v>5222367707</v>
      </c>
      <c r="DM16" s="485">
        <f>DM11+DM14</f>
        <v>5207841708</v>
      </c>
      <c r="DN16" s="485">
        <f>DN11+DN14</f>
        <v>6637664977</v>
      </c>
      <c r="DO16" s="485">
        <f t="shared" ref="DO16:DQ16" si="30">DO11+DO14</f>
        <v>616028466</v>
      </c>
      <c r="DP16" s="485">
        <f t="shared" si="30"/>
        <v>616028466</v>
      </c>
      <c r="DQ16" s="485">
        <f t="shared" si="30"/>
        <v>1347811634</v>
      </c>
      <c r="DR16" s="485">
        <f>DR11+DR14</f>
        <v>757647655</v>
      </c>
      <c r="DS16" s="485">
        <f t="shared" ref="DS16:EQ16" si="31">DS11+DS14</f>
        <v>1427957077</v>
      </c>
      <c r="DT16" s="485">
        <f t="shared" si="31"/>
        <v>648809578</v>
      </c>
      <c r="DU16" s="485">
        <f t="shared" si="31"/>
        <v>975912000</v>
      </c>
      <c r="DV16" s="485">
        <f t="shared" si="31"/>
        <v>0</v>
      </c>
      <c r="DW16" s="485">
        <f t="shared" si="31"/>
        <v>425011733</v>
      </c>
      <c r="DX16" s="485">
        <f t="shared" si="31"/>
        <v>0</v>
      </c>
      <c r="DY16" s="485">
        <f t="shared" si="31"/>
        <v>563156533</v>
      </c>
      <c r="DZ16" s="485">
        <f t="shared" si="31"/>
        <v>0</v>
      </c>
      <c r="EA16" s="485">
        <f t="shared" si="31"/>
        <v>1281787534</v>
      </c>
      <c r="EB16" s="485">
        <f t="shared" si="31"/>
        <v>0</v>
      </c>
      <c r="EC16" s="485">
        <f t="shared" si="31"/>
        <v>0</v>
      </c>
      <c r="ED16" s="485">
        <f t="shared" si="31"/>
        <v>0</v>
      </c>
      <c r="EE16" s="485">
        <f t="shared" si="31"/>
        <v>0</v>
      </c>
      <c r="EF16" s="485">
        <f t="shared" si="31"/>
        <v>0</v>
      </c>
      <c r="EG16" s="485">
        <f t="shared" si="31"/>
        <v>0</v>
      </c>
      <c r="EH16" s="485">
        <f t="shared" si="31"/>
        <v>0</v>
      </c>
      <c r="EI16" s="485">
        <f t="shared" si="31"/>
        <v>0</v>
      </c>
      <c r="EJ16" s="485">
        <f t="shared" si="31"/>
        <v>0</v>
      </c>
      <c r="EK16" s="485">
        <f t="shared" si="31"/>
        <v>0</v>
      </c>
      <c r="EL16" s="485">
        <f t="shared" si="31"/>
        <v>0</v>
      </c>
      <c r="EM16" s="485">
        <f t="shared" si="31"/>
        <v>6637664977</v>
      </c>
      <c r="EN16" s="485">
        <f t="shared" si="31"/>
        <v>3391797177</v>
      </c>
      <c r="EO16" s="485">
        <f t="shared" si="31"/>
        <v>2022485699</v>
      </c>
      <c r="EP16" s="485">
        <f t="shared" si="31"/>
        <v>6637664977</v>
      </c>
      <c r="EQ16" s="485">
        <f t="shared" si="31"/>
        <v>2022485699</v>
      </c>
      <c r="ER16" s="682">
        <f t="shared" si="22"/>
        <v>0.45436210124963022</v>
      </c>
      <c r="ES16" s="685">
        <f t="shared" si="20"/>
        <v>0.59628733484260454</v>
      </c>
      <c r="ET16" s="684">
        <f>INVERSIÓN!EQ16/INVERSIÓN!EP16</f>
        <v>0.30469836998523764</v>
      </c>
      <c r="EU16" s="679">
        <f t="shared" si="16"/>
        <v>0.93583467763991335</v>
      </c>
      <c r="EV16" s="683">
        <f t="shared" si="23"/>
        <v>0.82302723036041037</v>
      </c>
      <c r="EW16" s="892"/>
      <c r="EX16" s="893"/>
      <c r="EY16" s="893"/>
      <c r="EZ16" s="893"/>
      <c r="FA16" s="893"/>
    </row>
    <row r="17" spans="1:208" s="215" customFormat="1" ht="60" customHeight="1" x14ac:dyDescent="0.25">
      <c r="A17" s="950" t="s">
        <v>377</v>
      </c>
      <c r="B17" s="953">
        <v>2</v>
      </c>
      <c r="C17" s="956" t="s">
        <v>378</v>
      </c>
      <c r="D17" s="959" t="s">
        <v>379</v>
      </c>
      <c r="E17" s="961">
        <v>290</v>
      </c>
      <c r="F17" s="247" t="s">
        <v>41</v>
      </c>
      <c r="G17" s="751">
        <f>AA17+BE17+CI17+DM17+EP17</f>
        <v>98.625880799142408</v>
      </c>
      <c r="H17" s="730">
        <v>12.5</v>
      </c>
      <c r="I17" s="706"/>
      <c r="J17" s="706"/>
      <c r="K17" s="706">
        <v>12.5</v>
      </c>
      <c r="L17" s="480">
        <v>0</v>
      </c>
      <c r="M17" s="706">
        <v>12.5</v>
      </c>
      <c r="N17" s="480">
        <v>2.5</v>
      </c>
      <c r="O17" s="706">
        <v>12.5</v>
      </c>
      <c r="P17" s="480">
        <v>5</v>
      </c>
      <c r="Q17" s="706">
        <v>12.5</v>
      </c>
      <c r="R17" s="480">
        <v>7.5</v>
      </c>
      <c r="S17" s="480">
        <v>12.5</v>
      </c>
      <c r="T17" s="481">
        <v>9.9</v>
      </c>
      <c r="U17" s="480">
        <v>12.5</v>
      </c>
      <c r="V17" s="480">
        <v>11.78</v>
      </c>
      <c r="W17" s="731">
        <v>12.5</v>
      </c>
      <c r="X17" s="731">
        <v>12.5</v>
      </c>
      <c r="Y17" s="731">
        <v>11.8</v>
      </c>
      <c r="Z17" s="480">
        <v>12.5</v>
      </c>
      <c r="AA17" s="482">
        <v>11.78</v>
      </c>
      <c r="AB17" s="731">
        <v>25</v>
      </c>
      <c r="AC17" s="482">
        <v>2.08</v>
      </c>
      <c r="AD17" s="482">
        <v>0</v>
      </c>
      <c r="AE17" s="482">
        <v>2.08</v>
      </c>
      <c r="AF17" s="482">
        <v>4.16</v>
      </c>
      <c r="AG17" s="482">
        <v>2.08</v>
      </c>
      <c r="AH17" s="482">
        <v>2.08</v>
      </c>
      <c r="AI17" s="482">
        <v>2.08</v>
      </c>
      <c r="AJ17" s="482">
        <v>1.36</v>
      </c>
      <c r="AK17" s="482">
        <v>2.0840000000000001</v>
      </c>
      <c r="AL17" s="482">
        <v>1.3</v>
      </c>
      <c r="AM17" s="482">
        <v>2.08</v>
      </c>
      <c r="AN17" s="482">
        <v>2.5</v>
      </c>
      <c r="AO17" s="482">
        <v>2.08</v>
      </c>
      <c r="AP17" s="482">
        <v>1.73</v>
      </c>
      <c r="AQ17" s="482">
        <v>2.08</v>
      </c>
      <c r="AR17" s="482">
        <v>2.14</v>
      </c>
      <c r="AS17" s="482">
        <v>2.08</v>
      </c>
      <c r="AT17" s="482">
        <v>1.78</v>
      </c>
      <c r="AU17" s="482">
        <v>2.08</v>
      </c>
      <c r="AV17" s="482">
        <v>2.4765306122448969</v>
      </c>
      <c r="AW17" s="482">
        <v>2.08</v>
      </c>
      <c r="AX17" s="482">
        <v>2.69</v>
      </c>
      <c r="AY17" s="482">
        <v>2.12</v>
      </c>
      <c r="AZ17" s="482">
        <v>2.6</v>
      </c>
      <c r="BA17" s="732">
        <f t="shared" si="1"/>
        <v>25.003999999999994</v>
      </c>
      <c r="BB17" s="732">
        <f t="shared" si="2"/>
        <v>25.003999999999994</v>
      </c>
      <c r="BC17" s="732">
        <f t="shared" si="3"/>
        <v>24.8165306122449</v>
      </c>
      <c r="BD17" s="732">
        <f t="shared" si="4"/>
        <v>25.003999999999994</v>
      </c>
      <c r="BE17" s="732">
        <f t="shared" si="5"/>
        <v>24.8165306122449</v>
      </c>
      <c r="BF17" s="731">
        <v>25</v>
      </c>
      <c r="BG17" s="732">
        <v>0</v>
      </c>
      <c r="BH17" s="732">
        <v>0</v>
      </c>
      <c r="BI17" s="732">
        <v>2.4</v>
      </c>
      <c r="BJ17" s="474">
        <v>1.96</v>
      </c>
      <c r="BK17" s="732">
        <v>2.4</v>
      </c>
      <c r="BL17" s="732">
        <v>2.76</v>
      </c>
      <c r="BM17" s="732">
        <v>2.4</v>
      </c>
      <c r="BN17" s="732">
        <v>2.48</v>
      </c>
      <c r="BO17" s="732">
        <v>2.4</v>
      </c>
      <c r="BP17" s="732">
        <v>2.4</v>
      </c>
      <c r="BQ17" s="732">
        <v>2.4</v>
      </c>
      <c r="BR17" s="732">
        <v>2.4</v>
      </c>
      <c r="BS17" s="732">
        <v>2.4</v>
      </c>
      <c r="BT17" s="732">
        <v>2.4</v>
      </c>
      <c r="BU17" s="732">
        <v>2.4</v>
      </c>
      <c r="BV17" s="732">
        <v>0.27692307692307688</v>
      </c>
      <c r="BW17" s="732">
        <v>2.4</v>
      </c>
      <c r="BX17" s="732">
        <v>1.9634271099744245</v>
      </c>
      <c r="BY17" s="732">
        <v>2.4</v>
      </c>
      <c r="BZ17" s="732">
        <v>2.4</v>
      </c>
      <c r="CA17" s="732">
        <v>2.4</v>
      </c>
      <c r="CB17" s="732">
        <v>3</v>
      </c>
      <c r="CC17" s="732">
        <v>1</v>
      </c>
      <c r="CD17" s="732">
        <v>2.4889999999999999</v>
      </c>
      <c r="CE17" s="732">
        <f t="shared" si="6"/>
        <v>24.999999999999996</v>
      </c>
      <c r="CF17" s="732">
        <f t="shared" si="7"/>
        <v>24.999999999999996</v>
      </c>
      <c r="CG17" s="732">
        <f>BH17+BJ17+BL17+BN17+BP17+BR17+BT17+BV17+BX17+BZ17+CB17+CD17</f>
        <v>24.529350186897503</v>
      </c>
      <c r="CH17" s="732">
        <f t="shared" si="8"/>
        <v>24.999999999999996</v>
      </c>
      <c r="CI17" s="732">
        <f t="shared" si="8"/>
        <v>24.529350186897503</v>
      </c>
      <c r="CJ17" s="731">
        <v>25</v>
      </c>
      <c r="CK17" s="732">
        <v>0</v>
      </c>
      <c r="CL17" s="733">
        <v>0</v>
      </c>
      <c r="CM17" s="732">
        <v>0</v>
      </c>
      <c r="CN17" s="730">
        <v>0</v>
      </c>
      <c r="CO17" s="730">
        <v>2.5</v>
      </c>
      <c r="CP17" s="732">
        <v>1.34</v>
      </c>
      <c r="CQ17" s="730">
        <v>2.5</v>
      </c>
      <c r="CR17" s="732">
        <v>3.6</v>
      </c>
      <c r="CS17" s="730">
        <v>2.5</v>
      </c>
      <c r="CT17" s="732">
        <v>2.56</v>
      </c>
      <c r="CU17" s="734">
        <v>2.5</v>
      </c>
      <c r="CV17" s="734">
        <v>2.5</v>
      </c>
      <c r="CW17" s="730">
        <v>2.5</v>
      </c>
      <c r="CX17" s="732">
        <v>2.4900000000000002</v>
      </c>
      <c r="CY17" s="730">
        <v>2.5</v>
      </c>
      <c r="CZ17" s="730">
        <v>2.5</v>
      </c>
      <c r="DA17" s="730">
        <v>2.5</v>
      </c>
      <c r="DB17" s="732">
        <v>2.5099999999999998</v>
      </c>
      <c r="DC17" s="730">
        <v>2.5</v>
      </c>
      <c r="DD17" s="732">
        <v>2.5</v>
      </c>
      <c r="DE17" s="730">
        <v>2.5</v>
      </c>
      <c r="DF17" s="732">
        <v>2.5</v>
      </c>
      <c r="DG17" s="730">
        <v>2.5</v>
      </c>
      <c r="DH17" s="732">
        <v>2.5</v>
      </c>
      <c r="DI17" s="735">
        <f>DG17+DE17+DC17+DA17+CW17+CY17+CU17+CS17+CQ17+CO17+CM17+CK17</f>
        <v>25</v>
      </c>
      <c r="DJ17" s="736">
        <f t="shared" si="9"/>
        <v>25</v>
      </c>
      <c r="DK17" s="737">
        <f>CL17+CN17+CP17+CR17+CT17+CV17+CX17+CZ17+DB17+DD17+DF17+DH17</f>
        <v>25</v>
      </c>
      <c r="DL17" s="732">
        <f>DI17</f>
        <v>25</v>
      </c>
      <c r="DM17" s="732">
        <f>DK17</f>
        <v>25</v>
      </c>
      <c r="DN17" s="732">
        <v>12.5</v>
      </c>
      <c r="DO17" s="732">
        <v>1.4</v>
      </c>
      <c r="DP17" s="732">
        <v>1.4</v>
      </c>
      <c r="DQ17" s="732">
        <v>2.7</v>
      </c>
      <c r="DR17" s="732">
        <v>2.7</v>
      </c>
      <c r="DS17" s="732">
        <v>2.7</v>
      </c>
      <c r="DT17" s="732">
        <v>2.7</v>
      </c>
      <c r="DU17" s="732">
        <v>2.7</v>
      </c>
      <c r="DV17" s="732"/>
      <c r="DW17" s="732">
        <v>3</v>
      </c>
      <c r="DX17" s="732"/>
      <c r="DY17" s="732">
        <v>0</v>
      </c>
      <c r="DZ17" s="732"/>
      <c r="EA17" s="732">
        <v>0</v>
      </c>
      <c r="EB17" s="732"/>
      <c r="EC17" s="732">
        <v>0</v>
      </c>
      <c r="ED17" s="732"/>
      <c r="EE17" s="732"/>
      <c r="EF17" s="732"/>
      <c r="EG17" s="732"/>
      <c r="EH17" s="732"/>
      <c r="EI17" s="732"/>
      <c r="EJ17" s="732"/>
      <c r="EK17" s="732"/>
      <c r="EL17" s="732"/>
      <c r="EM17" s="732">
        <f>EK17+EI17+EG17+EE17+EA17+DY17+DW17+DU17+DS17+DQ17+DO17</f>
        <v>12.500000000000002</v>
      </c>
      <c r="EN17" s="732">
        <f>DO17+DQ17</f>
        <v>4.0999999999999996</v>
      </c>
      <c r="EO17" s="732">
        <f>DP17+DR17+DT17+DV17</f>
        <v>6.8</v>
      </c>
      <c r="EP17" s="732">
        <f>DO17+DQ17+DS17+DU17+DW17+DY17+EA17+EC17</f>
        <v>12.5</v>
      </c>
      <c r="EQ17" s="732">
        <f>EO17</f>
        <v>6.8</v>
      </c>
      <c r="ER17" s="692">
        <f t="shared" si="22"/>
        <v>1</v>
      </c>
      <c r="ES17" s="698">
        <f>EO17/EN17</f>
        <v>1.6585365853658538</v>
      </c>
      <c r="ET17" s="694">
        <f>INVERSIÓN!EQ17/INVERSIÓN!EP17</f>
        <v>0.54400000000000004</v>
      </c>
      <c r="EU17" s="688">
        <f t="shared" si="16"/>
        <v>1.0144303829433476</v>
      </c>
      <c r="EV17" s="677">
        <f>(AA17+BE17+CI17+DM17+EQ17)/G17</f>
        <v>0.94220583934141589</v>
      </c>
      <c r="EW17" s="878" t="s">
        <v>710</v>
      </c>
      <c r="EX17" s="878" t="s">
        <v>651</v>
      </c>
      <c r="EY17" s="878" t="s">
        <v>549</v>
      </c>
      <c r="EZ17" s="878" t="s">
        <v>389</v>
      </c>
      <c r="FA17" s="878" t="s">
        <v>610</v>
      </c>
      <c r="FB17" s="255"/>
      <c r="FC17" s="255"/>
      <c r="FD17" s="255"/>
      <c r="FE17" s="255"/>
      <c r="FF17" s="255"/>
      <c r="FG17" s="255"/>
      <c r="FH17" s="255"/>
      <c r="FI17" s="255"/>
      <c r="FJ17" s="255"/>
      <c r="FK17" s="255"/>
      <c r="FL17" s="255"/>
      <c r="FM17" s="255"/>
      <c r="FN17" s="255"/>
      <c r="FO17" s="255"/>
      <c r="FP17" s="255"/>
      <c r="FQ17" s="255"/>
      <c r="FR17" s="255"/>
      <c r="FS17" s="255"/>
      <c r="FT17" s="255"/>
      <c r="FU17" s="255"/>
      <c r="FV17" s="255"/>
      <c r="FW17" s="255"/>
      <c r="FX17" s="255"/>
      <c r="FY17" s="255"/>
      <c r="FZ17" s="255"/>
      <c r="GA17" s="255"/>
      <c r="GB17" s="255"/>
      <c r="GC17" s="255"/>
      <c r="GD17" s="255"/>
      <c r="GE17" s="255"/>
      <c r="GF17" s="255"/>
      <c r="GG17" s="255"/>
      <c r="GH17" s="255"/>
      <c r="GI17" s="255"/>
      <c r="GJ17" s="255"/>
      <c r="GK17" s="255"/>
      <c r="GL17" s="255"/>
      <c r="GM17" s="255"/>
      <c r="GN17" s="255"/>
      <c r="GO17" s="255"/>
      <c r="GP17" s="255"/>
      <c r="GQ17" s="255"/>
      <c r="GR17" s="255"/>
      <c r="GS17" s="255"/>
      <c r="GT17" s="255"/>
      <c r="GU17" s="255"/>
      <c r="GV17" s="255"/>
      <c r="GW17" s="255"/>
      <c r="GX17" s="255"/>
      <c r="GY17" s="255"/>
      <c r="GZ17" s="255"/>
    </row>
    <row r="18" spans="1:208" s="212" customFormat="1" ht="39" customHeight="1" x14ac:dyDescent="0.25">
      <c r="A18" s="951"/>
      <c r="B18" s="954"/>
      <c r="C18" s="957"/>
      <c r="D18" s="948"/>
      <c r="E18" s="962"/>
      <c r="F18" s="248" t="s">
        <v>3</v>
      </c>
      <c r="G18" s="245">
        <f>AA18+BE18+CI18+DM18+EP18</f>
        <v>1652858966</v>
      </c>
      <c r="H18" s="245">
        <v>200000000</v>
      </c>
      <c r="I18" s="245"/>
      <c r="J18" s="245"/>
      <c r="K18" s="245">
        <v>200000000</v>
      </c>
      <c r="L18" s="245">
        <v>0</v>
      </c>
      <c r="M18" s="245">
        <v>200000000</v>
      </c>
      <c r="N18" s="245">
        <v>114652000</v>
      </c>
      <c r="O18" s="245">
        <v>200000000</v>
      </c>
      <c r="P18" s="245">
        <v>143692000</v>
      </c>
      <c r="Q18" s="245">
        <v>200000000</v>
      </c>
      <c r="R18" s="245">
        <v>143692000</v>
      </c>
      <c r="S18" s="245">
        <v>200000000</v>
      </c>
      <c r="T18" s="245">
        <v>143692000</v>
      </c>
      <c r="U18" s="245">
        <v>200000000</v>
      </c>
      <c r="V18" s="245">
        <v>198796000</v>
      </c>
      <c r="W18" s="245">
        <v>200000000</v>
      </c>
      <c r="X18" s="245">
        <v>200000000</v>
      </c>
      <c r="Y18" s="245">
        <v>198796000</v>
      </c>
      <c r="Z18" s="245">
        <v>200000000</v>
      </c>
      <c r="AA18" s="245">
        <v>198796000</v>
      </c>
      <c r="AB18" s="245">
        <v>254951000</v>
      </c>
      <c r="AC18" s="245">
        <v>0</v>
      </c>
      <c r="AD18" s="245">
        <v>0</v>
      </c>
      <c r="AE18" s="245">
        <v>66080000</v>
      </c>
      <c r="AF18" s="245">
        <v>66080000</v>
      </c>
      <c r="AG18" s="245">
        <v>187449000</v>
      </c>
      <c r="AH18" s="245">
        <v>187449000</v>
      </c>
      <c r="AI18" s="245">
        <v>0</v>
      </c>
      <c r="AJ18" s="245">
        <v>0</v>
      </c>
      <c r="AK18" s="245">
        <v>0</v>
      </c>
      <c r="AL18" s="245">
        <v>0</v>
      </c>
      <c r="AM18" s="245">
        <v>0</v>
      </c>
      <c r="AN18" s="245">
        <v>0</v>
      </c>
      <c r="AO18" s="245"/>
      <c r="AP18" s="245"/>
      <c r="AQ18" s="245">
        <v>0</v>
      </c>
      <c r="AR18" s="245">
        <v>0</v>
      </c>
      <c r="AS18" s="245"/>
      <c r="AT18" s="245">
        <v>0</v>
      </c>
      <c r="AU18" s="245">
        <v>0</v>
      </c>
      <c r="AV18" s="245">
        <v>0</v>
      </c>
      <c r="AW18" s="245">
        <v>32353269</v>
      </c>
      <c r="AX18" s="245">
        <v>29912733</v>
      </c>
      <c r="AY18" s="245"/>
      <c r="AZ18" s="245">
        <v>2440533</v>
      </c>
      <c r="BA18" s="245">
        <f t="shared" si="1"/>
        <v>285882269</v>
      </c>
      <c r="BB18" s="245">
        <f t="shared" si="2"/>
        <v>285882269</v>
      </c>
      <c r="BC18" s="245">
        <f t="shared" si="3"/>
        <v>285882266</v>
      </c>
      <c r="BD18" s="245">
        <f t="shared" si="4"/>
        <v>285882269</v>
      </c>
      <c r="BE18" s="245">
        <f t="shared" si="5"/>
        <v>285882266</v>
      </c>
      <c r="BF18" s="245">
        <v>414984000</v>
      </c>
      <c r="BG18" s="245">
        <v>378669000</v>
      </c>
      <c r="BH18" s="245">
        <v>378669000</v>
      </c>
      <c r="BI18" s="245">
        <v>0</v>
      </c>
      <c r="BJ18" s="245">
        <v>0</v>
      </c>
      <c r="BK18" s="245">
        <v>0</v>
      </c>
      <c r="BL18" s="245">
        <v>0</v>
      </c>
      <c r="BM18" s="245">
        <v>0</v>
      </c>
      <c r="BN18" s="245">
        <v>0</v>
      </c>
      <c r="BO18" s="245">
        <v>0</v>
      </c>
      <c r="BP18" s="245">
        <v>0</v>
      </c>
      <c r="BQ18" s="245">
        <v>0</v>
      </c>
      <c r="BR18" s="245">
        <v>0</v>
      </c>
      <c r="BS18" s="245">
        <v>0</v>
      </c>
      <c r="BT18" s="245">
        <v>0</v>
      </c>
      <c r="BU18" s="245">
        <v>0</v>
      </c>
      <c r="BV18" s="245">
        <v>2571800</v>
      </c>
      <c r="BW18" s="245">
        <v>0</v>
      </c>
      <c r="BX18" s="245">
        <v>0</v>
      </c>
      <c r="BY18" s="245">
        <v>19497000</v>
      </c>
      <c r="BZ18" s="245">
        <v>13752000</v>
      </c>
      <c r="CA18" s="245">
        <f>5600400+4559100</f>
        <v>10159500</v>
      </c>
      <c r="CB18" s="245">
        <v>11345400</v>
      </c>
      <c r="CC18" s="245">
        <v>12104500</v>
      </c>
      <c r="CD18" s="245">
        <v>12104500</v>
      </c>
      <c r="CE18" s="245">
        <f t="shared" si="6"/>
        <v>420430000</v>
      </c>
      <c r="CF18" s="245">
        <f t="shared" si="7"/>
        <v>420430000</v>
      </c>
      <c r="CG18" s="245">
        <f t="shared" si="7"/>
        <v>418442700</v>
      </c>
      <c r="CH18" s="245">
        <f t="shared" si="8"/>
        <v>420430000</v>
      </c>
      <c r="CI18" s="245">
        <f t="shared" si="8"/>
        <v>418442700</v>
      </c>
      <c r="CJ18" s="245">
        <v>335366000</v>
      </c>
      <c r="CK18" s="245">
        <v>0</v>
      </c>
      <c r="CL18" s="245">
        <v>0</v>
      </c>
      <c r="CM18" s="245">
        <v>171232000</v>
      </c>
      <c r="CN18" s="245">
        <v>171232000</v>
      </c>
      <c r="CO18" s="245">
        <v>134851000</v>
      </c>
      <c r="CP18" s="245">
        <v>134851000</v>
      </c>
      <c r="CQ18" s="245">
        <v>22045000</v>
      </c>
      <c r="CR18" s="245">
        <v>0</v>
      </c>
      <c r="CS18" s="532">
        <v>0</v>
      </c>
      <c r="CT18" s="532">
        <v>0</v>
      </c>
      <c r="CU18" s="550">
        <v>0</v>
      </c>
      <c r="CV18" s="550">
        <v>22045000</v>
      </c>
      <c r="CW18" s="245">
        <v>0</v>
      </c>
      <c r="CX18" s="720">
        <v>0</v>
      </c>
      <c r="CY18" s="245">
        <v>0</v>
      </c>
      <c r="CZ18" s="720">
        <v>0</v>
      </c>
      <c r="DA18" s="245">
        <v>0</v>
      </c>
      <c r="DB18" s="245">
        <v>0</v>
      </c>
      <c r="DC18" s="245">
        <v>0</v>
      </c>
      <c r="DD18" s="245">
        <v>0</v>
      </c>
      <c r="DE18" s="245">
        <v>2774000</v>
      </c>
      <c r="DF18" s="720">
        <v>2774000</v>
      </c>
      <c r="DG18" s="245">
        <v>0</v>
      </c>
      <c r="DH18" s="245">
        <v>0</v>
      </c>
      <c r="DI18" s="735">
        <f t="shared" ref="DI18:DI22" si="32">DG18+DE18+DC18+DA18+CW18+CY18+CU18+CS18+CQ18+CO18+CM18+CK18</f>
        <v>330902000</v>
      </c>
      <c r="DJ18" s="722">
        <f t="shared" si="9"/>
        <v>330902000</v>
      </c>
      <c r="DK18" s="721">
        <f t="shared" si="10"/>
        <v>330902000</v>
      </c>
      <c r="DL18" s="245">
        <f t="shared" si="17"/>
        <v>330902000</v>
      </c>
      <c r="DM18" s="245">
        <f t="shared" si="18"/>
        <v>330902000</v>
      </c>
      <c r="DN18" s="245">
        <v>418836000</v>
      </c>
      <c r="DO18" s="720">
        <v>0</v>
      </c>
      <c r="DP18" s="720">
        <v>0</v>
      </c>
      <c r="DQ18" s="237">
        <v>112095000</v>
      </c>
      <c r="DR18" s="237">
        <v>59030000</v>
      </c>
      <c r="DS18" s="237">
        <v>0</v>
      </c>
      <c r="DT18" s="237">
        <v>13272000</v>
      </c>
      <c r="DU18" s="237">
        <v>0</v>
      </c>
      <c r="DV18" s="237"/>
      <c r="DW18" s="237">
        <v>0</v>
      </c>
      <c r="DX18" s="237"/>
      <c r="DY18" s="237">
        <v>0</v>
      </c>
      <c r="DZ18" s="237"/>
      <c r="EA18" s="237">
        <v>306741000</v>
      </c>
      <c r="EB18" s="237"/>
      <c r="EC18" s="237">
        <v>0</v>
      </c>
      <c r="ED18" s="237"/>
      <c r="EE18" s="237"/>
      <c r="EF18" s="237"/>
      <c r="EG18" s="237"/>
      <c r="EH18" s="237"/>
      <c r="EI18" s="237"/>
      <c r="EJ18" s="237"/>
      <c r="EK18" s="237"/>
      <c r="EL18" s="237"/>
      <c r="EM18" s="237">
        <f>EK18+EI18+EG18+EE18+EA18+DY18+DW18+DU18+DS18+DQ18+DO18</f>
        <v>418836000</v>
      </c>
      <c r="EN18" s="237">
        <f>DO18+DQ18</f>
        <v>112095000</v>
      </c>
      <c r="EO18" s="237">
        <f>DP18+DR18+DT18+DV18</f>
        <v>72302000</v>
      </c>
      <c r="EP18" s="237">
        <f t="shared" ref="EP18:EP22" si="33">DO18+DQ18+DS18+DU18+DW18+DY18+EA18+EC18</f>
        <v>418836000</v>
      </c>
      <c r="EQ18" s="237">
        <f>+DP18+DR18+DT18</f>
        <v>72302000</v>
      </c>
      <c r="ER18" s="692">
        <f t="shared" si="22"/>
        <v>0</v>
      </c>
      <c r="ES18" s="698">
        <f t="shared" ref="ES18:ES30" si="34">EO18/EN18</f>
        <v>0.6450064677282662</v>
      </c>
      <c r="ET18" s="694">
        <f>INVERSIÓN!EQ18/INVERSIÓN!EP18</f>
        <v>0.1726260397864558</v>
      </c>
      <c r="EU18" s="688">
        <f t="shared" si="16"/>
        <v>0.96814347608250217</v>
      </c>
      <c r="EV18" s="677">
        <f t="shared" ref="EV18:EV30" si="35">(AA18+BE18+CI18+DM18+EQ18)/G18</f>
        <v>0.7903426685952345</v>
      </c>
      <c r="EW18" s="878"/>
      <c r="EX18" s="878"/>
      <c r="EY18" s="878"/>
      <c r="EZ18" s="878"/>
      <c r="FA18" s="878"/>
    </row>
    <row r="19" spans="1:208" s="212" customFormat="1" ht="39" customHeight="1" x14ac:dyDescent="0.25">
      <c r="A19" s="951"/>
      <c r="B19" s="954"/>
      <c r="C19" s="957"/>
      <c r="D19" s="948"/>
      <c r="E19" s="962"/>
      <c r="F19" s="249" t="s">
        <v>390</v>
      </c>
      <c r="G19" s="751"/>
      <c r="H19" s="246"/>
      <c r="I19" s="245"/>
      <c r="J19" s="245"/>
      <c r="K19" s="245"/>
      <c r="L19" s="245"/>
      <c r="M19" s="245"/>
      <c r="N19" s="245"/>
      <c r="O19" s="245"/>
      <c r="P19" s="245"/>
      <c r="Q19" s="245"/>
      <c r="R19" s="245"/>
      <c r="S19" s="245"/>
      <c r="T19" s="245"/>
      <c r="U19" s="245"/>
      <c r="V19" s="245"/>
      <c r="W19" s="245"/>
      <c r="X19" s="245"/>
      <c r="Y19" s="245"/>
      <c r="Z19" s="245">
        <v>0</v>
      </c>
      <c r="AA19" s="245">
        <v>0</v>
      </c>
      <c r="AB19" s="245"/>
      <c r="AC19" s="245">
        <v>0</v>
      </c>
      <c r="AD19" s="245">
        <v>0</v>
      </c>
      <c r="AE19" s="245">
        <v>0</v>
      </c>
      <c r="AF19" s="245">
        <v>0</v>
      </c>
      <c r="AG19" s="245">
        <v>2538667</v>
      </c>
      <c r="AH19" s="245">
        <v>2538667</v>
      </c>
      <c r="AI19" s="245">
        <v>24861667</v>
      </c>
      <c r="AJ19" s="245">
        <v>24861667</v>
      </c>
      <c r="AK19" s="245">
        <v>20653000</v>
      </c>
      <c r="AL19" s="245">
        <v>20653000</v>
      </c>
      <c r="AM19" s="245">
        <v>20653000</v>
      </c>
      <c r="AN19" s="245">
        <v>20653000</v>
      </c>
      <c r="AO19" s="245">
        <v>47115800</v>
      </c>
      <c r="AP19" s="245">
        <v>38391800</v>
      </c>
      <c r="AQ19" s="245">
        <v>29377000</v>
      </c>
      <c r="AR19" s="245">
        <v>38101000</v>
      </c>
      <c r="AS19" s="245">
        <v>29377000</v>
      </c>
      <c r="AT19" s="245">
        <v>29377000</v>
      </c>
      <c r="AU19" s="245">
        <v>29377000</v>
      </c>
      <c r="AV19" s="245">
        <v>29377000</v>
      </c>
      <c r="AW19" s="245">
        <v>29377000</v>
      </c>
      <c r="AX19" s="245">
        <v>29377000</v>
      </c>
      <c r="AY19" s="245">
        <v>52552135</v>
      </c>
      <c r="AZ19" s="245">
        <v>35774600</v>
      </c>
      <c r="BA19" s="245">
        <f t="shared" si="1"/>
        <v>285882269</v>
      </c>
      <c r="BB19" s="245">
        <f t="shared" si="2"/>
        <v>285882269</v>
      </c>
      <c r="BC19" s="245">
        <f t="shared" si="3"/>
        <v>269104734</v>
      </c>
      <c r="BD19" s="245">
        <f t="shared" si="4"/>
        <v>285882269</v>
      </c>
      <c r="BE19" s="245">
        <f t="shared" si="5"/>
        <v>269104734</v>
      </c>
      <c r="BF19" s="245">
        <v>415028000</v>
      </c>
      <c r="BG19" s="245">
        <v>0</v>
      </c>
      <c r="BH19" s="245">
        <v>0</v>
      </c>
      <c r="BI19" s="245">
        <v>818300</v>
      </c>
      <c r="BJ19" s="245">
        <v>1895300</v>
      </c>
      <c r="BK19" s="245">
        <v>39950000</v>
      </c>
      <c r="BL19" s="245">
        <v>37021400</v>
      </c>
      <c r="BM19" s="245">
        <v>39950000</v>
      </c>
      <c r="BN19" s="245">
        <v>32871000</v>
      </c>
      <c r="BO19" s="245">
        <v>39950000</v>
      </c>
      <c r="BP19" s="245">
        <f>118816700-BN19-BL19-BJ19-BH19</f>
        <v>47029000</v>
      </c>
      <c r="BQ19" s="245">
        <v>39950000</v>
      </c>
      <c r="BR19" s="245">
        <v>39950000</v>
      </c>
      <c r="BS19" s="245">
        <v>39950000</v>
      </c>
      <c r="BT19" s="245">
        <v>39950000</v>
      </c>
      <c r="BU19" s="245">
        <v>39950000</v>
      </c>
      <c r="BV19" s="245">
        <v>29640000</v>
      </c>
      <c r="BW19" s="245">
        <v>39131700</v>
      </c>
      <c r="BX19" s="245">
        <v>40883000</v>
      </c>
      <c r="BY19" s="245">
        <v>36443000</v>
      </c>
      <c r="BZ19" s="245">
        <v>18581000</v>
      </c>
      <c r="CA19" s="245">
        <v>36443000</v>
      </c>
      <c r="CB19" s="245">
        <v>47328300</v>
      </c>
      <c r="CC19" s="245">
        <f>36292500+31601500</f>
        <v>67894000</v>
      </c>
      <c r="CD19" s="245">
        <v>42481500</v>
      </c>
      <c r="CE19" s="245">
        <f t="shared" si="6"/>
        <v>420430000</v>
      </c>
      <c r="CF19" s="245">
        <f t="shared" si="7"/>
        <v>420430000</v>
      </c>
      <c r="CG19" s="245">
        <f t="shared" si="7"/>
        <v>377630500</v>
      </c>
      <c r="CH19" s="245">
        <f t="shared" si="8"/>
        <v>420430000</v>
      </c>
      <c r="CI19" s="245">
        <f t="shared" si="8"/>
        <v>377630500</v>
      </c>
      <c r="CJ19" s="245">
        <f>CM19+CO19+CQ19+CS19+CU19+CW19+CY19+DA19+DC19+DE19+DG19</f>
        <v>330902000</v>
      </c>
      <c r="CK19" s="245">
        <v>0</v>
      </c>
      <c r="CL19" s="245">
        <v>0</v>
      </c>
      <c r="CM19" s="245">
        <v>0</v>
      </c>
      <c r="CN19" s="245">
        <v>0</v>
      </c>
      <c r="CO19" s="245">
        <v>7121633</v>
      </c>
      <c r="CP19" s="245">
        <v>7121633</v>
      </c>
      <c r="CQ19" s="245">
        <v>27866134</v>
      </c>
      <c r="CR19" s="245">
        <v>27189067</v>
      </c>
      <c r="CS19" s="532">
        <v>34543000</v>
      </c>
      <c r="CT19" s="532">
        <v>29465000</v>
      </c>
      <c r="CU19" s="550">
        <v>34543000</v>
      </c>
      <c r="CV19" s="550">
        <v>29465000</v>
      </c>
      <c r="CW19" s="245">
        <v>33220300</v>
      </c>
      <c r="CX19" s="720">
        <v>44053367</v>
      </c>
      <c r="CY19" s="245">
        <v>34543000</v>
      </c>
      <c r="CZ19" s="720">
        <v>28730167</v>
      </c>
      <c r="DA19" s="245">
        <v>34543000</v>
      </c>
      <c r="DB19" s="245">
        <v>39621000</v>
      </c>
      <c r="DC19" s="245">
        <v>34543000</v>
      </c>
      <c r="DD19" s="245">
        <v>30134000</v>
      </c>
      <c r="DE19" s="245">
        <v>34543000</v>
      </c>
      <c r="DF19" s="720">
        <v>30134000</v>
      </c>
      <c r="DG19" s="245">
        <v>55435933</v>
      </c>
      <c r="DH19" s="245">
        <v>45729433</v>
      </c>
      <c r="DI19" s="735">
        <f>DG19+DE19+DC19+DA19+CW19+CY19+CU19+CS19+CQ19+CO19+CM19+CK19</f>
        <v>330902000</v>
      </c>
      <c r="DJ19" s="722">
        <f t="shared" si="9"/>
        <v>330902000</v>
      </c>
      <c r="DK19" s="721">
        <f t="shared" si="10"/>
        <v>311642667</v>
      </c>
      <c r="DL19" s="245">
        <f t="shared" si="17"/>
        <v>330902000</v>
      </c>
      <c r="DM19" s="245">
        <f t="shared" si="18"/>
        <v>311642667</v>
      </c>
      <c r="DN19" s="245">
        <v>418836000</v>
      </c>
      <c r="DO19" s="720">
        <v>0</v>
      </c>
      <c r="DP19" s="720">
        <v>0</v>
      </c>
      <c r="DQ19" s="720">
        <v>0</v>
      </c>
      <c r="DR19" s="720">
        <v>0</v>
      </c>
      <c r="DS19" s="720">
        <v>6757500</v>
      </c>
      <c r="DT19" s="720">
        <v>3078000</v>
      </c>
      <c r="DU19" s="720">
        <v>24645000</v>
      </c>
      <c r="DV19" s="720"/>
      <c r="DW19" s="720">
        <v>24645000</v>
      </c>
      <c r="DX19" s="720"/>
      <c r="DY19" s="720">
        <v>24645000</v>
      </c>
      <c r="DZ19" s="720"/>
      <c r="EA19" s="720">
        <v>331386000</v>
      </c>
      <c r="EB19" s="720"/>
      <c r="EC19" s="720">
        <v>6757500</v>
      </c>
      <c r="ED19" s="720"/>
      <c r="EE19" s="720"/>
      <c r="EF19" s="720"/>
      <c r="EG19" s="720"/>
      <c r="EH19" s="720"/>
      <c r="EI19" s="720"/>
      <c r="EJ19" s="720"/>
      <c r="EK19" s="720" t="s">
        <v>669</v>
      </c>
      <c r="EL19" s="720"/>
      <c r="EM19" s="720" t="e">
        <f>EK19+EI19+EG19+EE19+EA19+DY19+DW19+DU19+DS19+DQ19+DO19</f>
        <v>#VALUE!</v>
      </c>
      <c r="EN19" s="720">
        <f t="shared" ref="EN19:EN22" si="36">DO19+DQ19</f>
        <v>0</v>
      </c>
      <c r="EO19" s="720">
        <f t="shared" ref="EO19:EO22" si="37">DP19+DR19+DT19+DV19</f>
        <v>3078000</v>
      </c>
      <c r="EP19" s="720">
        <f t="shared" si="33"/>
        <v>418836000</v>
      </c>
      <c r="EQ19" s="720">
        <f t="shared" ref="EQ19:EQ29" si="38">+DP19+DR19</f>
        <v>0</v>
      </c>
      <c r="ER19" s="692">
        <f t="shared" si="22"/>
        <v>0.45549389567147613</v>
      </c>
      <c r="ES19" s="698">
        <f>IFERROR(EO19/EN19,0)</f>
        <v>0</v>
      </c>
      <c r="ET19" s="694">
        <f>INVERSIÓN!EQ19/INVERSIÓN!EP19</f>
        <v>0</v>
      </c>
      <c r="EU19" s="688">
        <f t="shared" si="16"/>
        <v>0.92695977073952118</v>
      </c>
      <c r="EV19" s="677">
        <f>IFERROR((AA19+BE19+CI19+DM19+EQ19)/G19,0)</f>
        <v>0</v>
      </c>
      <c r="EW19" s="878"/>
      <c r="EX19" s="878"/>
      <c r="EY19" s="878"/>
      <c r="EZ19" s="878"/>
      <c r="FA19" s="878"/>
    </row>
    <row r="20" spans="1:208" s="214" customFormat="1" ht="39" customHeight="1" x14ac:dyDescent="0.25">
      <c r="A20" s="951"/>
      <c r="B20" s="954"/>
      <c r="C20" s="957"/>
      <c r="D20" s="948"/>
      <c r="E20" s="962"/>
      <c r="F20" s="250" t="s">
        <v>42</v>
      </c>
      <c r="G20" s="751">
        <f t="shared" ref="G20" si="39">AA20+BE20+CI20+DM20+EP20</f>
        <v>1.3699999999999999</v>
      </c>
      <c r="H20" s="687"/>
      <c r="I20" s="240"/>
      <c r="J20" s="240"/>
      <c r="K20" s="240"/>
      <c r="L20" s="240"/>
      <c r="M20" s="240"/>
      <c r="N20" s="240"/>
      <c r="O20" s="240"/>
      <c r="P20" s="240"/>
      <c r="Q20" s="240"/>
      <c r="R20" s="240"/>
      <c r="S20" s="240"/>
      <c r="T20" s="479"/>
      <c r="U20" s="241"/>
      <c r="V20" s="241"/>
      <c r="W20" s="719"/>
      <c r="X20" s="719"/>
      <c r="Y20" s="719"/>
      <c r="Z20" s="535">
        <v>0</v>
      </c>
      <c r="AA20" s="535">
        <v>0</v>
      </c>
      <c r="AB20" s="689">
        <v>0.72</v>
      </c>
      <c r="AC20" s="242">
        <v>0</v>
      </c>
      <c r="AD20" s="243">
        <v>0</v>
      </c>
      <c r="AE20" s="242">
        <v>0.72</v>
      </c>
      <c r="AF20" s="243">
        <v>0.72</v>
      </c>
      <c r="AG20" s="243">
        <v>0</v>
      </c>
      <c r="AH20" s="243">
        <v>0</v>
      </c>
      <c r="AI20" s="243">
        <v>0</v>
      </c>
      <c r="AJ20" s="243">
        <v>0</v>
      </c>
      <c r="AK20" s="243">
        <v>0</v>
      </c>
      <c r="AL20" s="243">
        <v>0</v>
      </c>
      <c r="AM20" s="243">
        <v>0</v>
      </c>
      <c r="AN20" s="243">
        <v>0</v>
      </c>
      <c r="AO20" s="243"/>
      <c r="AP20" s="243"/>
      <c r="AQ20" s="243">
        <v>0</v>
      </c>
      <c r="AR20" s="243">
        <v>0</v>
      </c>
      <c r="AS20" s="243"/>
      <c r="AT20" s="243"/>
      <c r="AU20" s="243">
        <v>0</v>
      </c>
      <c r="AV20" s="243">
        <v>0</v>
      </c>
      <c r="AW20" s="243">
        <v>0</v>
      </c>
      <c r="AX20" s="243">
        <v>0</v>
      </c>
      <c r="AY20" s="243"/>
      <c r="AZ20" s="243"/>
      <c r="BA20" s="720">
        <f t="shared" si="1"/>
        <v>0.72</v>
      </c>
      <c r="BB20" s="720">
        <f t="shared" si="2"/>
        <v>0.72</v>
      </c>
      <c r="BC20" s="720">
        <f t="shared" si="3"/>
        <v>0.72</v>
      </c>
      <c r="BD20" s="720">
        <f t="shared" si="4"/>
        <v>0.72</v>
      </c>
      <c r="BE20" s="720">
        <f t="shared" si="5"/>
        <v>0.72</v>
      </c>
      <c r="BF20" s="720">
        <v>0.18</v>
      </c>
      <c r="BG20" s="720">
        <v>0.18</v>
      </c>
      <c r="BH20" s="720">
        <v>0.18</v>
      </c>
      <c r="BI20" s="720">
        <v>0</v>
      </c>
      <c r="BJ20" s="473">
        <v>0</v>
      </c>
      <c r="BK20" s="720">
        <v>0</v>
      </c>
      <c r="BL20" s="720">
        <v>0</v>
      </c>
      <c r="BM20" s="720">
        <v>0</v>
      </c>
      <c r="BN20" s="720">
        <v>0</v>
      </c>
      <c r="BO20" s="720">
        <v>0</v>
      </c>
      <c r="BP20" s="720">
        <v>0</v>
      </c>
      <c r="BQ20" s="720">
        <v>0</v>
      </c>
      <c r="BR20" s="720">
        <v>0</v>
      </c>
      <c r="BS20" s="720">
        <v>0</v>
      </c>
      <c r="BT20" s="720">
        <v>0</v>
      </c>
      <c r="BU20" s="720">
        <v>0</v>
      </c>
      <c r="BV20" s="720">
        <v>0</v>
      </c>
      <c r="BW20" s="720">
        <v>0</v>
      </c>
      <c r="BX20" s="720">
        <v>0</v>
      </c>
      <c r="BY20" s="720">
        <v>0</v>
      </c>
      <c r="BZ20" s="720">
        <v>0</v>
      </c>
      <c r="CA20" s="720">
        <v>0</v>
      </c>
      <c r="CB20" s="720">
        <v>0</v>
      </c>
      <c r="CC20" s="720">
        <v>0</v>
      </c>
      <c r="CD20" s="720">
        <v>0</v>
      </c>
      <c r="CE20" s="720">
        <f t="shared" si="6"/>
        <v>0.18</v>
      </c>
      <c r="CF20" s="720">
        <f t="shared" si="7"/>
        <v>0.18</v>
      </c>
      <c r="CG20" s="720">
        <f t="shared" si="7"/>
        <v>0.18</v>
      </c>
      <c r="CH20" s="720">
        <f t="shared" si="8"/>
        <v>0.18</v>
      </c>
      <c r="CI20" s="720">
        <f t="shared" si="8"/>
        <v>0.18</v>
      </c>
      <c r="CJ20" s="720">
        <v>0.47</v>
      </c>
      <c r="CK20" s="720">
        <v>0.16</v>
      </c>
      <c r="CL20" s="720">
        <v>0.16</v>
      </c>
      <c r="CM20" s="720">
        <v>0.23</v>
      </c>
      <c r="CN20" s="720">
        <v>0.23</v>
      </c>
      <c r="CO20" s="720">
        <v>0</v>
      </c>
      <c r="CP20" s="720">
        <v>0</v>
      </c>
      <c r="CQ20" s="720">
        <v>0</v>
      </c>
      <c r="CR20" s="720">
        <v>0</v>
      </c>
      <c r="CS20" s="720">
        <v>0</v>
      </c>
      <c r="CT20" s="720">
        <v>0.08</v>
      </c>
      <c r="CU20" s="722">
        <v>0</v>
      </c>
      <c r="CV20" s="722">
        <v>0</v>
      </c>
      <c r="CW20" s="720">
        <v>0</v>
      </c>
      <c r="CX20" s="720">
        <v>0</v>
      </c>
      <c r="CY20" s="720">
        <v>0.08</v>
      </c>
      <c r="CZ20" s="720">
        <v>0</v>
      </c>
      <c r="DA20" s="720">
        <v>0</v>
      </c>
      <c r="DB20" s="720">
        <v>0</v>
      </c>
      <c r="DC20" s="720">
        <v>0</v>
      </c>
      <c r="DD20" s="720">
        <v>0</v>
      </c>
      <c r="DE20" s="720">
        <v>0</v>
      </c>
      <c r="DF20" s="720">
        <v>0</v>
      </c>
      <c r="DG20" s="720">
        <v>0</v>
      </c>
      <c r="DH20" s="720"/>
      <c r="DI20" s="735">
        <f t="shared" si="32"/>
        <v>0.47</v>
      </c>
      <c r="DJ20" s="722">
        <f t="shared" si="9"/>
        <v>0.47000000000000003</v>
      </c>
      <c r="DK20" s="721">
        <f t="shared" si="10"/>
        <v>0.47000000000000003</v>
      </c>
      <c r="DL20" s="720">
        <f t="shared" si="17"/>
        <v>0.47</v>
      </c>
      <c r="DM20" s="720">
        <f t="shared" si="18"/>
        <v>0.47000000000000003</v>
      </c>
      <c r="DN20" s="719">
        <v>0</v>
      </c>
      <c r="DO20" s="720">
        <v>0</v>
      </c>
      <c r="DP20" s="720">
        <v>0</v>
      </c>
      <c r="DQ20" s="720">
        <v>0</v>
      </c>
      <c r="DR20" s="720">
        <v>0</v>
      </c>
      <c r="DS20" s="720">
        <v>0</v>
      </c>
      <c r="DT20" s="720">
        <v>0</v>
      </c>
      <c r="DU20" s="720">
        <v>0</v>
      </c>
      <c r="DV20" s="720"/>
      <c r="DW20" s="720">
        <v>0</v>
      </c>
      <c r="DX20" s="720"/>
      <c r="DY20" s="720">
        <v>0</v>
      </c>
      <c r="DZ20" s="720"/>
      <c r="EA20" s="720">
        <v>0</v>
      </c>
      <c r="EB20" s="720"/>
      <c r="EC20" s="720">
        <v>0</v>
      </c>
      <c r="ED20" s="720"/>
      <c r="EE20" s="720"/>
      <c r="EF20" s="720"/>
      <c r="EG20" s="720"/>
      <c r="EH20" s="720"/>
      <c r="EI20" s="720"/>
      <c r="EJ20" s="720"/>
      <c r="EK20" s="720"/>
      <c r="EL20" s="720"/>
      <c r="EM20" s="720">
        <f t="shared" ref="EM20:EM22" si="40">EK20+EI20+EG20+EE20+EA20+DY20+DW20+DU20+DS20+DQ20+DO20</f>
        <v>0</v>
      </c>
      <c r="EN20" s="720">
        <f t="shared" si="36"/>
        <v>0</v>
      </c>
      <c r="EO20" s="720">
        <f t="shared" si="37"/>
        <v>0</v>
      </c>
      <c r="EP20" s="720">
        <f>DO20+DQ20+DS20+DU20+DW20+DY20+EA20+EC20</f>
        <v>0</v>
      </c>
      <c r="EQ20" s="720">
        <f t="shared" si="38"/>
        <v>0</v>
      </c>
      <c r="ER20" s="692">
        <f t="shared" si="22"/>
        <v>0</v>
      </c>
      <c r="ES20" s="698">
        <f>IFERROR(EO20/EN20,0)</f>
        <v>0</v>
      </c>
      <c r="ET20" s="694">
        <f>IFERROR(INVERSIÓN!EQ20/INVERSIÓN!EP20,0)</f>
        <v>0</v>
      </c>
      <c r="EU20" s="688">
        <f t="shared" si="16"/>
        <v>1</v>
      </c>
      <c r="EV20" s="677">
        <f t="shared" si="35"/>
        <v>1</v>
      </c>
      <c r="EW20" s="878"/>
      <c r="EX20" s="878"/>
      <c r="EY20" s="878"/>
      <c r="EZ20" s="878"/>
      <c r="FA20" s="878"/>
    </row>
    <row r="21" spans="1:208" s="212" customFormat="1" ht="39" customHeight="1" x14ac:dyDescent="0.25">
      <c r="A21" s="951"/>
      <c r="B21" s="954"/>
      <c r="C21" s="957"/>
      <c r="D21" s="948"/>
      <c r="E21" s="962"/>
      <c r="F21" s="248" t="s">
        <v>4</v>
      </c>
      <c r="G21" s="245">
        <f>AA21+BE21+CI21+DM21+EP21</f>
        <v>125015898</v>
      </c>
      <c r="H21" s="245"/>
      <c r="I21" s="245"/>
      <c r="J21" s="245"/>
      <c r="K21" s="245"/>
      <c r="L21" s="245"/>
      <c r="M21" s="245"/>
      <c r="N21" s="245"/>
      <c r="O21" s="245"/>
      <c r="P21" s="245"/>
      <c r="Q21" s="245"/>
      <c r="R21" s="245"/>
      <c r="S21" s="245"/>
      <c r="T21" s="245"/>
      <c r="U21" s="245"/>
      <c r="V21" s="245"/>
      <c r="W21" s="245"/>
      <c r="X21" s="245"/>
      <c r="Y21" s="245"/>
      <c r="Z21" s="245">
        <v>0</v>
      </c>
      <c r="AA21" s="245">
        <v>0</v>
      </c>
      <c r="AB21" s="245">
        <v>62324833</v>
      </c>
      <c r="AC21" s="245">
        <v>6836000</v>
      </c>
      <c r="AD21" s="245">
        <v>6836000</v>
      </c>
      <c r="AE21" s="245">
        <v>34741534</v>
      </c>
      <c r="AF21" s="245">
        <v>34741534</v>
      </c>
      <c r="AG21" s="245">
        <v>19562966</v>
      </c>
      <c r="AH21" s="245">
        <v>19562966</v>
      </c>
      <c r="AI21" s="245">
        <v>1184333</v>
      </c>
      <c r="AJ21" s="245">
        <v>1184333</v>
      </c>
      <c r="AK21" s="245">
        <v>0</v>
      </c>
      <c r="AL21" s="245">
        <v>0</v>
      </c>
      <c r="AM21" s="245">
        <v>0</v>
      </c>
      <c r="AN21" s="245">
        <v>0</v>
      </c>
      <c r="AO21" s="245"/>
      <c r="AP21" s="245"/>
      <c r="AQ21" s="245"/>
      <c r="AR21" s="245"/>
      <c r="AS21" s="245"/>
      <c r="AT21" s="245"/>
      <c r="AU21" s="245">
        <v>0</v>
      </c>
      <c r="AV21" s="245">
        <v>0</v>
      </c>
      <c r="AW21" s="245">
        <v>0</v>
      </c>
      <c r="AX21" s="245">
        <v>0</v>
      </c>
      <c r="AY21" s="245"/>
      <c r="AZ21" s="245"/>
      <c r="BA21" s="245">
        <f t="shared" si="1"/>
        <v>62324833</v>
      </c>
      <c r="BB21" s="245">
        <f t="shared" si="2"/>
        <v>62324833</v>
      </c>
      <c r="BC21" s="245">
        <f t="shared" si="3"/>
        <v>62324833</v>
      </c>
      <c r="BD21" s="245">
        <f t="shared" si="4"/>
        <v>62324833</v>
      </c>
      <c r="BE21" s="245">
        <f t="shared" si="5"/>
        <v>62324833</v>
      </c>
      <c r="BF21" s="245">
        <v>16777532</v>
      </c>
      <c r="BG21" s="245">
        <v>16777532</v>
      </c>
      <c r="BH21" s="245">
        <v>16777532</v>
      </c>
      <c r="BI21" s="245">
        <v>0</v>
      </c>
      <c r="BJ21" s="245">
        <v>0</v>
      </c>
      <c r="BK21" s="245">
        <v>0</v>
      </c>
      <c r="BL21" s="245">
        <v>0</v>
      </c>
      <c r="BM21" s="245">
        <v>0</v>
      </c>
      <c r="BN21" s="245">
        <v>0</v>
      </c>
      <c r="BO21" s="245">
        <v>0</v>
      </c>
      <c r="BP21" s="245">
        <v>0</v>
      </c>
      <c r="BQ21" s="245">
        <v>0</v>
      </c>
      <c r="BR21" s="245">
        <v>0</v>
      </c>
      <c r="BS21" s="245">
        <v>0</v>
      </c>
      <c r="BT21" s="245">
        <v>0</v>
      </c>
      <c r="BU21" s="245">
        <v>0</v>
      </c>
      <c r="BV21" s="245">
        <v>0</v>
      </c>
      <c r="BW21" s="245">
        <v>0</v>
      </c>
      <c r="BX21" s="245">
        <v>0</v>
      </c>
      <c r="BY21" s="245">
        <v>0</v>
      </c>
      <c r="BZ21" s="245">
        <v>0</v>
      </c>
      <c r="CA21" s="245">
        <v>0</v>
      </c>
      <c r="CB21" s="245">
        <v>0</v>
      </c>
      <c r="CC21" s="245">
        <v>0</v>
      </c>
      <c r="CD21" s="245">
        <v>0</v>
      </c>
      <c r="CE21" s="245">
        <f t="shared" si="6"/>
        <v>16777532</v>
      </c>
      <c r="CF21" s="245">
        <f t="shared" si="7"/>
        <v>16777532</v>
      </c>
      <c r="CG21" s="245">
        <f t="shared" si="7"/>
        <v>16777532</v>
      </c>
      <c r="CH21" s="245">
        <f t="shared" si="8"/>
        <v>16777532</v>
      </c>
      <c r="CI21" s="245">
        <f t="shared" si="8"/>
        <v>16777532</v>
      </c>
      <c r="CJ21" s="245">
        <v>40812200</v>
      </c>
      <c r="CK21" s="245">
        <v>12973900</v>
      </c>
      <c r="CL21" s="245">
        <v>12973900</v>
      </c>
      <c r="CM21" s="245">
        <v>12160600</v>
      </c>
      <c r="CN21" s="245">
        <v>12160600</v>
      </c>
      <c r="CO21" s="245">
        <v>1519700</v>
      </c>
      <c r="CP21" s="245">
        <v>1519700</v>
      </c>
      <c r="CQ21" s="245">
        <v>0</v>
      </c>
      <c r="CR21" s="245">
        <v>0</v>
      </c>
      <c r="CS21" s="532">
        <v>0</v>
      </c>
      <c r="CT21" s="532">
        <v>0</v>
      </c>
      <c r="CU21" s="550">
        <v>0</v>
      </c>
      <c r="CV21" s="550">
        <v>0</v>
      </c>
      <c r="CW21" s="245">
        <v>0</v>
      </c>
      <c r="CX21" s="720">
        <v>0</v>
      </c>
      <c r="CY21" s="245">
        <v>14158000</v>
      </c>
      <c r="CZ21" s="720">
        <v>0</v>
      </c>
      <c r="DA21" s="245">
        <v>0</v>
      </c>
      <c r="DB21" s="245">
        <v>0</v>
      </c>
      <c r="DC21" s="245">
        <v>0</v>
      </c>
      <c r="DD21" s="245">
        <v>0</v>
      </c>
      <c r="DE21" s="245">
        <v>0</v>
      </c>
      <c r="DF21" s="720">
        <v>0</v>
      </c>
      <c r="DG21" s="245">
        <v>0</v>
      </c>
      <c r="DH21" s="245"/>
      <c r="DI21" s="735">
        <f t="shared" si="32"/>
        <v>40812200</v>
      </c>
      <c r="DJ21" s="722">
        <f t="shared" si="9"/>
        <v>40812200</v>
      </c>
      <c r="DK21" s="721">
        <f t="shared" si="10"/>
        <v>26654200</v>
      </c>
      <c r="DL21" s="245">
        <f t="shared" si="17"/>
        <v>40812200</v>
      </c>
      <c r="DM21" s="245">
        <f t="shared" si="18"/>
        <v>26654200</v>
      </c>
      <c r="DN21" s="719">
        <v>19259333</v>
      </c>
      <c r="DO21" s="719">
        <v>4400933</v>
      </c>
      <c r="DP21" s="720">
        <v>4400933</v>
      </c>
      <c r="DQ21" s="237">
        <v>9567600</v>
      </c>
      <c r="DR21" s="237">
        <v>3124333</v>
      </c>
      <c r="DS21" s="237">
        <v>5290800</v>
      </c>
      <c r="DT21" s="237">
        <v>2034267</v>
      </c>
      <c r="DU21" s="237">
        <v>0</v>
      </c>
      <c r="DV21" s="237"/>
      <c r="DW21" s="237">
        <v>0</v>
      </c>
      <c r="DX21" s="237"/>
      <c r="DY21" s="237">
        <v>0</v>
      </c>
      <c r="DZ21" s="237"/>
      <c r="EA21" s="237">
        <v>0</v>
      </c>
      <c r="EB21" s="237"/>
      <c r="EC21" s="237">
        <v>0</v>
      </c>
      <c r="ED21" s="237"/>
      <c r="EE21" s="237"/>
      <c r="EF21" s="237"/>
      <c r="EG21" s="237"/>
      <c r="EH21" s="237"/>
      <c r="EI21" s="237"/>
      <c r="EJ21" s="237"/>
      <c r="EK21" s="237"/>
      <c r="EL21" s="237"/>
      <c r="EM21" s="237">
        <f t="shared" si="40"/>
        <v>19259333</v>
      </c>
      <c r="EN21" s="237">
        <f t="shared" si="36"/>
        <v>13968533</v>
      </c>
      <c r="EO21" s="237">
        <f t="shared" si="37"/>
        <v>9559533</v>
      </c>
      <c r="EP21" s="237">
        <f t="shared" si="33"/>
        <v>19259333</v>
      </c>
      <c r="EQ21" s="237">
        <f>EO21</f>
        <v>9559533</v>
      </c>
      <c r="ER21" s="692">
        <f t="shared" si="22"/>
        <v>0.38449138126559312</v>
      </c>
      <c r="ES21" s="698">
        <f t="shared" si="34"/>
        <v>0.68436198704617013</v>
      </c>
      <c r="ET21" s="694">
        <f>INVERSIÓN!EQ21/INVERSIÓN!EP21</f>
        <v>0.49635846682748569</v>
      </c>
      <c r="EU21" s="688">
        <f t="shared" si="16"/>
        <v>0.86131931306220599</v>
      </c>
      <c r="EV21" s="677">
        <f t="shared" si="35"/>
        <v>0.92241146801985141</v>
      </c>
      <c r="EW21" s="878"/>
      <c r="EX21" s="878"/>
      <c r="EY21" s="878"/>
      <c r="EZ21" s="878"/>
      <c r="FA21" s="878"/>
    </row>
    <row r="22" spans="1:208" s="213" customFormat="1" ht="39" customHeight="1" thickBot="1" x14ac:dyDescent="0.3">
      <c r="A22" s="951"/>
      <c r="B22" s="954"/>
      <c r="C22" s="957"/>
      <c r="D22" s="948"/>
      <c r="E22" s="962"/>
      <c r="F22" s="250" t="s">
        <v>43</v>
      </c>
      <c r="G22" s="750">
        <f>G17+G20</f>
        <v>99.995880799142412</v>
      </c>
      <c r="H22" s="738">
        <v>12.5</v>
      </c>
      <c r="I22" s="675"/>
      <c r="J22" s="675"/>
      <c r="K22" s="675">
        <f>+K17</f>
        <v>12.5</v>
      </c>
      <c r="L22" s="675"/>
      <c r="M22" s="675">
        <f t="shared" ref="M22:Z22" si="41">+M17</f>
        <v>12.5</v>
      </c>
      <c r="N22" s="675">
        <f t="shared" si="41"/>
        <v>2.5</v>
      </c>
      <c r="O22" s="675">
        <f t="shared" si="41"/>
        <v>12.5</v>
      </c>
      <c r="P22" s="675">
        <f t="shared" si="41"/>
        <v>5</v>
      </c>
      <c r="Q22" s="675">
        <f t="shared" si="41"/>
        <v>12.5</v>
      </c>
      <c r="R22" s="675">
        <f t="shared" si="41"/>
        <v>7.5</v>
      </c>
      <c r="S22" s="675">
        <f t="shared" si="41"/>
        <v>12.5</v>
      </c>
      <c r="T22" s="675">
        <f t="shared" si="41"/>
        <v>9.9</v>
      </c>
      <c r="U22" s="675">
        <f t="shared" si="41"/>
        <v>12.5</v>
      </c>
      <c r="V22" s="675">
        <f t="shared" si="41"/>
        <v>11.78</v>
      </c>
      <c r="W22" s="739">
        <f t="shared" si="41"/>
        <v>12.5</v>
      </c>
      <c r="X22" s="739">
        <f t="shared" si="41"/>
        <v>12.5</v>
      </c>
      <c r="Y22" s="739">
        <f t="shared" si="41"/>
        <v>11.8</v>
      </c>
      <c r="Z22" s="675">
        <f t="shared" si="41"/>
        <v>12.5</v>
      </c>
      <c r="AA22" s="472">
        <f>AA17+AA20</f>
        <v>11.78</v>
      </c>
      <c r="AB22" s="472">
        <f t="shared" ref="AB22:CJ22" si="42">AB17+AB20</f>
        <v>25.72</v>
      </c>
      <c r="AC22" s="472">
        <f t="shared" si="42"/>
        <v>2.08</v>
      </c>
      <c r="AD22" s="472">
        <f t="shared" si="42"/>
        <v>0</v>
      </c>
      <c r="AE22" s="472">
        <f t="shared" si="42"/>
        <v>2.8</v>
      </c>
      <c r="AF22" s="472">
        <f t="shared" si="42"/>
        <v>4.88</v>
      </c>
      <c r="AG22" s="472">
        <f t="shared" si="42"/>
        <v>2.08</v>
      </c>
      <c r="AH22" s="472">
        <f t="shared" si="42"/>
        <v>2.08</v>
      </c>
      <c r="AI22" s="472">
        <f t="shared" si="42"/>
        <v>2.08</v>
      </c>
      <c r="AJ22" s="472">
        <f t="shared" si="42"/>
        <v>1.36</v>
      </c>
      <c r="AK22" s="472">
        <f t="shared" si="42"/>
        <v>2.0840000000000001</v>
      </c>
      <c r="AL22" s="472">
        <f t="shared" si="42"/>
        <v>1.3</v>
      </c>
      <c r="AM22" s="472">
        <f t="shared" si="42"/>
        <v>2.08</v>
      </c>
      <c r="AN22" s="472">
        <f t="shared" si="42"/>
        <v>2.5</v>
      </c>
      <c r="AO22" s="472">
        <f t="shared" si="42"/>
        <v>2.08</v>
      </c>
      <c r="AP22" s="472">
        <f t="shared" si="42"/>
        <v>1.73</v>
      </c>
      <c r="AQ22" s="472">
        <f t="shared" si="42"/>
        <v>2.08</v>
      </c>
      <c r="AR22" s="472">
        <f t="shared" si="42"/>
        <v>2.14</v>
      </c>
      <c r="AS22" s="472">
        <f t="shared" si="42"/>
        <v>2.08</v>
      </c>
      <c r="AT22" s="472">
        <f t="shared" si="42"/>
        <v>1.78</v>
      </c>
      <c r="AU22" s="472">
        <f t="shared" si="42"/>
        <v>2.08</v>
      </c>
      <c r="AV22" s="472">
        <f t="shared" si="42"/>
        <v>2.4765306122448969</v>
      </c>
      <c r="AW22" s="472">
        <f t="shared" si="42"/>
        <v>2.08</v>
      </c>
      <c r="AX22" s="472">
        <f t="shared" si="42"/>
        <v>2.69</v>
      </c>
      <c r="AY22" s="472">
        <f t="shared" si="42"/>
        <v>2.12</v>
      </c>
      <c r="AZ22" s="472">
        <f t="shared" si="42"/>
        <v>2.6</v>
      </c>
      <c r="BA22" s="472">
        <f t="shared" si="42"/>
        <v>25.723999999999993</v>
      </c>
      <c r="BB22" s="472">
        <f t="shared" si="42"/>
        <v>25.723999999999993</v>
      </c>
      <c r="BC22" s="472">
        <f t="shared" si="42"/>
        <v>25.536530612244899</v>
      </c>
      <c r="BD22" s="472">
        <f t="shared" si="42"/>
        <v>25.723999999999993</v>
      </c>
      <c r="BE22" s="472">
        <f t="shared" si="42"/>
        <v>25.536530612244899</v>
      </c>
      <c r="BF22" s="472">
        <f t="shared" si="42"/>
        <v>25.18</v>
      </c>
      <c r="BG22" s="472">
        <f t="shared" si="42"/>
        <v>0.18</v>
      </c>
      <c r="BH22" s="472">
        <f t="shared" si="42"/>
        <v>0.18</v>
      </c>
      <c r="BI22" s="472">
        <f t="shared" si="42"/>
        <v>2.4</v>
      </c>
      <c r="BJ22" s="472">
        <f t="shared" si="42"/>
        <v>1.96</v>
      </c>
      <c r="BK22" s="472">
        <f t="shared" si="42"/>
        <v>2.4</v>
      </c>
      <c r="BL22" s="472">
        <f t="shared" si="42"/>
        <v>2.76</v>
      </c>
      <c r="BM22" s="472">
        <f t="shared" si="42"/>
        <v>2.4</v>
      </c>
      <c r="BN22" s="472">
        <f t="shared" si="42"/>
        <v>2.48</v>
      </c>
      <c r="BO22" s="472">
        <f t="shared" si="42"/>
        <v>2.4</v>
      </c>
      <c r="BP22" s="472">
        <f t="shared" si="42"/>
        <v>2.4</v>
      </c>
      <c r="BQ22" s="472">
        <f t="shared" si="42"/>
        <v>2.4</v>
      </c>
      <c r="BR22" s="472">
        <f t="shared" si="42"/>
        <v>2.4</v>
      </c>
      <c r="BS22" s="472">
        <f t="shared" si="42"/>
        <v>2.4</v>
      </c>
      <c r="BT22" s="472">
        <f t="shared" si="42"/>
        <v>2.4</v>
      </c>
      <c r="BU22" s="472">
        <f t="shared" si="42"/>
        <v>2.4</v>
      </c>
      <c r="BV22" s="472">
        <f t="shared" si="42"/>
        <v>0.27692307692307688</v>
      </c>
      <c r="BW22" s="472">
        <f t="shared" si="42"/>
        <v>2.4</v>
      </c>
      <c r="BX22" s="472">
        <f t="shared" si="42"/>
        <v>1.9634271099744245</v>
      </c>
      <c r="BY22" s="472">
        <f t="shared" si="42"/>
        <v>2.4</v>
      </c>
      <c r="BZ22" s="472">
        <f t="shared" si="42"/>
        <v>2.4</v>
      </c>
      <c r="CA22" s="472">
        <f t="shared" si="42"/>
        <v>2.4</v>
      </c>
      <c r="CB22" s="472">
        <f t="shared" si="42"/>
        <v>3</v>
      </c>
      <c r="CC22" s="472">
        <f t="shared" si="42"/>
        <v>1</v>
      </c>
      <c r="CD22" s="472">
        <f t="shared" si="42"/>
        <v>2.4889999999999999</v>
      </c>
      <c r="CE22" s="472">
        <f t="shared" si="42"/>
        <v>25.179999999999996</v>
      </c>
      <c r="CF22" s="472">
        <f t="shared" si="42"/>
        <v>25.179999999999996</v>
      </c>
      <c r="CG22" s="472">
        <f t="shared" si="42"/>
        <v>24.709350186897503</v>
      </c>
      <c r="CH22" s="472">
        <f t="shared" si="42"/>
        <v>25.179999999999996</v>
      </c>
      <c r="CI22" s="472">
        <f t="shared" si="42"/>
        <v>24.709350186897503</v>
      </c>
      <c r="CJ22" s="472">
        <f t="shared" si="42"/>
        <v>25.47</v>
      </c>
      <c r="CK22" s="472">
        <f>CK17+CK20</f>
        <v>0.16</v>
      </c>
      <c r="CL22" s="472">
        <f t="shared" ref="CL22:DH22" si="43">CL17+CL20</f>
        <v>0.16</v>
      </c>
      <c r="CM22" s="472">
        <f t="shared" si="43"/>
        <v>0.23</v>
      </c>
      <c r="CN22" s="472">
        <f t="shared" si="43"/>
        <v>0.23</v>
      </c>
      <c r="CO22" s="472">
        <f t="shared" si="43"/>
        <v>2.5</v>
      </c>
      <c r="CP22" s="472">
        <f t="shared" si="43"/>
        <v>1.34</v>
      </c>
      <c r="CQ22" s="472">
        <f t="shared" si="43"/>
        <v>2.5</v>
      </c>
      <c r="CR22" s="472">
        <f t="shared" si="43"/>
        <v>3.6</v>
      </c>
      <c r="CS22" s="530">
        <f t="shared" si="43"/>
        <v>2.5</v>
      </c>
      <c r="CT22" s="530">
        <f t="shared" si="43"/>
        <v>2.64</v>
      </c>
      <c r="CU22" s="551">
        <f t="shared" si="43"/>
        <v>2.5</v>
      </c>
      <c r="CV22" s="551">
        <f t="shared" si="43"/>
        <v>2.5</v>
      </c>
      <c r="CW22" s="472">
        <f t="shared" si="43"/>
        <v>2.5</v>
      </c>
      <c r="CX22" s="727">
        <f t="shared" si="43"/>
        <v>2.4900000000000002</v>
      </c>
      <c r="CY22" s="472">
        <f t="shared" si="43"/>
        <v>2.58</v>
      </c>
      <c r="CZ22" s="727">
        <f t="shared" si="43"/>
        <v>2.5</v>
      </c>
      <c r="DA22" s="472">
        <f t="shared" si="43"/>
        <v>2.5</v>
      </c>
      <c r="DB22" s="472">
        <f t="shared" si="43"/>
        <v>2.5099999999999998</v>
      </c>
      <c r="DC22" s="472">
        <f t="shared" si="43"/>
        <v>2.5</v>
      </c>
      <c r="DD22" s="472">
        <f t="shared" si="43"/>
        <v>2.5</v>
      </c>
      <c r="DE22" s="472">
        <f t="shared" si="43"/>
        <v>2.5</v>
      </c>
      <c r="DF22" s="727">
        <f t="shared" si="43"/>
        <v>2.5</v>
      </c>
      <c r="DG22" s="472">
        <f t="shared" si="43"/>
        <v>2.5</v>
      </c>
      <c r="DH22" s="472">
        <f t="shared" si="43"/>
        <v>2.5</v>
      </c>
      <c r="DI22" s="740">
        <f t="shared" si="32"/>
        <v>25.47</v>
      </c>
      <c r="DJ22" s="728">
        <f t="shared" si="9"/>
        <v>25.47</v>
      </c>
      <c r="DK22" s="729">
        <f t="shared" si="10"/>
        <v>25.47</v>
      </c>
      <c r="DL22" s="727">
        <f>DI22</f>
        <v>25.47</v>
      </c>
      <c r="DM22" s="727">
        <f>DK22</f>
        <v>25.47</v>
      </c>
      <c r="DN22" s="472">
        <f>DN17+DN20</f>
        <v>12.5</v>
      </c>
      <c r="DO22" s="727">
        <f t="shared" ref="DO22:DQ22" si="44">+DO17+DO20</f>
        <v>1.4</v>
      </c>
      <c r="DP22" s="727">
        <f t="shared" si="44"/>
        <v>1.4</v>
      </c>
      <c r="DQ22" s="727">
        <f t="shared" si="44"/>
        <v>2.7</v>
      </c>
      <c r="DR22" s="727">
        <v>2.7</v>
      </c>
      <c r="DS22" s="727">
        <v>2.7</v>
      </c>
      <c r="DT22" s="727">
        <v>2.7</v>
      </c>
      <c r="DU22" s="727">
        <f>+DU17+DU20</f>
        <v>2.7</v>
      </c>
      <c r="DV22" s="727"/>
      <c r="DW22" s="727">
        <f>+DW17+DW20</f>
        <v>3</v>
      </c>
      <c r="DX22" s="727"/>
      <c r="DY22" s="727">
        <f>+DY17+DY20</f>
        <v>0</v>
      </c>
      <c r="DZ22" s="727"/>
      <c r="EA22" s="727">
        <v>0</v>
      </c>
      <c r="EB22" s="727"/>
      <c r="EC22" s="727">
        <v>0</v>
      </c>
      <c r="ED22" s="727"/>
      <c r="EE22" s="727"/>
      <c r="EF22" s="727"/>
      <c r="EG22" s="727"/>
      <c r="EH22" s="727"/>
      <c r="EI22" s="727"/>
      <c r="EJ22" s="727"/>
      <c r="EK22" s="727"/>
      <c r="EL22" s="727"/>
      <c r="EM22" s="727">
        <f t="shared" si="40"/>
        <v>12.500000000000002</v>
      </c>
      <c r="EN22" s="727">
        <f t="shared" si="36"/>
        <v>4.0999999999999996</v>
      </c>
      <c r="EO22" s="727">
        <f t="shared" si="37"/>
        <v>6.8</v>
      </c>
      <c r="EP22" s="727">
        <f t="shared" si="33"/>
        <v>12.5</v>
      </c>
      <c r="EQ22" s="727">
        <f>EO22</f>
        <v>6.8</v>
      </c>
      <c r="ER22" s="696">
        <f t="shared" si="22"/>
        <v>1</v>
      </c>
      <c r="ES22" s="693">
        <f t="shared" si="34"/>
        <v>1.6585365853658538</v>
      </c>
      <c r="ET22" s="678">
        <f>INVERSIÓN!EQ22/INVERSIÓN!EP22</f>
        <v>0.54400000000000004</v>
      </c>
      <c r="EU22" s="690">
        <f t="shared" si="16"/>
        <v>1.014217746887758</v>
      </c>
      <c r="EV22" s="695">
        <f t="shared" si="35"/>
        <v>0.94299765195879048</v>
      </c>
      <c r="EW22" s="878"/>
      <c r="EX22" s="878"/>
      <c r="EY22" s="878"/>
      <c r="EZ22" s="878"/>
      <c r="FA22" s="878"/>
    </row>
    <row r="23" spans="1:208" s="212" customFormat="1" ht="39" customHeight="1" thickBot="1" x14ac:dyDescent="0.3">
      <c r="A23" s="952"/>
      <c r="B23" s="955"/>
      <c r="C23" s="958"/>
      <c r="D23" s="960"/>
      <c r="E23" s="963"/>
      <c r="F23" s="281" t="s">
        <v>45</v>
      </c>
      <c r="G23" s="752">
        <f>G18+G21</f>
        <v>1777874864</v>
      </c>
      <c r="H23" s="484">
        <f t="shared" ref="H23:BS23" si="45">H18+H21</f>
        <v>200000000</v>
      </c>
      <c r="I23" s="484">
        <f t="shared" si="45"/>
        <v>0</v>
      </c>
      <c r="J23" s="484">
        <f t="shared" si="45"/>
        <v>0</v>
      </c>
      <c r="K23" s="484">
        <f t="shared" si="45"/>
        <v>200000000</v>
      </c>
      <c r="L23" s="484">
        <f t="shared" si="45"/>
        <v>0</v>
      </c>
      <c r="M23" s="484">
        <f t="shared" si="45"/>
        <v>200000000</v>
      </c>
      <c r="N23" s="484">
        <f t="shared" si="45"/>
        <v>114652000</v>
      </c>
      <c r="O23" s="484">
        <f t="shared" si="45"/>
        <v>200000000</v>
      </c>
      <c r="P23" s="484">
        <f t="shared" si="45"/>
        <v>143692000</v>
      </c>
      <c r="Q23" s="484">
        <f t="shared" si="45"/>
        <v>200000000</v>
      </c>
      <c r="R23" s="484">
        <f t="shared" si="45"/>
        <v>143692000</v>
      </c>
      <c r="S23" s="484">
        <f t="shared" si="45"/>
        <v>200000000</v>
      </c>
      <c r="T23" s="484">
        <f t="shared" si="45"/>
        <v>143692000</v>
      </c>
      <c r="U23" s="484">
        <f t="shared" si="45"/>
        <v>200000000</v>
      </c>
      <c r="V23" s="484">
        <f t="shared" si="45"/>
        <v>198796000</v>
      </c>
      <c r="W23" s="484">
        <f t="shared" si="45"/>
        <v>200000000</v>
      </c>
      <c r="X23" s="484">
        <f t="shared" si="45"/>
        <v>200000000</v>
      </c>
      <c r="Y23" s="484">
        <f t="shared" si="45"/>
        <v>198796000</v>
      </c>
      <c r="Z23" s="484">
        <f t="shared" si="45"/>
        <v>200000000</v>
      </c>
      <c r="AA23" s="484">
        <f t="shared" si="45"/>
        <v>198796000</v>
      </c>
      <c r="AB23" s="484">
        <f t="shared" si="45"/>
        <v>317275833</v>
      </c>
      <c r="AC23" s="484">
        <f t="shared" si="45"/>
        <v>6836000</v>
      </c>
      <c r="AD23" s="484">
        <f t="shared" si="45"/>
        <v>6836000</v>
      </c>
      <c r="AE23" s="484">
        <f t="shared" si="45"/>
        <v>100821534</v>
      </c>
      <c r="AF23" s="484">
        <f t="shared" si="45"/>
        <v>100821534</v>
      </c>
      <c r="AG23" s="484">
        <f t="shared" si="45"/>
        <v>207011966</v>
      </c>
      <c r="AH23" s="484">
        <f t="shared" si="45"/>
        <v>207011966</v>
      </c>
      <c r="AI23" s="484">
        <f t="shared" si="45"/>
        <v>1184333</v>
      </c>
      <c r="AJ23" s="484">
        <f t="shared" si="45"/>
        <v>1184333</v>
      </c>
      <c r="AK23" s="484">
        <f t="shared" si="45"/>
        <v>0</v>
      </c>
      <c r="AL23" s="484">
        <f t="shared" si="45"/>
        <v>0</v>
      </c>
      <c r="AM23" s="484">
        <f t="shared" si="45"/>
        <v>0</v>
      </c>
      <c r="AN23" s="484">
        <f t="shared" si="45"/>
        <v>0</v>
      </c>
      <c r="AO23" s="484">
        <f t="shared" si="45"/>
        <v>0</v>
      </c>
      <c r="AP23" s="484">
        <f t="shared" si="45"/>
        <v>0</v>
      </c>
      <c r="AQ23" s="484">
        <f t="shared" si="45"/>
        <v>0</v>
      </c>
      <c r="AR23" s="484">
        <f t="shared" si="45"/>
        <v>0</v>
      </c>
      <c r="AS23" s="484">
        <f t="shared" si="45"/>
        <v>0</v>
      </c>
      <c r="AT23" s="484">
        <f t="shared" si="45"/>
        <v>0</v>
      </c>
      <c r="AU23" s="484">
        <f t="shared" si="45"/>
        <v>0</v>
      </c>
      <c r="AV23" s="484">
        <f t="shared" si="45"/>
        <v>0</v>
      </c>
      <c r="AW23" s="484">
        <f t="shared" si="45"/>
        <v>32353269</v>
      </c>
      <c r="AX23" s="484">
        <f t="shared" si="45"/>
        <v>29912733</v>
      </c>
      <c r="AY23" s="484">
        <f t="shared" si="45"/>
        <v>0</v>
      </c>
      <c r="AZ23" s="484">
        <f t="shared" si="45"/>
        <v>2440533</v>
      </c>
      <c r="BA23" s="484">
        <f t="shared" si="45"/>
        <v>348207102</v>
      </c>
      <c r="BB23" s="484">
        <f t="shared" si="45"/>
        <v>348207102</v>
      </c>
      <c r="BC23" s="484">
        <f t="shared" si="45"/>
        <v>348207099</v>
      </c>
      <c r="BD23" s="484">
        <f t="shared" si="45"/>
        <v>348207102</v>
      </c>
      <c r="BE23" s="484">
        <f t="shared" si="45"/>
        <v>348207099</v>
      </c>
      <c r="BF23" s="484">
        <f t="shared" si="45"/>
        <v>431761532</v>
      </c>
      <c r="BG23" s="484">
        <f t="shared" si="45"/>
        <v>395446532</v>
      </c>
      <c r="BH23" s="484">
        <f t="shared" si="45"/>
        <v>395446532</v>
      </c>
      <c r="BI23" s="484">
        <f t="shared" si="45"/>
        <v>0</v>
      </c>
      <c r="BJ23" s="484">
        <f t="shared" si="45"/>
        <v>0</v>
      </c>
      <c r="BK23" s="484">
        <f t="shared" si="45"/>
        <v>0</v>
      </c>
      <c r="BL23" s="484">
        <f t="shared" si="45"/>
        <v>0</v>
      </c>
      <c r="BM23" s="484">
        <f t="shared" si="45"/>
        <v>0</v>
      </c>
      <c r="BN23" s="484">
        <f t="shared" si="45"/>
        <v>0</v>
      </c>
      <c r="BO23" s="484">
        <f t="shared" si="45"/>
        <v>0</v>
      </c>
      <c r="BP23" s="484">
        <f t="shared" si="45"/>
        <v>0</v>
      </c>
      <c r="BQ23" s="484">
        <f t="shared" si="45"/>
        <v>0</v>
      </c>
      <c r="BR23" s="484">
        <f t="shared" si="45"/>
        <v>0</v>
      </c>
      <c r="BS23" s="484">
        <f t="shared" si="45"/>
        <v>0</v>
      </c>
      <c r="BT23" s="484">
        <f t="shared" ref="BT23:DM23" si="46">BT18+BT21</f>
        <v>0</v>
      </c>
      <c r="BU23" s="484">
        <f t="shared" si="46"/>
        <v>0</v>
      </c>
      <c r="BV23" s="484">
        <f t="shared" si="46"/>
        <v>2571800</v>
      </c>
      <c r="BW23" s="484">
        <f t="shared" si="46"/>
        <v>0</v>
      </c>
      <c r="BX23" s="484">
        <f t="shared" si="46"/>
        <v>0</v>
      </c>
      <c r="BY23" s="484">
        <f t="shared" si="46"/>
        <v>19497000</v>
      </c>
      <c r="BZ23" s="484">
        <f t="shared" si="46"/>
        <v>13752000</v>
      </c>
      <c r="CA23" s="484">
        <f t="shared" si="46"/>
        <v>10159500</v>
      </c>
      <c r="CB23" s="484">
        <f t="shared" si="46"/>
        <v>11345400</v>
      </c>
      <c r="CC23" s="484">
        <f t="shared" si="46"/>
        <v>12104500</v>
      </c>
      <c r="CD23" s="484">
        <f t="shared" si="46"/>
        <v>12104500</v>
      </c>
      <c r="CE23" s="484">
        <f t="shared" si="46"/>
        <v>437207532</v>
      </c>
      <c r="CF23" s="484">
        <f t="shared" si="46"/>
        <v>437207532</v>
      </c>
      <c r="CG23" s="484">
        <f t="shared" si="46"/>
        <v>435220232</v>
      </c>
      <c r="CH23" s="484">
        <f t="shared" si="46"/>
        <v>437207532</v>
      </c>
      <c r="CI23" s="484">
        <f t="shared" si="46"/>
        <v>435220232</v>
      </c>
      <c r="CJ23" s="484">
        <f t="shared" si="46"/>
        <v>376178200</v>
      </c>
      <c r="CK23" s="484">
        <f t="shared" si="46"/>
        <v>12973900</v>
      </c>
      <c r="CL23" s="484">
        <f t="shared" si="46"/>
        <v>12973900</v>
      </c>
      <c r="CM23" s="484">
        <f t="shared" si="46"/>
        <v>183392600</v>
      </c>
      <c r="CN23" s="484">
        <f t="shared" si="46"/>
        <v>183392600</v>
      </c>
      <c r="CO23" s="484">
        <f t="shared" si="46"/>
        <v>136370700</v>
      </c>
      <c r="CP23" s="484">
        <f t="shared" si="46"/>
        <v>136370700</v>
      </c>
      <c r="CQ23" s="484">
        <f t="shared" si="46"/>
        <v>22045000</v>
      </c>
      <c r="CR23" s="484">
        <f t="shared" si="46"/>
        <v>0</v>
      </c>
      <c r="CS23" s="536">
        <f t="shared" si="46"/>
        <v>0</v>
      </c>
      <c r="CT23" s="536">
        <f t="shared" si="46"/>
        <v>0</v>
      </c>
      <c r="CU23" s="537">
        <f>CU18+CU21</f>
        <v>0</v>
      </c>
      <c r="CV23" s="537">
        <f>CV18+CV21</f>
        <v>22045000</v>
      </c>
      <c r="CW23" s="484">
        <f t="shared" si="46"/>
        <v>0</v>
      </c>
      <c r="CX23" s="484">
        <f t="shared" si="46"/>
        <v>0</v>
      </c>
      <c r="CY23" s="484">
        <f t="shared" si="46"/>
        <v>14158000</v>
      </c>
      <c r="CZ23" s="484">
        <f t="shared" si="46"/>
        <v>0</v>
      </c>
      <c r="DA23" s="484">
        <f t="shared" si="46"/>
        <v>0</v>
      </c>
      <c r="DB23" s="484">
        <f t="shared" si="46"/>
        <v>0</v>
      </c>
      <c r="DC23" s="484">
        <f t="shared" si="46"/>
        <v>0</v>
      </c>
      <c r="DD23" s="484">
        <f t="shared" si="46"/>
        <v>0</v>
      </c>
      <c r="DE23" s="484">
        <f t="shared" si="46"/>
        <v>2774000</v>
      </c>
      <c r="DF23" s="484">
        <f t="shared" si="46"/>
        <v>2774000</v>
      </c>
      <c r="DG23" s="484">
        <f>DG18+DG21</f>
        <v>0</v>
      </c>
      <c r="DH23" s="573">
        <f t="shared" si="46"/>
        <v>0</v>
      </c>
      <c r="DI23" s="484">
        <f>DI18+DI21</f>
        <v>371714200</v>
      </c>
      <c r="DJ23" s="711">
        <f t="shared" si="9"/>
        <v>371714200</v>
      </c>
      <c r="DK23" s="712">
        <f t="shared" si="10"/>
        <v>357556200</v>
      </c>
      <c r="DL23" s="485">
        <f t="shared" si="46"/>
        <v>371714200</v>
      </c>
      <c r="DM23" s="485">
        <f t="shared" si="46"/>
        <v>357556200</v>
      </c>
      <c r="DN23" s="485">
        <f>DN18+DN21</f>
        <v>438095333</v>
      </c>
      <c r="DO23" s="485">
        <f t="shared" ref="DO23:DQ23" si="47">DO18+DO21</f>
        <v>4400933</v>
      </c>
      <c r="DP23" s="485">
        <f>DP18+DP21</f>
        <v>4400933</v>
      </c>
      <c r="DQ23" s="485">
        <f t="shared" si="47"/>
        <v>121662600</v>
      </c>
      <c r="DR23" s="485">
        <f>DR18+DR21</f>
        <v>62154333</v>
      </c>
      <c r="DS23" s="485">
        <f t="shared" ref="DS23:EQ23" si="48">DS18+DS21</f>
        <v>5290800</v>
      </c>
      <c r="DT23" s="485">
        <f t="shared" si="48"/>
        <v>15306267</v>
      </c>
      <c r="DU23" s="485">
        <f t="shared" si="48"/>
        <v>0</v>
      </c>
      <c r="DV23" s="485">
        <f t="shared" si="48"/>
        <v>0</v>
      </c>
      <c r="DW23" s="485">
        <f t="shared" si="48"/>
        <v>0</v>
      </c>
      <c r="DX23" s="485">
        <f t="shared" si="48"/>
        <v>0</v>
      </c>
      <c r="DY23" s="485">
        <f t="shared" si="48"/>
        <v>0</v>
      </c>
      <c r="DZ23" s="485">
        <f t="shared" si="48"/>
        <v>0</v>
      </c>
      <c r="EA23" s="485">
        <f t="shared" si="48"/>
        <v>306741000</v>
      </c>
      <c r="EB23" s="485">
        <f t="shared" si="48"/>
        <v>0</v>
      </c>
      <c r="EC23" s="485">
        <f t="shared" si="48"/>
        <v>0</v>
      </c>
      <c r="ED23" s="485">
        <f t="shared" si="48"/>
        <v>0</v>
      </c>
      <c r="EE23" s="485">
        <f t="shared" si="48"/>
        <v>0</v>
      </c>
      <c r="EF23" s="485">
        <f t="shared" si="48"/>
        <v>0</v>
      </c>
      <c r="EG23" s="485">
        <f t="shared" si="48"/>
        <v>0</v>
      </c>
      <c r="EH23" s="485">
        <f t="shared" si="48"/>
        <v>0</v>
      </c>
      <c r="EI23" s="485">
        <f t="shared" si="48"/>
        <v>0</v>
      </c>
      <c r="EJ23" s="485">
        <f t="shared" si="48"/>
        <v>0</v>
      </c>
      <c r="EK23" s="485">
        <f t="shared" si="48"/>
        <v>0</v>
      </c>
      <c r="EL23" s="485">
        <f t="shared" si="48"/>
        <v>0</v>
      </c>
      <c r="EM23" s="485">
        <f t="shared" si="48"/>
        <v>438095333</v>
      </c>
      <c r="EN23" s="485">
        <f t="shared" si="48"/>
        <v>126063533</v>
      </c>
      <c r="EO23" s="485">
        <f t="shared" si="48"/>
        <v>81861533</v>
      </c>
      <c r="EP23" s="485">
        <f t="shared" si="48"/>
        <v>438095333</v>
      </c>
      <c r="EQ23" s="485">
        <f t="shared" si="48"/>
        <v>81861533</v>
      </c>
      <c r="ER23" s="682">
        <f t="shared" si="22"/>
        <v>2.8929967112723975</v>
      </c>
      <c r="ES23" s="685">
        <f t="shared" si="34"/>
        <v>0.64936727578466324</v>
      </c>
      <c r="ET23" s="684">
        <f>INVERSIÓN!EQ23/INVERSIÓN!EP23</f>
        <v>0.18685780658612952</v>
      </c>
      <c r="EU23" s="679">
        <f t="shared" si="16"/>
        <v>0.95850079573663283</v>
      </c>
      <c r="EV23" s="683">
        <f t="shared" si="35"/>
        <v>0.79962942993720165</v>
      </c>
      <c r="EW23" s="906"/>
      <c r="EX23" s="900"/>
      <c r="EY23" s="900"/>
      <c r="EZ23" s="900"/>
      <c r="FA23" s="900"/>
    </row>
    <row r="24" spans="1:208" s="227" customFormat="1" ht="37.5" customHeight="1" x14ac:dyDescent="0.25">
      <c r="A24" s="971" t="s">
        <v>380</v>
      </c>
      <c r="B24" s="973">
        <v>3</v>
      </c>
      <c r="C24" s="964" t="s">
        <v>381</v>
      </c>
      <c r="D24" s="947" t="s">
        <v>379</v>
      </c>
      <c r="E24" s="947">
        <v>290</v>
      </c>
      <c r="F24" s="475" t="s">
        <v>41</v>
      </c>
      <c r="G24" s="751">
        <f>AA24+BE24+CI24+DM24+EP24</f>
        <v>47</v>
      </c>
      <c r="H24" s="731">
        <v>7</v>
      </c>
      <c r="I24" s="741"/>
      <c r="J24" s="741"/>
      <c r="K24" s="741">
        <v>7</v>
      </c>
      <c r="L24" s="741">
        <v>0</v>
      </c>
      <c r="M24" s="741">
        <v>7</v>
      </c>
      <c r="N24" s="741">
        <v>7</v>
      </c>
      <c r="O24" s="741">
        <v>7</v>
      </c>
      <c r="P24" s="741">
        <v>7</v>
      </c>
      <c r="Q24" s="741">
        <v>7</v>
      </c>
      <c r="R24" s="741">
        <v>7</v>
      </c>
      <c r="S24" s="741">
        <v>7</v>
      </c>
      <c r="T24" s="742">
        <v>7</v>
      </c>
      <c r="U24" s="706">
        <v>7</v>
      </c>
      <c r="V24" s="706">
        <v>7</v>
      </c>
      <c r="W24" s="742">
        <f>K24</f>
        <v>7</v>
      </c>
      <c r="X24" s="742">
        <f>U24</f>
        <v>7</v>
      </c>
      <c r="Y24" s="742">
        <f>V24</f>
        <v>7</v>
      </c>
      <c r="Z24" s="706">
        <v>7</v>
      </c>
      <c r="AA24" s="706">
        <v>7</v>
      </c>
      <c r="AB24" s="731">
        <v>13</v>
      </c>
      <c r="AC24" s="706">
        <v>6</v>
      </c>
      <c r="AD24" s="706">
        <v>6</v>
      </c>
      <c r="AE24" s="706">
        <v>0</v>
      </c>
      <c r="AF24" s="706">
        <v>0</v>
      </c>
      <c r="AG24" s="706">
        <v>1</v>
      </c>
      <c r="AH24" s="706">
        <v>1</v>
      </c>
      <c r="AI24" s="706">
        <v>1</v>
      </c>
      <c r="AJ24" s="706">
        <v>1</v>
      </c>
      <c r="AK24" s="706">
        <v>3</v>
      </c>
      <c r="AL24" s="706">
        <v>3</v>
      </c>
      <c r="AM24" s="706">
        <v>0</v>
      </c>
      <c r="AN24" s="706">
        <v>0</v>
      </c>
      <c r="AO24" s="706">
        <v>1</v>
      </c>
      <c r="AP24" s="706">
        <v>1</v>
      </c>
      <c r="AQ24" s="706">
        <v>0</v>
      </c>
      <c r="AR24" s="706"/>
      <c r="AS24" s="706">
        <v>0</v>
      </c>
      <c r="AT24" s="706"/>
      <c r="AU24" s="706">
        <v>0</v>
      </c>
      <c r="AV24" s="706">
        <v>0</v>
      </c>
      <c r="AW24" s="706">
        <v>1</v>
      </c>
      <c r="AX24" s="706">
        <v>1</v>
      </c>
      <c r="AY24" s="706">
        <v>0</v>
      </c>
      <c r="AZ24" s="706">
        <v>0</v>
      </c>
      <c r="BA24" s="732">
        <f>AC24+AE24+AG24+AI24+AK24+AM24+AO24+AQ24+AS24+AU24+AW24+AY24</f>
        <v>13</v>
      </c>
      <c r="BB24" s="732">
        <f>AC24+AE24+AG24+AI24+AK24+AM24+AO24+AQ24+AS24+AU24+AW24+AY24</f>
        <v>13</v>
      </c>
      <c r="BC24" s="732">
        <f t="shared" si="3"/>
        <v>13</v>
      </c>
      <c r="BD24" s="732">
        <f t="shared" si="4"/>
        <v>13</v>
      </c>
      <c r="BE24" s="732">
        <f t="shared" si="5"/>
        <v>13</v>
      </c>
      <c r="BF24" s="731">
        <v>7</v>
      </c>
      <c r="BG24" s="732">
        <v>0</v>
      </c>
      <c r="BH24" s="732">
        <v>0</v>
      </c>
      <c r="BI24" s="732">
        <v>1</v>
      </c>
      <c r="BJ24" s="474">
        <v>6</v>
      </c>
      <c r="BK24" s="732">
        <v>1</v>
      </c>
      <c r="BL24" s="732">
        <v>0</v>
      </c>
      <c r="BM24" s="732">
        <v>2</v>
      </c>
      <c r="BN24" s="732">
        <v>1</v>
      </c>
      <c r="BO24" s="732">
        <v>1</v>
      </c>
      <c r="BP24" s="732">
        <v>0</v>
      </c>
      <c r="BQ24" s="732">
        <v>1</v>
      </c>
      <c r="BR24" s="732">
        <v>0</v>
      </c>
      <c r="BS24" s="732">
        <v>0</v>
      </c>
      <c r="BT24" s="732">
        <v>0</v>
      </c>
      <c r="BU24" s="732">
        <v>1</v>
      </c>
      <c r="BV24" s="732">
        <v>0</v>
      </c>
      <c r="BW24" s="732">
        <v>0</v>
      </c>
      <c r="BX24" s="732">
        <v>0</v>
      </c>
      <c r="BY24" s="732">
        <v>0</v>
      </c>
      <c r="BZ24" s="732">
        <v>0</v>
      </c>
      <c r="CA24" s="680">
        <v>3</v>
      </c>
      <c r="CB24" s="732">
        <v>3</v>
      </c>
      <c r="CC24" s="732">
        <v>0</v>
      </c>
      <c r="CD24" s="732">
        <v>0</v>
      </c>
      <c r="CE24" s="732">
        <f t="shared" si="6"/>
        <v>10</v>
      </c>
      <c r="CF24" s="743">
        <f t="shared" si="7"/>
        <v>10</v>
      </c>
      <c r="CG24" s="732">
        <f t="shared" si="7"/>
        <v>10</v>
      </c>
      <c r="CH24" s="732">
        <f t="shared" si="8"/>
        <v>10</v>
      </c>
      <c r="CI24" s="732">
        <f t="shared" si="8"/>
        <v>10</v>
      </c>
      <c r="CJ24" s="731">
        <v>12</v>
      </c>
      <c r="CK24" s="732">
        <v>0</v>
      </c>
      <c r="CL24" s="732">
        <v>0</v>
      </c>
      <c r="CM24" s="732">
        <v>5</v>
      </c>
      <c r="CN24" s="732">
        <v>5</v>
      </c>
      <c r="CO24" s="732">
        <v>6</v>
      </c>
      <c r="CP24" s="732">
        <v>6</v>
      </c>
      <c r="CQ24" s="732">
        <v>0</v>
      </c>
      <c r="CR24" s="732">
        <v>1</v>
      </c>
      <c r="CS24" s="732">
        <v>1</v>
      </c>
      <c r="CT24" s="732">
        <v>0</v>
      </c>
      <c r="CU24" s="736">
        <v>0</v>
      </c>
      <c r="CV24" s="736">
        <v>0</v>
      </c>
      <c r="CW24" s="732">
        <v>0</v>
      </c>
      <c r="CX24" s="732">
        <v>0</v>
      </c>
      <c r="CY24" s="732">
        <v>0</v>
      </c>
      <c r="CZ24" s="732">
        <v>0</v>
      </c>
      <c r="DA24" s="732">
        <v>0</v>
      </c>
      <c r="DB24" s="732">
        <v>0</v>
      </c>
      <c r="DC24" s="732"/>
      <c r="DD24" s="732">
        <v>0</v>
      </c>
      <c r="DE24" s="732">
        <v>0</v>
      </c>
      <c r="DF24" s="732">
        <v>0</v>
      </c>
      <c r="DG24" s="732">
        <v>0</v>
      </c>
      <c r="DH24" s="732">
        <v>0</v>
      </c>
      <c r="DI24" s="732">
        <f t="shared" si="21"/>
        <v>12</v>
      </c>
      <c r="DJ24" s="736">
        <f t="shared" si="9"/>
        <v>12</v>
      </c>
      <c r="DK24" s="737">
        <f t="shared" si="10"/>
        <v>12</v>
      </c>
      <c r="DL24" s="732">
        <f>DI24</f>
        <v>12</v>
      </c>
      <c r="DM24" s="732">
        <f t="shared" si="18"/>
        <v>12</v>
      </c>
      <c r="DN24" s="731">
        <v>5</v>
      </c>
      <c r="DO24" s="732">
        <v>5</v>
      </c>
      <c r="DP24" s="732">
        <v>5</v>
      </c>
      <c r="DQ24" s="732"/>
      <c r="DR24" s="732">
        <v>0</v>
      </c>
      <c r="DS24" s="732">
        <v>0</v>
      </c>
      <c r="DT24" s="732">
        <v>0</v>
      </c>
      <c r="DU24" s="732"/>
      <c r="DV24" s="732"/>
      <c r="DW24" s="732"/>
      <c r="DX24" s="732"/>
      <c r="DY24" s="732"/>
      <c r="DZ24" s="732"/>
      <c r="EA24" s="732"/>
      <c r="EB24" s="732"/>
      <c r="EC24" s="732"/>
      <c r="ED24" s="732"/>
      <c r="EE24" s="732"/>
      <c r="EF24" s="732"/>
      <c r="EG24" s="732"/>
      <c r="EH24" s="732"/>
      <c r="EI24" s="732"/>
      <c r="EJ24" s="732"/>
      <c r="EK24" s="732"/>
      <c r="EL24" s="732"/>
      <c r="EM24" s="732">
        <f t="shared" ref="EM24:EM29" si="49">EK24+EI24+EG24+EE24+EA24+DY24+DW24+DU24+DS24+DQ24+DO24</f>
        <v>5</v>
      </c>
      <c r="EN24" s="732">
        <f t="shared" ref="EN24:EN29" si="50">DO24+DQ24+DS24+DU24+DW24</f>
        <v>5</v>
      </c>
      <c r="EO24" s="732">
        <f t="shared" ref="EO24:EO29" si="51">DP24+DR24+DT24+DV24</f>
        <v>5</v>
      </c>
      <c r="EP24" s="732">
        <f t="shared" ref="EP24:EP29" si="52">DO24+DQ24+DS24+DU24+DW24+DY24</f>
        <v>5</v>
      </c>
      <c r="EQ24" s="732">
        <f t="shared" si="38"/>
        <v>5</v>
      </c>
      <c r="ER24" s="692">
        <f t="shared" si="22"/>
        <v>0</v>
      </c>
      <c r="ES24" s="698">
        <f t="shared" si="34"/>
        <v>1</v>
      </c>
      <c r="ET24" s="694">
        <f>INVERSIÓN!EQ24/INVERSIÓN!EP24</f>
        <v>1</v>
      </c>
      <c r="EU24" s="688">
        <f t="shared" si="16"/>
        <v>1</v>
      </c>
      <c r="EV24" s="677">
        <f t="shared" si="35"/>
        <v>1</v>
      </c>
      <c r="EW24" s="981" t="s">
        <v>705</v>
      </c>
      <c r="EX24" s="976" t="s">
        <v>549</v>
      </c>
      <c r="EY24" s="976" t="s">
        <v>549</v>
      </c>
      <c r="EZ24" s="976" t="s">
        <v>391</v>
      </c>
      <c r="FA24" s="978" t="s">
        <v>763</v>
      </c>
      <c r="FB24" s="256"/>
      <c r="FC24" s="256"/>
      <c r="FD24" s="256"/>
      <c r="FE24" s="256"/>
      <c r="FF24" s="256"/>
      <c r="FG24" s="256"/>
      <c r="FH24" s="256"/>
      <c r="FI24" s="256"/>
      <c r="FJ24" s="256"/>
      <c r="FK24" s="256"/>
      <c r="FL24" s="256"/>
      <c r="FM24" s="256"/>
      <c r="FN24" s="256"/>
      <c r="FO24" s="256"/>
      <c r="FP24" s="256"/>
      <c r="FQ24" s="256"/>
      <c r="FR24" s="256"/>
      <c r="FS24" s="256"/>
      <c r="FT24" s="256"/>
      <c r="FU24" s="256"/>
      <c r="FV24" s="256"/>
      <c r="FW24" s="256"/>
      <c r="FX24" s="256"/>
      <c r="FY24" s="256"/>
      <c r="FZ24" s="256"/>
      <c r="GA24" s="256"/>
      <c r="GB24" s="256"/>
      <c r="GC24" s="256"/>
      <c r="GD24" s="256"/>
      <c r="GE24" s="256"/>
      <c r="GF24" s="256"/>
      <c r="GG24" s="256"/>
      <c r="GH24" s="256"/>
      <c r="GI24" s="256"/>
      <c r="GJ24" s="256"/>
      <c r="GK24" s="256"/>
      <c r="GL24" s="256"/>
      <c r="GM24" s="256"/>
      <c r="GN24" s="256"/>
      <c r="GO24" s="256"/>
      <c r="GP24" s="256"/>
      <c r="GQ24" s="256"/>
      <c r="GR24" s="256"/>
      <c r="GS24" s="256"/>
      <c r="GT24" s="256"/>
      <c r="GU24" s="256"/>
      <c r="GV24" s="256"/>
      <c r="GW24" s="256"/>
      <c r="GX24" s="256"/>
      <c r="GY24" s="256"/>
      <c r="GZ24" s="256"/>
    </row>
    <row r="25" spans="1:208" s="223" customFormat="1" ht="39" customHeight="1" x14ac:dyDescent="0.25">
      <c r="A25" s="971"/>
      <c r="B25" s="974"/>
      <c r="C25" s="965"/>
      <c r="D25" s="948"/>
      <c r="E25" s="948"/>
      <c r="F25" s="275" t="s">
        <v>3</v>
      </c>
      <c r="G25" s="245">
        <f>AA25+BE25+CI25+DM25+EP25</f>
        <v>1433965938</v>
      </c>
      <c r="H25" s="245">
        <v>171232872</v>
      </c>
      <c r="I25" s="245"/>
      <c r="J25" s="245"/>
      <c r="K25" s="245">
        <v>171232872</v>
      </c>
      <c r="L25" s="245">
        <v>0</v>
      </c>
      <c r="M25" s="245">
        <v>171232872</v>
      </c>
      <c r="N25" s="245">
        <v>94940000</v>
      </c>
      <c r="O25" s="245">
        <v>171232872</v>
      </c>
      <c r="P25" s="245">
        <v>94940000</v>
      </c>
      <c r="Q25" s="245">
        <v>171232872</v>
      </c>
      <c r="R25" s="245">
        <v>94940000</v>
      </c>
      <c r="S25" s="245">
        <v>171232872</v>
      </c>
      <c r="T25" s="245">
        <v>94940000</v>
      </c>
      <c r="U25" s="245">
        <v>171232872</v>
      </c>
      <c r="V25" s="245">
        <v>164967872</v>
      </c>
      <c r="W25" s="245">
        <f>K25</f>
        <v>171232872</v>
      </c>
      <c r="X25" s="245">
        <f t="shared" ref="X25:Y29" si="53">U25</f>
        <v>171232872</v>
      </c>
      <c r="Y25" s="245">
        <f t="shared" si="53"/>
        <v>164967872</v>
      </c>
      <c r="Z25" s="245">
        <v>171232872</v>
      </c>
      <c r="AA25" s="245">
        <v>164967872</v>
      </c>
      <c r="AB25" s="245">
        <v>364061000</v>
      </c>
      <c r="AC25" s="245">
        <v>0</v>
      </c>
      <c r="AD25" s="245">
        <v>0</v>
      </c>
      <c r="AE25" s="245">
        <v>143810000</v>
      </c>
      <c r="AF25" s="245">
        <v>143810000</v>
      </c>
      <c r="AG25" s="245">
        <v>191582000</v>
      </c>
      <c r="AH25" s="245">
        <f>295568000-AF25</f>
        <v>151758000</v>
      </c>
      <c r="AI25" s="245">
        <v>0</v>
      </c>
      <c r="AJ25" s="245">
        <f>335392000-AH25-AF25-AD25</f>
        <v>39824000</v>
      </c>
      <c r="AK25" s="245">
        <v>0</v>
      </c>
      <c r="AL25" s="245">
        <v>0</v>
      </c>
      <c r="AM25" s="245">
        <v>0</v>
      </c>
      <c r="AN25" s="245">
        <v>0</v>
      </c>
      <c r="AO25" s="245">
        <v>7993000</v>
      </c>
      <c r="AP25" s="245">
        <v>0</v>
      </c>
      <c r="AQ25" s="245"/>
      <c r="AR25" s="245"/>
      <c r="AS25" s="245">
        <f>20676000-24346000</f>
        <v>-3670000</v>
      </c>
      <c r="AT25" s="245">
        <v>4323000</v>
      </c>
      <c r="AU25" s="245"/>
      <c r="AV25" s="245"/>
      <c r="AW25" s="245">
        <v>0</v>
      </c>
      <c r="AX25" s="245">
        <v>0</v>
      </c>
      <c r="AY25" s="245"/>
      <c r="AZ25" s="245">
        <v>-248033</v>
      </c>
      <c r="BA25" s="245">
        <f t="shared" si="1"/>
        <v>339715000</v>
      </c>
      <c r="BB25" s="245">
        <f t="shared" si="2"/>
        <v>339715000</v>
      </c>
      <c r="BC25" s="245">
        <f>AD25+AF25+AH25+AJ25+AL25+AN25+AP25+AR25+AT25+AV25+AX25+AZ25</f>
        <v>339466967</v>
      </c>
      <c r="BD25" s="245">
        <f t="shared" si="4"/>
        <v>339715000</v>
      </c>
      <c r="BE25" s="245">
        <f t="shared" si="5"/>
        <v>339466967</v>
      </c>
      <c r="BF25" s="245">
        <v>287337000</v>
      </c>
      <c r="BG25" s="245">
        <v>282678000</v>
      </c>
      <c r="BH25" s="245">
        <v>282678000</v>
      </c>
      <c r="BI25" s="245">
        <v>0</v>
      </c>
      <c r="BJ25" s="245">
        <v>0</v>
      </c>
      <c r="BK25" s="245">
        <v>0</v>
      </c>
      <c r="BL25" s="245">
        <v>0</v>
      </c>
      <c r="BM25" s="245">
        <v>0</v>
      </c>
      <c r="BN25" s="245">
        <v>0</v>
      </c>
      <c r="BO25" s="245">
        <v>4659000</v>
      </c>
      <c r="BP25" s="245">
        <v>0</v>
      </c>
      <c r="BQ25" s="245">
        <v>0</v>
      </c>
      <c r="BR25" s="245">
        <v>3679000</v>
      </c>
      <c r="BS25" s="245">
        <v>0</v>
      </c>
      <c r="BT25" s="245">
        <v>0</v>
      </c>
      <c r="BU25" s="245">
        <v>0</v>
      </c>
      <c r="BV25" s="245">
        <v>0</v>
      </c>
      <c r="BW25" s="245">
        <v>0</v>
      </c>
      <c r="BX25" s="245">
        <v>835200</v>
      </c>
      <c r="BY25" s="245">
        <f>32560566-110632</f>
        <v>32449934</v>
      </c>
      <c r="BZ25" s="245">
        <v>10618500</v>
      </c>
      <c r="CA25" s="245">
        <v>0</v>
      </c>
      <c r="CB25" s="245">
        <v>21942066</v>
      </c>
      <c r="CC25" s="245">
        <v>2530000</v>
      </c>
      <c r="CD25" s="245">
        <v>2530000</v>
      </c>
      <c r="CE25" s="245">
        <f t="shared" si="6"/>
        <v>322316934</v>
      </c>
      <c r="CF25" s="245">
        <f t="shared" si="7"/>
        <v>322316934</v>
      </c>
      <c r="CG25" s="245">
        <f t="shared" si="7"/>
        <v>322282766</v>
      </c>
      <c r="CH25" s="245">
        <f t="shared" si="8"/>
        <v>322316934</v>
      </c>
      <c r="CI25" s="245">
        <f t="shared" si="8"/>
        <v>322282766</v>
      </c>
      <c r="CJ25" s="245">
        <v>244532000</v>
      </c>
      <c r="CK25" s="245">
        <v>0</v>
      </c>
      <c r="CL25" s="245">
        <v>0</v>
      </c>
      <c r="CM25" s="245">
        <v>196875000</v>
      </c>
      <c r="CN25" s="245">
        <v>196875000</v>
      </c>
      <c r="CO25" s="245">
        <v>39130000</v>
      </c>
      <c r="CP25" s="245">
        <v>39130000</v>
      </c>
      <c r="CQ25" s="245">
        <v>8527000</v>
      </c>
      <c r="CR25" s="245">
        <v>0</v>
      </c>
      <c r="CS25" s="532">
        <v>0</v>
      </c>
      <c r="CT25" s="532">
        <v>0</v>
      </c>
      <c r="CU25" s="550">
        <v>0</v>
      </c>
      <c r="CV25" s="550">
        <v>0</v>
      </c>
      <c r="CW25" s="245">
        <v>0</v>
      </c>
      <c r="CX25" s="245">
        <v>0</v>
      </c>
      <c r="CY25" s="245">
        <v>0</v>
      </c>
      <c r="CZ25" s="245">
        <v>0</v>
      </c>
      <c r="DA25" s="245">
        <v>0</v>
      </c>
      <c r="DB25" s="245">
        <v>0</v>
      </c>
      <c r="DC25" s="245"/>
      <c r="DD25" s="720">
        <v>7676933</v>
      </c>
      <c r="DE25" s="245">
        <v>5548000</v>
      </c>
      <c r="DF25" s="245">
        <v>5548000</v>
      </c>
      <c r="DG25" s="245">
        <f>15092000+3507000</f>
        <v>18599000</v>
      </c>
      <c r="DH25" s="245">
        <v>17799400</v>
      </c>
      <c r="DI25" s="245">
        <f t="shared" si="21"/>
        <v>268679000</v>
      </c>
      <c r="DJ25" s="722">
        <f t="shared" si="9"/>
        <v>268679000</v>
      </c>
      <c r="DK25" s="721">
        <f t="shared" si="10"/>
        <v>267029333</v>
      </c>
      <c r="DL25" s="245">
        <f t="shared" si="17"/>
        <v>268679000</v>
      </c>
      <c r="DM25" s="245">
        <f t="shared" si="18"/>
        <v>267029333</v>
      </c>
      <c r="DN25" s="719">
        <v>340219000</v>
      </c>
      <c r="DO25" s="720">
        <v>0</v>
      </c>
      <c r="DP25" s="720">
        <v>0</v>
      </c>
      <c r="DQ25" s="237">
        <v>126972200</v>
      </c>
      <c r="DR25" s="237">
        <v>102231000</v>
      </c>
      <c r="DS25" s="237">
        <v>8000000</v>
      </c>
      <c r="DT25" s="237">
        <v>13272000</v>
      </c>
      <c r="DU25" s="237"/>
      <c r="DV25" s="237"/>
      <c r="DW25" s="237">
        <v>10922000</v>
      </c>
      <c r="DX25" s="237"/>
      <c r="DY25" s="237">
        <v>194324800</v>
      </c>
      <c r="DZ25" s="237"/>
      <c r="EA25" s="237"/>
      <c r="EB25" s="237"/>
      <c r="EC25" s="237"/>
      <c r="ED25" s="237"/>
      <c r="EE25" s="237"/>
      <c r="EF25" s="237"/>
      <c r="EG25" s="237"/>
      <c r="EH25" s="237"/>
      <c r="EI25" s="237"/>
      <c r="EJ25" s="237"/>
      <c r="EK25" s="237"/>
      <c r="EL25" s="237"/>
      <c r="EM25" s="237">
        <f t="shared" si="49"/>
        <v>340219000</v>
      </c>
      <c r="EN25" s="237">
        <f t="shared" si="50"/>
        <v>145894200</v>
      </c>
      <c r="EO25" s="237">
        <f t="shared" si="51"/>
        <v>115503000</v>
      </c>
      <c r="EP25" s="237">
        <f t="shared" si="52"/>
        <v>340219000</v>
      </c>
      <c r="EQ25" s="237">
        <f>+DP25+DR25+DT25</f>
        <v>115503000</v>
      </c>
      <c r="ER25" s="692">
        <f t="shared" si="22"/>
        <v>1.659</v>
      </c>
      <c r="ES25" s="698">
        <f t="shared" si="34"/>
        <v>0.7916901425827757</v>
      </c>
      <c r="ET25" s="694">
        <f>INVERSIÓN!EQ25/INVERSIÓN!EP25</f>
        <v>0.33949603049800275</v>
      </c>
      <c r="EU25" s="688">
        <f t="shared" si="16"/>
        <v>0.96907605970129429</v>
      </c>
      <c r="EV25" s="677">
        <f t="shared" si="35"/>
        <v>0.84329055938844766</v>
      </c>
      <c r="EW25" s="981"/>
      <c r="EX25" s="878"/>
      <c r="EY25" s="878"/>
      <c r="EZ25" s="878"/>
      <c r="FA25" s="979"/>
      <c r="FB25" s="257"/>
      <c r="FC25" s="257"/>
      <c r="FD25" s="257"/>
      <c r="FE25" s="257"/>
      <c r="FF25" s="257"/>
      <c r="FG25" s="257"/>
      <c r="FH25" s="257"/>
      <c r="FI25" s="257"/>
      <c r="FJ25" s="257"/>
      <c r="FK25" s="257"/>
      <c r="FL25" s="257"/>
      <c r="FM25" s="257"/>
      <c r="FN25" s="257"/>
      <c r="FO25" s="257"/>
      <c r="FP25" s="257"/>
      <c r="FQ25" s="257"/>
      <c r="FR25" s="257"/>
      <c r="FS25" s="257"/>
      <c r="FT25" s="257"/>
      <c r="FU25" s="257"/>
      <c r="FV25" s="257"/>
      <c r="FW25" s="257"/>
      <c r="FX25" s="257"/>
      <c r="FY25" s="257"/>
      <c r="FZ25" s="257"/>
      <c r="GA25" s="257"/>
      <c r="GB25" s="257"/>
      <c r="GC25" s="257"/>
      <c r="GD25" s="257"/>
      <c r="GE25" s="257"/>
      <c r="GF25" s="257"/>
      <c r="GG25" s="257"/>
      <c r="GH25" s="257"/>
      <c r="GI25" s="257"/>
      <c r="GJ25" s="257"/>
      <c r="GK25" s="257"/>
      <c r="GL25" s="257"/>
      <c r="GM25" s="257"/>
      <c r="GN25" s="257"/>
      <c r="GO25" s="257"/>
      <c r="GP25" s="257"/>
      <c r="GQ25" s="257"/>
      <c r="GR25" s="257"/>
      <c r="GS25" s="257"/>
      <c r="GT25" s="257"/>
      <c r="GU25" s="257"/>
      <c r="GV25" s="257"/>
      <c r="GW25" s="257"/>
      <c r="GX25" s="257"/>
      <c r="GY25" s="257"/>
      <c r="GZ25" s="257"/>
    </row>
    <row r="26" spans="1:208" s="223" customFormat="1" ht="62.25" customHeight="1" x14ac:dyDescent="0.25">
      <c r="A26" s="971"/>
      <c r="B26" s="974"/>
      <c r="C26" s="965"/>
      <c r="D26" s="948"/>
      <c r="E26" s="948"/>
      <c r="F26" s="249" t="s">
        <v>390</v>
      </c>
      <c r="G26" s="751"/>
      <c r="H26" s="704"/>
      <c r="I26" s="244"/>
      <c r="J26" s="244"/>
      <c r="K26" s="244"/>
      <c r="L26" s="244"/>
      <c r="M26" s="244"/>
      <c r="N26" s="244"/>
      <c r="O26" s="244"/>
      <c r="P26" s="244"/>
      <c r="Q26" s="244"/>
      <c r="R26" s="244"/>
      <c r="S26" s="244"/>
      <c r="T26" s="245"/>
      <c r="U26" s="244"/>
      <c r="V26" s="244"/>
      <c r="W26" s="245"/>
      <c r="X26" s="245"/>
      <c r="Y26" s="245"/>
      <c r="Z26" s="244">
        <v>0</v>
      </c>
      <c r="AA26" s="244">
        <v>0</v>
      </c>
      <c r="AB26" s="704"/>
      <c r="AC26" s="244">
        <v>0</v>
      </c>
      <c r="AD26" s="244">
        <v>0</v>
      </c>
      <c r="AE26" s="244">
        <v>0</v>
      </c>
      <c r="AF26" s="244">
        <v>0</v>
      </c>
      <c r="AG26" s="244">
        <v>0</v>
      </c>
      <c r="AH26" s="244">
        <v>0</v>
      </c>
      <c r="AI26" s="244">
        <v>21245000</v>
      </c>
      <c r="AJ26" s="244">
        <v>21245000</v>
      </c>
      <c r="AK26" s="244">
        <v>35723200</v>
      </c>
      <c r="AL26" s="244">
        <v>34063867</v>
      </c>
      <c r="AM26" s="244">
        <v>36221000</v>
      </c>
      <c r="AN26" s="244">
        <v>43161000</v>
      </c>
      <c r="AO26" s="244">
        <v>36221000</v>
      </c>
      <c r="AP26" s="244">
        <v>36221000</v>
      </c>
      <c r="AQ26" s="244">
        <v>36221000</v>
      </c>
      <c r="AR26" s="244">
        <v>36221000</v>
      </c>
      <c r="AS26" s="244">
        <v>36221000</v>
      </c>
      <c r="AT26" s="244">
        <v>36221000</v>
      </c>
      <c r="AU26" s="244">
        <v>36221000</v>
      </c>
      <c r="AV26" s="244">
        <v>36221000</v>
      </c>
      <c r="AW26" s="244">
        <v>36221000</v>
      </c>
      <c r="AX26" s="244">
        <v>36221000</v>
      </c>
      <c r="AY26" s="244">
        <v>65420800</v>
      </c>
      <c r="AZ26" s="244">
        <v>41690133</v>
      </c>
      <c r="BA26" s="720">
        <f t="shared" si="1"/>
        <v>339715000</v>
      </c>
      <c r="BB26" s="720">
        <f t="shared" si="2"/>
        <v>339715000</v>
      </c>
      <c r="BC26" s="720">
        <f t="shared" si="3"/>
        <v>321265000</v>
      </c>
      <c r="BD26" s="720">
        <f t="shared" si="4"/>
        <v>339715000</v>
      </c>
      <c r="BE26" s="720">
        <f t="shared" si="5"/>
        <v>321265000</v>
      </c>
      <c r="BF26" s="719">
        <v>0</v>
      </c>
      <c r="BG26" s="720">
        <v>0</v>
      </c>
      <c r="BH26" s="720">
        <v>0</v>
      </c>
      <c r="BI26" s="720">
        <v>19814666</v>
      </c>
      <c r="BJ26" s="473">
        <v>3177267</v>
      </c>
      <c r="BK26" s="720">
        <v>29722000</v>
      </c>
      <c r="BL26" s="720">
        <v>22643000</v>
      </c>
      <c r="BM26" s="720">
        <v>29722000</v>
      </c>
      <c r="BN26" s="720">
        <v>32888000</v>
      </c>
      <c r="BO26" s="720">
        <v>29722000</v>
      </c>
      <c r="BP26" s="720">
        <v>33635000</v>
      </c>
      <c r="BQ26" s="720">
        <v>29722000</v>
      </c>
      <c r="BR26" s="720">
        <v>29722000</v>
      </c>
      <c r="BS26" s="720">
        <v>29722000</v>
      </c>
      <c r="BT26" s="720">
        <v>29722000</v>
      </c>
      <c r="BU26" s="720">
        <v>29722000</v>
      </c>
      <c r="BV26" s="720">
        <v>29722000</v>
      </c>
      <c r="BW26" s="720">
        <v>34381000</v>
      </c>
      <c r="BX26" s="720">
        <v>29722000</v>
      </c>
      <c r="BY26" s="720">
        <v>29722000</v>
      </c>
      <c r="BZ26" s="720">
        <v>25833700</v>
      </c>
      <c r="CA26" s="720">
        <v>14967334</v>
      </c>
      <c r="CB26" s="720">
        <v>33037133</v>
      </c>
      <c r="CC26" s="720">
        <f>10120000+34979934</f>
        <v>45099934</v>
      </c>
      <c r="CD26" s="720">
        <v>31828233</v>
      </c>
      <c r="CE26" s="720">
        <f t="shared" si="6"/>
        <v>322316934</v>
      </c>
      <c r="CF26" s="720">
        <f t="shared" si="7"/>
        <v>322316934</v>
      </c>
      <c r="CG26" s="720">
        <f t="shared" si="7"/>
        <v>301930333</v>
      </c>
      <c r="CH26" s="720">
        <f t="shared" si="8"/>
        <v>322316934</v>
      </c>
      <c r="CI26" s="720">
        <f t="shared" si="8"/>
        <v>301930333</v>
      </c>
      <c r="CJ26" s="719">
        <f>CM26+CO26+CQ26+CS26+CU26+CW26+CY26+DA26+DC26+DE26+DG26</f>
        <v>268679000</v>
      </c>
      <c r="CK26" s="720">
        <v>0</v>
      </c>
      <c r="CL26" s="720">
        <v>0</v>
      </c>
      <c r="CM26" s="720">
        <v>0</v>
      </c>
      <c r="CN26" s="720">
        <v>0</v>
      </c>
      <c r="CO26" s="720">
        <v>4738867</v>
      </c>
      <c r="CP26" s="720">
        <v>4738867</v>
      </c>
      <c r="CQ26" s="720">
        <v>24034000</v>
      </c>
      <c r="CR26" s="720">
        <v>23811100</v>
      </c>
      <c r="CS26" s="720">
        <v>24034000</v>
      </c>
      <c r="CT26" s="720">
        <v>24034000</v>
      </c>
      <c r="CU26" s="722">
        <v>24034000</v>
      </c>
      <c r="CV26" s="722">
        <v>24034000</v>
      </c>
      <c r="CW26" s="720">
        <v>24034000</v>
      </c>
      <c r="CX26" s="720">
        <v>24034000</v>
      </c>
      <c r="CY26" s="720">
        <v>24034000</v>
      </c>
      <c r="CZ26" s="720">
        <v>24034000</v>
      </c>
      <c r="DA26" s="720">
        <v>24034000</v>
      </c>
      <c r="DB26" s="720">
        <v>24034000</v>
      </c>
      <c r="DC26" s="720">
        <v>24034000</v>
      </c>
      <c r="DD26" s="720">
        <v>24034000</v>
      </c>
      <c r="DE26" s="720">
        <v>24034000</v>
      </c>
      <c r="DF26" s="720">
        <v>24034000</v>
      </c>
      <c r="DG26" s="245">
        <v>71668133</v>
      </c>
      <c r="DH26" s="720">
        <v>29486000</v>
      </c>
      <c r="DI26" s="245">
        <f t="shared" si="21"/>
        <v>268679000</v>
      </c>
      <c r="DJ26" s="722">
        <f t="shared" si="9"/>
        <v>268679000</v>
      </c>
      <c r="DK26" s="721">
        <f t="shared" si="10"/>
        <v>226273967</v>
      </c>
      <c r="DL26" s="720">
        <f t="shared" si="17"/>
        <v>268679000</v>
      </c>
      <c r="DM26" s="720">
        <f t="shared" si="18"/>
        <v>226273967</v>
      </c>
      <c r="DN26" s="719">
        <v>340219000</v>
      </c>
      <c r="DO26" s="720"/>
      <c r="DP26" s="720"/>
      <c r="DQ26" s="237">
        <v>13789500</v>
      </c>
      <c r="DR26" s="237">
        <v>0</v>
      </c>
      <c r="DS26" s="237">
        <v>27579000</v>
      </c>
      <c r="DT26" s="237">
        <v>10164234</v>
      </c>
      <c r="DU26" s="237">
        <v>27579000</v>
      </c>
      <c r="DV26" s="237"/>
      <c r="DW26" s="237">
        <v>27579000</v>
      </c>
      <c r="DX26" s="237"/>
      <c r="DY26" s="237">
        <v>27579000</v>
      </c>
      <c r="DZ26" s="237"/>
      <c r="EA26" s="237">
        <v>27579000</v>
      </c>
      <c r="EB26" s="237"/>
      <c r="EC26" s="237">
        <v>27579000</v>
      </c>
      <c r="ED26" s="237"/>
      <c r="EE26" s="237">
        <v>27579000</v>
      </c>
      <c r="EF26" s="237"/>
      <c r="EG26" s="237">
        <v>27579000</v>
      </c>
      <c r="EH26" s="237"/>
      <c r="EI26" s="237">
        <v>27579000</v>
      </c>
      <c r="EJ26" s="237"/>
      <c r="EK26" s="237">
        <v>78218500</v>
      </c>
      <c r="EL26" s="237"/>
      <c r="EM26" s="237">
        <f>EK26+EI26+EG26+EE26+EA26+DY26+DW26+DU26+DS26+DQ26+DO26+EC26</f>
        <v>340219000</v>
      </c>
      <c r="EN26" s="237">
        <f t="shared" si="50"/>
        <v>96526500</v>
      </c>
      <c r="EO26" s="237">
        <f t="shared" si="51"/>
        <v>10164234</v>
      </c>
      <c r="EP26" s="237">
        <f t="shared" si="52"/>
        <v>124105500</v>
      </c>
      <c r="EQ26" s="237">
        <f t="shared" si="38"/>
        <v>0</v>
      </c>
      <c r="ER26" s="692">
        <f t="shared" si="22"/>
        <v>0.3685497661264005</v>
      </c>
      <c r="ES26" s="698">
        <f t="shared" si="34"/>
        <v>0.10529993317897157</v>
      </c>
      <c r="ET26" s="694">
        <f>INVERSIÓN!EQ26/INVERSIÓN!EP26</f>
        <v>0</v>
      </c>
      <c r="EU26" s="688">
        <f t="shared" si="16"/>
        <v>0.83684015549612456</v>
      </c>
      <c r="EV26" s="677">
        <f>IFERROR((AA26+BE26+CI26+DM26+EQ26)/G26,0)</f>
        <v>0</v>
      </c>
      <c r="EW26" s="981"/>
      <c r="EX26" s="878"/>
      <c r="EY26" s="878"/>
      <c r="EZ26" s="878"/>
      <c r="FA26" s="979"/>
      <c r="FB26" s="257"/>
      <c r="FC26" s="257"/>
      <c r="FD26" s="257"/>
      <c r="FE26" s="257"/>
      <c r="FF26" s="257"/>
      <c r="FG26" s="257"/>
      <c r="FH26" s="257"/>
      <c r="FI26" s="257"/>
      <c r="FJ26" s="257"/>
      <c r="FK26" s="257"/>
      <c r="FL26" s="257"/>
      <c r="FM26" s="257"/>
      <c r="FN26" s="257"/>
      <c r="FO26" s="257"/>
      <c r="FP26" s="257"/>
      <c r="FQ26" s="257"/>
      <c r="FR26" s="257"/>
      <c r="FS26" s="257"/>
      <c r="FT26" s="257"/>
      <c r="FU26" s="257"/>
      <c r="FV26" s="257"/>
      <c r="FW26" s="257"/>
      <c r="FX26" s="257"/>
      <c r="FY26" s="257"/>
      <c r="FZ26" s="257"/>
      <c r="GA26" s="257"/>
      <c r="GB26" s="257"/>
      <c r="GC26" s="257"/>
      <c r="GD26" s="257"/>
      <c r="GE26" s="257"/>
      <c r="GF26" s="257"/>
      <c r="GG26" s="257"/>
      <c r="GH26" s="257"/>
      <c r="GI26" s="257"/>
      <c r="GJ26" s="257"/>
      <c r="GK26" s="257"/>
      <c r="GL26" s="257"/>
      <c r="GM26" s="257"/>
      <c r="GN26" s="257"/>
      <c r="GO26" s="257"/>
      <c r="GP26" s="257"/>
      <c r="GQ26" s="257"/>
      <c r="GR26" s="257"/>
      <c r="GS26" s="257"/>
      <c r="GT26" s="257"/>
      <c r="GU26" s="257"/>
      <c r="GV26" s="257"/>
      <c r="GW26" s="257"/>
      <c r="GX26" s="257"/>
      <c r="GY26" s="257"/>
      <c r="GZ26" s="257"/>
    </row>
    <row r="27" spans="1:208" s="224" customFormat="1" ht="62.25" customHeight="1" x14ac:dyDescent="0.25">
      <c r="A27" s="971"/>
      <c r="B27" s="974"/>
      <c r="C27" s="965"/>
      <c r="D27" s="948"/>
      <c r="E27" s="948"/>
      <c r="F27" s="476" t="s">
        <v>42</v>
      </c>
      <c r="G27" s="751">
        <f t="shared" ref="G27" si="54">AA27+BE27+CI27+DM27+EP27</f>
        <v>0</v>
      </c>
      <c r="H27" s="744"/>
      <c r="I27" s="701"/>
      <c r="J27" s="701"/>
      <c r="K27" s="701"/>
      <c r="L27" s="745"/>
      <c r="M27" s="701"/>
      <c r="N27" s="701"/>
      <c r="O27" s="701"/>
      <c r="P27" s="701"/>
      <c r="Q27" s="701"/>
      <c r="R27" s="701"/>
      <c r="S27" s="701"/>
      <c r="T27" s="745"/>
      <c r="U27" s="701"/>
      <c r="V27" s="701"/>
      <c r="W27" s="745">
        <f>K27</f>
        <v>0</v>
      </c>
      <c r="X27" s="745">
        <f t="shared" si="53"/>
        <v>0</v>
      </c>
      <c r="Y27" s="745">
        <f t="shared" si="53"/>
        <v>0</v>
      </c>
      <c r="Z27" s="701">
        <v>0</v>
      </c>
      <c r="AA27" s="701">
        <v>0</v>
      </c>
      <c r="AB27" s="746">
        <v>0</v>
      </c>
      <c r="AC27" s="701">
        <v>0</v>
      </c>
      <c r="AD27" s="701">
        <v>0</v>
      </c>
      <c r="AE27" s="701">
        <v>0</v>
      </c>
      <c r="AF27" s="701">
        <v>0</v>
      </c>
      <c r="AG27" s="701">
        <v>0</v>
      </c>
      <c r="AH27" s="701">
        <v>0</v>
      </c>
      <c r="AI27" s="701">
        <v>0</v>
      </c>
      <c r="AJ27" s="701">
        <v>0</v>
      </c>
      <c r="AK27" s="701"/>
      <c r="AL27" s="701"/>
      <c r="AM27" s="701"/>
      <c r="AN27" s="701"/>
      <c r="AO27" s="701"/>
      <c r="AP27" s="701"/>
      <c r="AQ27" s="701">
        <v>0</v>
      </c>
      <c r="AR27" s="701">
        <v>0</v>
      </c>
      <c r="AS27" s="701"/>
      <c r="AT27" s="701"/>
      <c r="AU27" s="701"/>
      <c r="AV27" s="701"/>
      <c r="AW27" s="701">
        <v>0</v>
      </c>
      <c r="AX27" s="701">
        <v>0</v>
      </c>
      <c r="AY27" s="701"/>
      <c r="AZ27" s="701"/>
      <c r="BA27" s="720">
        <f t="shared" si="1"/>
        <v>0</v>
      </c>
      <c r="BB27" s="720">
        <f t="shared" si="2"/>
        <v>0</v>
      </c>
      <c r="BC27" s="720">
        <f t="shared" si="3"/>
        <v>0</v>
      </c>
      <c r="BD27" s="720">
        <f t="shared" si="4"/>
        <v>0</v>
      </c>
      <c r="BE27" s="720">
        <f t="shared" si="5"/>
        <v>0</v>
      </c>
      <c r="BF27" s="719">
        <v>0</v>
      </c>
      <c r="BG27" s="720">
        <v>0</v>
      </c>
      <c r="BH27" s="720">
        <v>0</v>
      </c>
      <c r="BI27" s="720">
        <v>0</v>
      </c>
      <c r="BJ27" s="473">
        <v>0</v>
      </c>
      <c r="BK27" s="720">
        <v>0</v>
      </c>
      <c r="BL27" s="720">
        <v>0</v>
      </c>
      <c r="BM27" s="720">
        <v>0</v>
      </c>
      <c r="BN27" s="720">
        <v>0</v>
      </c>
      <c r="BO27" s="720">
        <v>0</v>
      </c>
      <c r="BP27" s="720">
        <v>0</v>
      </c>
      <c r="BQ27" s="720">
        <v>0</v>
      </c>
      <c r="BR27" s="720">
        <v>0</v>
      </c>
      <c r="BS27" s="720">
        <v>0</v>
      </c>
      <c r="BT27" s="720">
        <v>0</v>
      </c>
      <c r="BU27" s="720">
        <v>0</v>
      </c>
      <c r="BV27" s="720">
        <v>0</v>
      </c>
      <c r="BW27" s="720">
        <v>0</v>
      </c>
      <c r="BX27" s="720">
        <v>0</v>
      </c>
      <c r="BY27" s="720">
        <v>0</v>
      </c>
      <c r="BZ27" s="720">
        <v>0</v>
      </c>
      <c r="CA27" s="720">
        <v>0</v>
      </c>
      <c r="CB27" s="720">
        <v>0</v>
      </c>
      <c r="CC27" s="720">
        <v>0</v>
      </c>
      <c r="CD27" s="720">
        <v>0</v>
      </c>
      <c r="CE27" s="720">
        <f t="shared" si="6"/>
        <v>0</v>
      </c>
      <c r="CF27" s="720">
        <f t="shared" si="7"/>
        <v>0</v>
      </c>
      <c r="CG27" s="720">
        <f t="shared" si="7"/>
        <v>0</v>
      </c>
      <c r="CH27" s="720">
        <f t="shared" si="8"/>
        <v>0</v>
      </c>
      <c r="CI27" s="720">
        <f t="shared" si="8"/>
        <v>0</v>
      </c>
      <c r="CJ27" s="719">
        <v>0</v>
      </c>
      <c r="CK27" s="720">
        <v>0</v>
      </c>
      <c r="CL27" s="720">
        <v>0</v>
      </c>
      <c r="CM27" s="720">
        <v>0</v>
      </c>
      <c r="CN27" s="720">
        <v>0</v>
      </c>
      <c r="CO27" s="720">
        <v>0</v>
      </c>
      <c r="CP27" s="720">
        <v>0</v>
      </c>
      <c r="CQ27" s="720">
        <v>0</v>
      </c>
      <c r="CR27" s="720">
        <v>0</v>
      </c>
      <c r="CS27" s="720">
        <v>0</v>
      </c>
      <c r="CT27" s="720">
        <v>0</v>
      </c>
      <c r="CU27" s="550">
        <v>0</v>
      </c>
      <c r="CV27" s="722">
        <v>0</v>
      </c>
      <c r="CW27" s="720">
        <v>0</v>
      </c>
      <c r="CX27" s="720">
        <v>0</v>
      </c>
      <c r="CY27" s="720">
        <v>0</v>
      </c>
      <c r="CZ27" s="720">
        <v>0</v>
      </c>
      <c r="DA27" s="720">
        <v>0</v>
      </c>
      <c r="DB27" s="720">
        <v>0</v>
      </c>
      <c r="DC27" s="720"/>
      <c r="DD27" s="720"/>
      <c r="DE27" s="720">
        <v>0</v>
      </c>
      <c r="DF27" s="720">
        <v>0</v>
      </c>
      <c r="DG27" s="720"/>
      <c r="DH27" s="720"/>
      <c r="DI27" s="720">
        <f t="shared" si="21"/>
        <v>0</v>
      </c>
      <c r="DJ27" s="722">
        <f t="shared" si="9"/>
        <v>0</v>
      </c>
      <c r="DK27" s="721">
        <f t="shared" si="10"/>
        <v>0</v>
      </c>
      <c r="DL27" s="720">
        <f t="shared" si="17"/>
        <v>0</v>
      </c>
      <c r="DM27" s="720">
        <f t="shared" si="18"/>
        <v>0</v>
      </c>
      <c r="DN27" s="719">
        <v>0</v>
      </c>
      <c r="DO27" s="720"/>
      <c r="DP27" s="720"/>
      <c r="DQ27" s="720"/>
      <c r="DR27" s="720">
        <v>0</v>
      </c>
      <c r="DS27" s="720"/>
      <c r="DT27" s="720"/>
      <c r="DU27" s="720"/>
      <c r="DV27" s="720"/>
      <c r="DW27" s="720"/>
      <c r="DX27" s="720"/>
      <c r="DY27" s="720"/>
      <c r="DZ27" s="720"/>
      <c r="EA27" s="720"/>
      <c r="EB27" s="720"/>
      <c r="EC27" s="720"/>
      <c r="ED27" s="720"/>
      <c r="EE27" s="720"/>
      <c r="EF27" s="720"/>
      <c r="EG27" s="720"/>
      <c r="EH27" s="720"/>
      <c r="EI27" s="720"/>
      <c r="EJ27" s="720"/>
      <c r="EK27" s="720"/>
      <c r="EL27" s="720"/>
      <c r="EM27" s="720">
        <f t="shared" si="49"/>
        <v>0</v>
      </c>
      <c r="EN27" s="720">
        <f t="shared" si="50"/>
        <v>0</v>
      </c>
      <c r="EO27" s="720">
        <f t="shared" si="51"/>
        <v>0</v>
      </c>
      <c r="EP27" s="720">
        <f t="shared" ref="EP27" si="55">DO27+DQ27+DS27+DU27+DW27+DY27</f>
        <v>0</v>
      </c>
      <c r="EQ27" s="720">
        <f t="shared" si="38"/>
        <v>0</v>
      </c>
      <c r="ER27" s="692">
        <f t="shared" si="22"/>
        <v>0</v>
      </c>
      <c r="ES27" s="698">
        <f>IFERROR(EO27/EN27,0)</f>
        <v>0</v>
      </c>
      <c r="ET27" s="694">
        <f>IFERROR(INVERSIÓN!EQ27/INVERSIÓN!EP27,0)</f>
        <v>0</v>
      </c>
      <c r="EU27" s="688">
        <f t="shared" si="16"/>
        <v>0</v>
      </c>
      <c r="EV27" s="677">
        <f>IFERROR((AA27+BE27+CI27+DM27+EQ27)/G27,0)</f>
        <v>0</v>
      </c>
      <c r="EW27" s="981"/>
      <c r="EX27" s="878"/>
      <c r="EY27" s="878"/>
      <c r="EZ27" s="878"/>
      <c r="FA27" s="979"/>
    </row>
    <row r="28" spans="1:208" s="225" customFormat="1" ht="62.25" customHeight="1" x14ac:dyDescent="0.25">
      <c r="A28" s="971"/>
      <c r="B28" s="974"/>
      <c r="C28" s="965"/>
      <c r="D28" s="948"/>
      <c r="E28" s="948"/>
      <c r="F28" s="248" t="s">
        <v>4</v>
      </c>
      <c r="G28" s="245">
        <f>AA28+BE28+CI28+DM28+EP28</f>
        <v>149368055</v>
      </c>
      <c r="H28" s="245"/>
      <c r="I28" s="245"/>
      <c r="J28" s="245"/>
      <c r="K28" s="245"/>
      <c r="L28" s="245"/>
      <c r="M28" s="245"/>
      <c r="N28" s="245"/>
      <c r="O28" s="245"/>
      <c r="P28" s="245"/>
      <c r="Q28" s="245"/>
      <c r="R28" s="245"/>
      <c r="S28" s="245"/>
      <c r="T28" s="245"/>
      <c r="U28" s="245"/>
      <c r="V28" s="245"/>
      <c r="W28" s="245">
        <f>K28</f>
        <v>0</v>
      </c>
      <c r="X28" s="245">
        <f t="shared" si="53"/>
        <v>0</v>
      </c>
      <c r="Y28" s="245">
        <f t="shared" si="53"/>
        <v>0</v>
      </c>
      <c r="Z28" s="245">
        <v>0</v>
      </c>
      <c r="AA28" s="245">
        <v>0</v>
      </c>
      <c r="AB28" s="245">
        <v>70558838</v>
      </c>
      <c r="AC28" s="245">
        <v>10149000</v>
      </c>
      <c r="AD28" s="245">
        <v>10149000</v>
      </c>
      <c r="AE28" s="245">
        <v>20641000</v>
      </c>
      <c r="AF28" s="245">
        <f>30790000-AD28</f>
        <v>20641000</v>
      </c>
      <c r="AG28" s="245">
        <f>48000966-AE28-AC28</f>
        <v>17210966</v>
      </c>
      <c r="AH28" s="245">
        <f>48000966-AF28-AD28</f>
        <v>17210966</v>
      </c>
      <c r="AI28" s="245">
        <v>0</v>
      </c>
      <c r="AJ28" s="245">
        <v>0</v>
      </c>
      <c r="AK28" s="245">
        <v>0</v>
      </c>
      <c r="AL28" s="245">
        <v>0</v>
      </c>
      <c r="AM28" s="245">
        <v>22557872</v>
      </c>
      <c r="AN28" s="245">
        <v>22553009</v>
      </c>
      <c r="AO28" s="245"/>
      <c r="AP28" s="245">
        <v>0</v>
      </c>
      <c r="AQ28" s="245">
        <v>0</v>
      </c>
      <c r="AR28" s="245">
        <v>0</v>
      </c>
      <c r="AS28" s="245"/>
      <c r="AT28" s="245"/>
      <c r="AU28" s="245">
        <v>-4863</v>
      </c>
      <c r="AV28" s="245"/>
      <c r="AW28" s="245">
        <v>0</v>
      </c>
      <c r="AX28" s="245">
        <v>0</v>
      </c>
      <c r="AY28" s="245"/>
      <c r="AZ28" s="245"/>
      <c r="BA28" s="245">
        <f t="shared" si="1"/>
        <v>70553975</v>
      </c>
      <c r="BB28" s="245">
        <f t="shared" si="2"/>
        <v>70553975</v>
      </c>
      <c r="BC28" s="245">
        <f t="shared" si="3"/>
        <v>70553975</v>
      </c>
      <c r="BD28" s="245">
        <f t="shared" si="4"/>
        <v>70553975</v>
      </c>
      <c r="BE28" s="245">
        <f t="shared" si="5"/>
        <v>70553975</v>
      </c>
      <c r="BF28" s="245">
        <v>18201967</v>
      </c>
      <c r="BG28" s="245">
        <v>16616867</v>
      </c>
      <c r="BH28" s="245">
        <v>16616867</v>
      </c>
      <c r="BI28" s="245">
        <v>1585100</v>
      </c>
      <c r="BJ28" s="245">
        <v>1585100</v>
      </c>
      <c r="BK28" s="245">
        <v>0</v>
      </c>
      <c r="BL28" s="245">
        <v>0</v>
      </c>
      <c r="BM28" s="245">
        <v>0</v>
      </c>
      <c r="BN28" s="245">
        <v>0</v>
      </c>
      <c r="BO28" s="245">
        <v>0</v>
      </c>
      <c r="BP28" s="245">
        <v>0</v>
      </c>
      <c r="BQ28" s="245">
        <v>0</v>
      </c>
      <c r="BR28" s="245">
        <v>0</v>
      </c>
      <c r="BS28" s="245">
        <v>0</v>
      </c>
      <c r="BT28" s="245">
        <v>0</v>
      </c>
      <c r="BU28" s="245">
        <v>0</v>
      </c>
      <c r="BV28" s="245">
        <v>0</v>
      </c>
      <c r="BW28" s="245">
        <v>0</v>
      </c>
      <c r="BX28" s="245">
        <v>0</v>
      </c>
      <c r="BY28" s="245">
        <v>0</v>
      </c>
      <c r="BZ28" s="245">
        <v>0</v>
      </c>
      <c r="CA28" s="245">
        <v>0</v>
      </c>
      <c r="CB28" s="245">
        <v>0</v>
      </c>
      <c r="CC28" s="245">
        <v>0</v>
      </c>
      <c r="CD28" s="245">
        <v>0</v>
      </c>
      <c r="CE28" s="245">
        <f t="shared" si="6"/>
        <v>18201967</v>
      </c>
      <c r="CF28" s="245">
        <f t="shared" si="7"/>
        <v>18201967</v>
      </c>
      <c r="CG28" s="245">
        <f t="shared" si="7"/>
        <v>18201967</v>
      </c>
      <c r="CH28" s="245">
        <f t="shared" si="8"/>
        <v>18201967</v>
      </c>
      <c r="CI28" s="245">
        <f t="shared" si="8"/>
        <v>18201967</v>
      </c>
      <c r="CJ28" s="245">
        <v>19859242</v>
      </c>
      <c r="CK28" s="245">
        <v>12536634</v>
      </c>
      <c r="CL28" s="245">
        <v>12536634</v>
      </c>
      <c r="CM28" s="245">
        <v>5120530</v>
      </c>
      <c r="CN28" s="245">
        <v>5120530</v>
      </c>
      <c r="CO28" s="245">
        <v>56050</v>
      </c>
      <c r="CP28" s="245">
        <v>56050</v>
      </c>
      <c r="CQ28" s="245">
        <v>2639219</v>
      </c>
      <c r="CR28" s="245">
        <v>56600</v>
      </c>
      <c r="CS28" s="532">
        <v>0</v>
      </c>
      <c r="CT28" s="532">
        <v>2086933</v>
      </c>
      <c r="CU28" s="550">
        <v>-493191</v>
      </c>
      <c r="CV28" s="550">
        <v>0</v>
      </c>
      <c r="CW28" s="245"/>
      <c r="CX28" s="245"/>
      <c r="CY28" s="245"/>
      <c r="CZ28" s="245"/>
      <c r="DA28" s="245"/>
      <c r="DB28" s="245"/>
      <c r="DC28" s="245"/>
      <c r="DD28" s="720"/>
      <c r="DE28" s="245">
        <v>-2495</v>
      </c>
      <c r="DF28" s="720">
        <v>0</v>
      </c>
      <c r="DG28" s="245"/>
      <c r="DH28" s="245"/>
      <c r="DI28" s="245">
        <f t="shared" si="21"/>
        <v>19856747</v>
      </c>
      <c r="DJ28" s="722">
        <f t="shared" si="9"/>
        <v>19856747</v>
      </c>
      <c r="DK28" s="721">
        <f t="shared" si="10"/>
        <v>19856747</v>
      </c>
      <c r="DL28" s="245">
        <f>DI28</f>
        <v>19856747</v>
      </c>
      <c r="DM28" s="245">
        <f t="shared" si="18"/>
        <v>19856747</v>
      </c>
      <c r="DN28" s="719">
        <v>40755366</v>
      </c>
      <c r="DO28" s="720">
        <v>11503000</v>
      </c>
      <c r="DP28" s="720">
        <v>11503000</v>
      </c>
      <c r="DQ28" s="237">
        <v>29252366</v>
      </c>
      <c r="DR28" s="237">
        <v>29252366</v>
      </c>
      <c r="DS28" s="237"/>
      <c r="DT28" s="237"/>
      <c r="DU28" s="237"/>
      <c r="DV28" s="237"/>
      <c r="DW28" s="237"/>
      <c r="DX28" s="237"/>
      <c r="DY28" s="237"/>
      <c r="DZ28" s="237"/>
      <c r="EA28" s="237"/>
      <c r="EB28" s="237"/>
      <c r="EC28" s="237"/>
      <c r="ED28" s="237"/>
      <c r="EE28" s="237"/>
      <c r="EF28" s="237"/>
      <c r="EG28" s="237"/>
      <c r="EH28" s="237"/>
      <c r="EI28" s="237"/>
      <c r="EJ28" s="237"/>
      <c r="EK28" s="237"/>
      <c r="EL28" s="237"/>
      <c r="EM28" s="237">
        <f t="shared" si="49"/>
        <v>40755366</v>
      </c>
      <c r="EN28" s="237">
        <f t="shared" si="50"/>
        <v>40755366</v>
      </c>
      <c r="EO28" s="237">
        <f t="shared" si="51"/>
        <v>40755366</v>
      </c>
      <c r="EP28" s="237">
        <f t="shared" si="52"/>
        <v>40755366</v>
      </c>
      <c r="EQ28" s="237">
        <f t="shared" si="38"/>
        <v>40755366</v>
      </c>
      <c r="ER28" s="692">
        <f t="shared" si="22"/>
        <v>0</v>
      </c>
      <c r="ES28" s="698">
        <f t="shared" si="34"/>
        <v>1</v>
      </c>
      <c r="ET28" s="694">
        <f>INVERSIÓN!EQ28/INVERSIÓN!EP28</f>
        <v>1</v>
      </c>
      <c r="EU28" s="688">
        <f t="shared" si="16"/>
        <v>1</v>
      </c>
      <c r="EV28" s="677">
        <f t="shared" si="35"/>
        <v>1</v>
      </c>
      <c r="EW28" s="981"/>
      <c r="EX28" s="878"/>
      <c r="EY28" s="878"/>
      <c r="EZ28" s="878"/>
      <c r="FA28" s="979"/>
    </row>
    <row r="29" spans="1:208" s="224" customFormat="1" ht="62.25" customHeight="1" thickBot="1" x14ac:dyDescent="0.3">
      <c r="A29" s="971"/>
      <c r="B29" s="974"/>
      <c r="C29" s="965"/>
      <c r="D29" s="948"/>
      <c r="E29" s="948"/>
      <c r="F29" s="476" t="s">
        <v>43</v>
      </c>
      <c r="G29" s="750">
        <f>G24+G27</f>
        <v>47</v>
      </c>
      <c r="H29" s="739">
        <v>7</v>
      </c>
      <c r="I29" s="707"/>
      <c r="J29" s="707"/>
      <c r="K29" s="707">
        <v>7</v>
      </c>
      <c r="L29" s="707">
        <v>0</v>
      </c>
      <c r="M29" s="707">
        <v>7</v>
      </c>
      <c r="N29" s="707">
        <v>7</v>
      </c>
      <c r="O29" s="707">
        <v>7</v>
      </c>
      <c r="P29" s="707">
        <v>7</v>
      </c>
      <c r="Q29" s="707">
        <v>7</v>
      </c>
      <c r="R29" s="707">
        <v>7</v>
      </c>
      <c r="S29" s="707">
        <v>7</v>
      </c>
      <c r="T29" s="483">
        <v>7</v>
      </c>
      <c r="U29" s="708">
        <v>7</v>
      </c>
      <c r="V29" s="708">
        <v>7</v>
      </c>
      <c r="W29" s="747">
        <f>K29</f>
        <v>7</v>
      </c>
      <c r="X29" s="747">
        <f t="shared" si="53"/>
        <v>7</v>
      </c>
      <c r="Y29" s="747">
        <f t="shared" si="53"/>
        <v>7</v>
      </c>
      <c r="Z29" s="708">
        <v>7</v>
      </c>
      <c r="AA29" s="708">
        <f>AA24+AA27</f>
        <v>7</v>
      </c>
      <c r="AB29" s="708">
        <f t="shared" ref="AB29:CM29" si="56">AB24+AB27</f>
        <v>13</v>
      </c>
      <c r="AC29" s="708">
        <f t="shared" si="56"/>
        <v>6</v>
      </c>
      <c r="AD29" s="708">
        <f t="shared" si="56"/>
        <v>6</v>
      </c>
      <c r="AE29" s="708">
        <f t="shared" si="56"/>
        <v>0</v>
      </c>
      <c r="AF29" s="708">
        <f t="shared" si="56"/>
        <v>0</v>
      </c>
      <c r="AG29" s="708">
        <f t="shared" si="56"/>
        <v>1</v>
      </c>
      <c r="AH29" s="708">
        <f t="shared" si="56"/>
        <v>1</v>
      </c>
      <c r="AI29" s="708">
        <f t="shared" si="56"/>
        <v>1</v>
      </c>
      <c r="AJ29" s="708">
        <f t="shared" si="56"/>
        <v>1</v>
      </c>
      <c r="AK29" s="708">
        <f t="shared" si="56"/>
        <v>3</v>
      </c>
      <c r="AL29" s="708">
        <f t="shared" si="56"/>
        <v>3</v>
      </c>
      <c r="AM29" s="708">
        <f t="shared" si="56"/>
        <v>0</v>
      </c>
      <c r="AN29" s="708">
        <f t="shared" si="56"/>
        <v>0</v>
      </c>
      <c r="AO29" s="708">
        <f t="shared" si="56"/>
        <v>1</v>
      </c>
      <c r="AP29" s="708">
        <f t="shared" si="56"/>
        <v>1</v>
      </c>
      <c r="AQ29" s="708">
        <f t="shared" si="56"/>
        <v>0</v>
      </c>
      <c r="AR29" s="708">
        <f t="shared" si="56"/>
        <v>0</v>
      </c>
      <c r="AS29" s="708">
        <f t="shared" si="56"/>
        <v>0</v>
      </c>
      <c r="AT29" s="708">
        <f t="shared" si="56"/>
        <v>0</v>
      </c>
      <c r="AU29" s="708">
        <f t="shared" si="56"/>
        <v>0</v>
      </c>
      <c r="AV29" s="708">
        <f t="shared" si="56"/>
        <v>0</v>
      </c>
      <c r="AW29" s="708">
        <f t="shared" si="56"/>
        <v>1</v>
      </c>
      <c r="AX29" s="708">
        <f t="shared" si="56"/>
        <v>1</v>
      </c>
      <c r="AY29" s="708">
        <f t="shared" si="56"/>
        <v>0</v>
      </c>
      <c r="AZ29" s="708">
        <f t="shared" si="56"/>
        <v>0</v>
      </c>
      <c r="BA29" s="708">
        <f t="shared" si="56"/>
        <v>13</v>
      </c>
      <c r="BB29" s="708">
        <f t="shared" si="56"/>
        <v>13</v>
      </c>
      <c r="BC29" s="708">
        <f t="shared" si="56"/>
        <v>13</v>
      </c>
      <c r="BD29" s="708">
        <f t="shared" si="56"/>
        <v>13</v>
      </c>
      <c r="BE29" s="708">
        <f t="shared" si="56"/>
        <v>13</v>
      </c>
      <c r="BF29" s="708">
        <f t="shared" si="56"/>
        <v>7</v>
      </c>
      <c r="BG29" s="708">
        <f t="shared" si="56"/>
        <v>0</v>
      </c>
      <c r="BH29" s="708">
        <f t="shared" si="56"/>
        <v>0</v>
      </c>
      <c r="BI29" s="708">
        <f t="shared" si="56"/>
        <v>1</v>
      </c>
      <c r="BJ29" s="708">
        <f t="shared" si="56"/>
        <v>6</v>
      </c>
      <c r="BK29" s="708">
        <f t="shared" si="56"/>
        <v>1</v>
      </c>
      <c r="BL29" s="708">
        <f t="shared" si="56"/>
        <v>0</v>
      </c>
      <c r="BM29" s="708">
        <f t="shared" si="56"/>
        <v>2</v>
      </c>
      <c r="BN29" s="708">
        <f t="shared" si="56"/>
        <v>1</v>
      </c>
      <c r="BO29" s="708">
        <f t="shared" si="56"/>
        <v>1</v>
      </c>
      <c r="BP29" s="708">
        <f t="shared" si="56"/>
        <v>0</v>
      </c>
      <c r="BQ29" s="708">
        <f t="shared" si="56"/>
        <v>1</v>
      </c>
      <c r="BR29" s="708">
        <f t="shared" si="56"/>
        <v>0</v>
      </c>
      <c r="BS29" s="708">
        <f t="shared" si="56"/>
        <v>0</v>
      </c>
      <c r="BT29" s="708">
        <f t="shared" si="56"/>
        <v>0</v>
      </c>
      <c r="BU29" s="708">
        <f t="shared" si="56"/>
        <v>1</v>
      </c>
      <c r="BV29" s="708">
        <f t="shared" si="56"/>
        <v>0</v>
      </c>
      <c r="BW29" s="708">
        <f t="shared" si="56"/>
        <v>0</v>
      </c>
      <c r="BX29" s="708">
        <f t="shared" si="56"/>
        <v>0</v>
      </c>
      <c r="BY29" s="708">
        <f t="shared" si="56"/>
        <v>0</v>
      </c>
      <c r="BZ29" s="708">
        <f t="shared" si="56"/>
        <v>0</v>
      </c>
      <c r="CA29" s="708">
        <f t="shared" si="56"/>
        <v>3</v>
      </c>
      <c r="CB29" s="708">
        <f t="shared" si="56"/>
        <v>3</v>
      </c>
      <c r="CC29" s="708">
        <f t="shared" si="56"/>
        <v>0</v>
      </c>
      <c r="CD29" s="708">
        <f t="shared" si="56"/>
        <v>0</v>
      </c>
      <c r="CE29" s="708">
        <f t="shared" si="56"/>
        <v>10</v>
      </c>
      <c r="CF29" s="708">
        <f t="shared" si="56"/>
        <v>10</v>
      </c>
      <c r="CG29" s="708">
        <f t="shared" si="56"/>
        <v>10</v>
      </c>
      <c r="CH29" s="708">
        <f t="shared" si="56"/>
        <v>10</v>
      </c>
      <c r="CI29" s="708">
        <f t="shared" si="56"/>
        <v>10</v>
      </c>
      <c r="CJ29" s="703">
        <f>CJ24+CJ27</f>
        <v>12</v>
      </c>
      <c r="CK29" s="703">
        <f>CK24+CK27</f>
        <v>0</v>
      </c>
      <c r="CL29" s="703">
        <f>CL24+CL27</f>
        <v>0</v>
      </c>
      <c r="CM29" s="703">
        <f t="shared" si="56"/>
        <v>5</v>
      </c>
      <c r="CN29" s="703">
        <v>5</v>
      </c>
      <c r="CO29" s="703">
        <f t="shared" ref="CO29:DH29" si="57">CO24+CO27</f>
        <v>6</v>
      </c>
      <c r="CP29" s="703">
        <f t="shared" si="57"/>
        <v>6</v>
      </c>
      <c r="CQ29" s="703">
        <f t="shared" si="57"/>
        <v>0</v>
      </c>
      <c r="CR29" s="703">
        <f t="shared" si="57"/>
        <v>1</v>
      </c>
      <c r="CS29" s="709">
        <f t="shared" si="57"/>
        <v>1</v>
      </c>
      <c r="CT29" s="709">
        <f t="shared" si="57"/>
        <v>0</v>
      </c>
      <c r="CU29" s="710">
        <f t="shared" si="57"/>
        <v>0</v>
      </c>
      <c r="CV29" s="710">
        <f t="shared" si="57"/>
        <v>0</v>
      </c>
      <c r="CW29" s="703">
        <f t="shared" si="57"/>
        <v>0</v>
      </c>
      <c r="CX29" s="703">
        <f t="shared" si="57"/>
        <v>0</v>
      </c>
      <c r="CY29" s="703">
        <f t="shared" si="57"/>
        <v>0</v>
      </c>
      <c r="CZ29" s="703">
        <f t="shared" si="57"/>
        <v>0</v>
      </c>
      <c r="DA29" s="703">
        <v>0</v>
      </c>
      <c r="DB29" s="703">
        <v>0</v>
      </c>
      <c r="DC29" s="703">
        <f t="shared" si="57"/>
        <v>0</v>
      </c>
      <c r="DD29" s="703">
        <f t="shared" si="57"/>
        <v>0</v>
      </c>
      <c r="DE29" s="703">
        <f t="shared" si="57"/>
        <v>0</v>
      </c>
      <c r="DF29" s="703">
        <f t="shared" si="57"/>
        <v>0</v>
      </c>
      <c r="DG29" s="703">
        <f t="shared" si="57"/>
        <v>0</v>
      </c>
      <c r="DH29" s="703">
        <f t="shared" si="57"/>
        <v>0</v>
      </c>
      <c r="DI29" s="727">
        <f t="shared" si="21"/>
        <v>12</v>
      </c>
      <c r="DJ29" s="728">
        <f t="shared" si="9"/>
        <v>12</v>
      </c>
      <c r="DK29" s="729">
        <f t="shared" si="10"/>
        <v>12</v>
      </c>
      <c r="DL29" s="727">
        <f t="shared" si="17"/>
        <v>12</v>
      </c>
      <c r="DM29" s="727">
        <f t="shared" si="18"/>
        <v>12</v>
      </c>
      <c r="DN29" s="739">
        <v>5</v>
      </c>
      <c r="DO29" s="727">
        <v>5</v>
      </c>
      <c r="DP29" s="727">
        <v>5</v>
      </c>
      <c r="DQ29" s="727"/>
      <c r="DR29" s="727"/>
      <c r="DS29" s="727"/>
      <c r="DT29" s="727"/>
      <c r="DU29" s="727"/>
      <c r="DV29" s="727"/>
      <c r="DW29" s="727"/>
      <c r="DX29" s="727"/>
      <c r="DY29" s="727"/>
      <c r="DZ29" s="727"/>
      <c r="EA29" s="727"/>
      <c r="EB29" s="727"/>
      <c r="EC29" s="727"/>
      <c r="ED29" s="727"/>
      <c r="EE29" s="727"/>
      <c r="EF29" s="727"/>
      <c r="EG29" s="727"/>
      <c r="EH29" s="727"/>
      <c r="EI29" s="727"/>
      <c r="EJ29" s="727"/>
      <c r="EK29" s="727"/>
      <c r="EL29" s="727"/>
      <c r="EM29" s="727">
        <f t="shared" si="49"/>
        <v>5</v>
      </c>
      <c r="EN29" s="727">
        <f t="shared" si="50"/>
        <v>5</v>
      </c>
      <c r="EO29" s="727">
        <f t="shared" si="51"/>
        <v>5</v>
      </c>
      <c r="EP29" s="727">
        <f t="shared" si="52"/>
        <v>5</v>
      </c>
      <c r="EQ29" s="727">
        <f t="shared" si="38"/>
        <v>5</v>
      </c>
      <c r="ER29" s="696">
        <f t="shared" si="22"/>
        <v>0</v>
      </c>
      <c r="ES29" s="693">
        <f t="shared" si="34"/>
        <v>1</v>
      </c>
      <c r="ET29" s="678">
        <f>INVERSIÓN!EQ29/INVERSIÓN!EP29</f>
        <v>1</v>
      </c>
      <c r="EU29" s="690">
        <f t="shared" si="16"/>
        <v>1</v>
      </c>
      <c r="EV29" s="695">
        <f t="shared" si="35"/>
        <v>1</v>
      </c>
      <c r="EW29" s="981"/>
      <c r="EX29" s="878"/>
      <c r="EY29" s="878"/>
      <c r="EZ29" s="878"/>
      <c r="FA29" s="979"/>
    </row>
    <row r="30" spans="1:208" s="225" customFormat="1" ht="42.75" customHeight="1" thickBot="1" x14ac:dyDescent="0.3">
      <c r="A30" s="972"/>
      <c r="B30" s="975"/>
      <c r="C30" s="966"/>
      <c r="D30" s="960"/>
      <c r="E30" s="960"/>
      <c r="F30" s="281" t="s">
        <v>45</v>
      </c>
      <c r="G30" s="752">
        <f>G25+G28</f>
        <v>1583333993</v>
      </c>
      <c r="H30" s="484">
        <f t="shared" ref="H30:BS30" si="58">H25+H28</f>
        <v>171232872</v>
      </c>
      <c r="I30" s="484">
        <f t="shared" si="58"/>
        <v>0</v>
      </c>
      <c r="J30" s="484">
        <f t="shared" si="58"/>
        <v>0</v>
      </c>
      <c r="K30" s="484">
        <f t="shared" si="58"/>
        <v>171232872</v>
      </c>
      <c r="L30" s="484">
        <f t="shared" si="58"/>
        <v>0</v>
      </c>
      <c r="M30" s="484">
        <f t="shared" si="58"/>
        <v>171232872</v>
      </c>
      <c r="N30" s="484">
        <f t="shared" si="58"/>
        <v>94940000</v>
      </c>
      <c r="O30" s="484">
        <f t="shared" si="58"/>
        <v>171232872</v>
      </c>
      <c r="P30" s="484">
        <f t="shared" si="58"/>
        <v>94940000</v>
      </c>
      <c r="Q30" s="484">
        <f t="shared" si="58"/>
        <v>171232872</v>
      </c>
      <c r="R30" s="484">
        <f t="shared" si="58"/>
        <v>94940000</v>
      </c>
      <c r="S30" s="484">
        <f t="shared" si="58"/>
        <v>171232872</v>
      </c>
      <c r="T30" s="484">
        <f t="shared" si="58"/>
        <v>94940000</v>
      </c>
      <c r="U30" s="484">
        <f t="shared" si="58"/>
        <v>171232872</v>
      </c>
      <c r="V30" s="484">
        <f t="shared" si="58"/>
        <v>164967872</v>
      </c>
      <c r="W30" s="484">
        <f t="shared" si="58"/>
        <v>171232872</v>
      </c>
      <c r="X30" s="484">
        <f t="shared" si="58"/>
        <v>171232872</v>
      </c>
      <c r="Y30" s="484">
        <f t="shared" si="58"/>
        <v>164967872</v>
      </c>
      <c r="Z30" s="484">
        <f t="shared" si="58"/>
        <v>171232872</v>
      </c>
      <c r="AA30" s="484">
        <f t="shared" si="58"/>
        <v>164967872</v>
      </c>
      <c r="AB30" s="484">
        <f t="shared" si="58"/>
        <v>434619838</v>
      </c>
      <c r="AC30" s="484">
        <f t="shared" si="58"/>
        <v>10149000</v>
      </c>
      <c r="AD30" s="484">
        <f t="shared" si="58"/>
        <v>10149000</v>
      </c>
      <c r="AE30" s="484">
        <f t="shared" si="58"/>
        <v>164451000</v>
      </c>
      <c r="AF30" s="484">
        <f t="shared" si="58"/>
        <v>164451000</v>
      </c>
      <c r="AG30" s="484">
        <f t="shared" si="58"/>
        <v>208792966</v>
      </c>
      <c r="AH30" s="484">
        <f t="shared" si="58"/>
        <v>168968966</v>
      </c>
      <c r="AI30" s="484">
        <f t="shared" si="58"/>
        <v>0</v>
      </c>
      <c r="AJ30" s="484">
        <f t="shared" si="58"/>
        <v>39824000</v>
      </c>
      <c r="AK30" s="484">
        <f t="shared" si="58"/>
        <v>0</v>
      </c>
      <c r="AL30" s="484">
        <f t="shared" si="58"/>
        <v>0</v>
      </c>
      <c r="AM30" s="484">
        <f t="shared" si="58"/>
        <v>22557872</v>
      </c>
      <c r="AN30" s="484">
        <f t="shared" si="58"/>
        <v>22553009</v>
      </c>
      <c r="AO30" s="484">
        <f t="shared" si="58"/>
        <v>7993000</v>
      </c>
      <c r="AP30" s="484">
        <f t="shared" si="58"/>
        <v>0</v>
      </c>
      <c r="AQ30" s="484">
        <f t="shared" si="58"/>
        <v>0</v>
      </c>
      <c r="AR30" s="484">
        <f t="shared" si="58"/>
        <v>0</v>
      </c>
      <c r="AS30" s="484">
        <f t="shared" si="58"/>
        <v>-3670000</v>
      </c>
      <c r="AT30" s="484">
        <f t="shared" si="58"/>
        <v>4323000</v>
      </c>
      <c r="AU30" s="484">
        <f t="shared" si="58"/>
        <v>-4863</v>
      </c>
      <c r="AV30" s="484">
        <f t="shared" si="58"/>
        <v>0</v>
      </c>
      <c r="AW30" s="484">
        <f t="shared" si="58"/>
        <v>0</v>
      </c>
      <c r="AX30" s="484">
        <f t="shared" si="58"/>
        <v>0</v>
      </c>
      <c r="AY30" s="484">
        <f t="shared" si="58"/>
        <v>0</v>
      </c>
      <c r="AZ30" s="484">
        <f t="shared" si="58"/>
        <v>-248033</v>
      </c>
      <c r="BA30" s="484">
        <f t="shared" si="58"/>
        <v>410268975</v>
      </c>
      <c r="BB30" s="484">
        <f t="shared" si="58"/>
        <v>410268975</v>
      </c>
      <c r="BC30" s="484">
        <f t="shared" si="58"/>
        <v>410020942</v>
      </c>
      <c r="BD30" s="484">
        <f t="shared" si="58"/>
        <v>410268975</v>
      </c>
      <c r="BE30" s="484">
        <f t="shared" si="58"/>
        <v>410020942</v>
      </c>
      <c r="BF30" s="484">
        <f t="shared" si="58"/>
        <v>305538967</v>
      </c>
      <c r="BG30" s="484">
        <f t="shared" si="58"/>
        <v>299294867</v>
      </c>
      <c r="BH30" s="484">
        <f t="shared" si="58"/>
        <v>299294867</v>
      </c>
      <c r="BI30" s="484">
        <f t="shared" si="58"/>
        <v>1585100</v>
      </c>
      <c r="BJ30" s="484">
        <f t="shared" si="58"/>
        <v>1585100</v>
      </c>
      <c r="BK30" s="484">
        <f t="shared" si="58"/>
        <v>0</v>
      </c>
      <c r="BL30" s="484">
        <f t="shared" si="58"/>
        <v>0</v>
      </c>
      <c r="BM30" s="484">
        <f t="shared" si="58"/>
        <v>0</v>
      </c>
      <c r="BN30" s="484">
        <f t="shared" si="58"/>
        <v>0</v>
      </c>
      <c r="BO30" s="484">
        <f t="shared" si="58"/>
        <v>4659000</v>
      </c>
      <c r="BP30" s="484">
        <f t="shared" si="58"/>
        <v>0</v>
      </c>
      <c r="BQ30" s="484">
        <f t="shared" si="58"/>
        <v>0</v>
      </c>
      <c r="BR30" s="484">
        <f t="shared" si="58"/>
        <v>3679000</v>
      </c>
      <c r="BS30" s="484">
        <f t="shared" si="58"/>
        <v>0</v>
      </c>
      <c r="BT30" s="484">
        <f t="shared" ref="BT30:DH30" si="59">BT25+BT28</f>
        <v>0</v>
      </c>
      <c r="BU30" s="484">
        <f t="shared" si="59"/>
        <v>0</v>
      </c>
      <c r="BV30" s="484">
        <f t="shared" si="59"/>
        <v>0</v>
      </c>
      <c r="BW30" s="484">
        <f t="shared" si="59"/>
        <v>0</v>
      </c>
      <c r="BX30" s="484">
        <f t="shared" si="59"/>
        <v>835200</v>
      </c>
      <c r="BY30" s="484">
        <f t="shared" si="59"/>
        <v>32449934</v>
      </c>
      <c r="BZ30" s="484">
        <f t="shared" si="59"/>
        <v>10618500</v>
      </c>
      <c r="CA30" s="484">
        <f t="shared" si="59"/>
        <v>0</v>
      </c>
      <c r="CB30" s="484">
        <f t="shared" si="59"/>
        <v>21942066</v>
      </c>
      <c r="CC30" s="484">
        <f t="shared" si="59"/>
        <v>2530000</v>
      </c>
      <c r="CD30" s="484">
        <f t="shared" si="59"/>
        <v>2530000</v>
      </c>
      <c r="CE30" s="484">
        <f t="shared" si="59"/>
        <v>340518901</v>
      </c>
      <c r="CF30" s="484">
        <f t="shared" si="59"/>
        <v>340518901</v>
      </c>
      <c r="CG30" s="484">
        <f t="shared" si="59"/>
        <v>340484733</v>
      </c>
      <c r="CH30" s="484">
        <f t="shared" si="59"/>
        <v>340518901</v>
      </c>
      <c r="CI30" s="484">
        <f t="shared" si="59"/>
        <v>340484733</v>
      </c>
      <c r="CJ30" s="484">
        <f t="shared" si="59"/>
        <v>264391242</v>
      </c>
      <c r="CK30" s="484">
        <f t="shared" si="59"/>
        <v>12536634</v>
      </c>
      <c r="CL30" s="484">
        <f t="shared" si="59"/>
        <v>12536634</v>
      </c>
      <c r="CM30" s="484">
        <f t="shared" si="59"/>
        <v>201995530</v>
      </c>
      <c r="CN30" s="484">
        <f t="shared" si="59"/>
        <v>201995530</v>
      </c>
      <c r="CO30" s="484">
        <f t="shared" si="59"/>
        <v>39186050</v>
      </c>
      <c r="CP30" s="484">
        <f t="shared" si="59"/>
        <v>39186050</v>
      </c>
      <c r="CQ30" s="484">
        <f t="shared" si="59"/>
        <v>11166219</v>
      </c>
      <c r="CR30" s="484">
        <f t="shared" si="59"/>
        <v>56600</v>
      </c>
      <c r="CS30" s="484">
        <f t="shared" si="59"/>
        <v>0</v>
      </c>
      <c r="CT30" s="484">
        <f t="shared" si="59"/>
        <v>2086933</v>
      </c>
      <c r="CU30" s="484">
        <f>CU25+CU28</f>
        <v>-493191</v>
      </c>
      <c r="CV30" s="484">
        <f>CV25+CV28</f>
        <v>0</v>
      </c>
      <c r="CW30" s="484">
        <f t="shared" si="59"/>
        <v>0</v>
      </c>
      <c r="CX30" s="484">
        <f t="shared" si="59"/>
        <v>0</v>
      </c>
      <c r="CY30" s="484">
        <f t="shared" si="59"/>
        <v>0</v>
      </c>
      <c r="CZ30" s="484">
        <f t="shared" si="59"/>
        <v>0</v>
      </c>
      <c r="DA30" s="484">
        <f t="shared" si="59"/>
        <v>0</v>
      </c>
      <c r="DB30" s="484">
        <f t="shared" si="59"/>
        <v>0</v>
      </c>
      <c r="DC30" s="484">
        <f t="shared" si="59"/>
        <v>0</v>
      </c>
      <c r="DD30" s="484">
        <f t="shared" si="59"/>
        <v>7676933</v>
      </c>
      <c r="DE30" s="484">
        <f>DE25+DE28</f>
        <v>5545505</v>
      </c>
      <c r="DF30" s="484">
        <f t="shared" si="59"/>
        <v>5548000</v>
      </c>
      <c r="DG30" s="484">
        <f>DG25+DG28</f>
        <v>18599000</v>
      </c>
      <c r="DH30" s="573">
        <f t="shared" si="59"/>
        <v>17799400</v>
      </c>
      <c r="DI30" s="484">
        <f>DI25+DI28</f>
        <v>288535747</v>
      </c>
      <c r="DJ30" s="711">
        <f t="shared" si="9"/>
        <v>288535747</v>
      </c>
      <c r="DK30" s="712">
        <f t="shared" si="10"/>
        <v>286886080</v>
      </c>
      <c r="DL30" s="485">
        <f>DL25+DL28</f>
        <v>288535747</v>
      </c>
      <c r="DM30" s="485">
        <f>DM25+DM28</f>
        <v>286886080</v>
      </c>
      <c r="DN30" s="485">
        <f t="shared" ref="DN30:EQ30" si="60">DN25+DN28</f>
        <v>380974366</v>
      </c>
      <c r="DO30" s="485">
        <f t="shared" si="60"/>
        <v>11503000</v>
      </c>
      <c r="DP30" s="485">
        <f t="shared" si="60"/>
        <v>11503000</v>
      </c>
      <c r="DQ30" s="485">
        <f t="shared" si="60"/>
        <v>156224566</v>
      </c>
      <c r="DR30" s="485">
        <f t="shared" si="60"/>
        <v>131483366</v>
      </c>
      <c r="DS30" s="485">
        <f t="shared" si="60"/>
        <v>8000000</v>
      </c>
      <c r="DT30" s="485">
        <f t="shared" si="60"/>
        <v>13272000</v>
      </c>
      <c r="DU30" s="485">
        <f t="shared" si="60"/>
        <v>0</v>
      </c>
      <c r="DV30" s="485">
        <f t="shared" si="60"/>
        <v>0</v>
      </c>
      <c r="DW30" s="485">
        <f t="shared" si="60"/>
        <v>10922000</v>
      </c>
      <c r="DX30" s="485">
        <f t="shared" si="60"/>
        <v>0</v>
      </c>
      <c r="DY30" s="485">
        <f t="shared" si="60"/>
        <v>194324800</v>
      </c>
      <c r="DZ30" s="485">
        <f t="shared" si="60"/>
        <v>0</v>
      </c>
      <c r="EA30" s="485">
        <f t="shared" si="60"/>
        <v>0</v>
      </c>
      <c r="EB30" s="485">
        <f t="shared" si="60"/>
        <v>0</v>
      </c>
      <c r="EC30" s="485">
        <f t="shared" si="60"/>
        <v>0</v>
      </c>
      <c r="ED30" s="485">
        <f t="shared" si="60"/>
        <v>0</v>
      </c>
      <c r="EE30" s="485">
        <f t="shared" si="60"/>
        <v>0</v>
      </c>
      <c r="EF30" s="485">
        <f t="shared" si="60"/>
        <v>0</v>
      </c>
      <c r="EG30" s="485">
        <f t="shared" si="60"/>
        <v>0</v>
      </c>
      <c r="EH30" s="485">
        <f t="shared" si="60"/>
        <v>0</v>
      </c>
      <c r="EI30" s="485">
        <f t="shared" si="60"/>
        <v>0</v>
      </c>
      <c r="EJ30" s="485">
        <f t="shared" si="60"/>
        <v>0</v>
      </c>
      <c r="EK30" s="485">
        <f t="shared" si="60"/>
        <v>0</v>
      </c>
      <c r="EL30" s="485">
        <f t="shared" si="60"/>
        <v>0</v>
      </c>
      <c r="EM30" s="485">
        <f t="shared" si="60"/>
        <v>380974366</v>
      </c>
      <c r="EN30" s="485">
        <f t="shared" si="60"/>
        <v>186649566</v>
      </c>
      <c r="EO30" s="485">
        <f t="shared" si="60"/>
        <v>156258366</v>
      </c>
      <c r="EP30" s="485">
        <f t="shared" si="60"/>
        <v>380974366</v>
      </c>
      <c r="EQ30" s="485">
        <f t="shared" si="60"/>
        <v>156258366</v>
      </c>
      <c r="ER30" s="682">
        <f t="shared" si="22"/>
        <v>1.659</v>
      </c>
      <c r="ES30" s="685">
        <f t="shared" si="34"/>
        <v>0.83717508349309533</v>
      </c>
      <c r="ET30" s="684">
        <f>INVERSIÓN!EQ30/INVERSIÓN!EP30</f>
        <v>0.41015454042385624</v>
      </c>
      <c r="EU30" s="679">
        <f t="shared" si="16"/>
        <v>0.97238197780763846</v>
      </c>
      <c r="EV30" s="683">
        <f t="shared" si="35"/>
        <v>0.85807416439394291</v>
      </c>
      <c r="EW30" s="982"/>
      <c r="EX30" s="878"/>
      <c r="EY30" s="878"/>
      <c r="EZ30" s="977"/>
      <c r="FA30" s="980"/>
    </row>
    <row r="31" spans="1:208" s="216" customFormat="1" ht="39" customHeight="1" x14ac:dyDescent="0.25">
      <c r="A31" s="967" t="s">
        <v>5</v>
      </c>
      <c r="B31" s="968"/>
      <c r="C31" s="968"/>
      <c r="D31" s="968"/>
      <c r="E31" s="968"/>
      <c r="F31" s="251" t="s">
        <v>44</v>
      </c>
      <c r="G31" s="574">
        <f>G11+G18+G25</f>
        <v>26873457339</v>
      </c>
      <c r="H31" s="575">
        <f t="shared" ref="H31:BS31" si="61">H11+H18+H25</f>
        <v>3100351062</v>
      </c>
      <c r="I31" s="575">
        <f t="shared" si="61"/>
        <v>0</v>
      </c>
      <c r="J31" s="575">
        <f t="shared" si="61"/>
        <v>0</v>
      </c>
      <c r="K31" s="575">
        <f t="shared" si="61"/>
        <v>3100351062</v>
      </c>
      <c r="L31" s="575">
        <f t="shared" si="61"/>
        <v>61765000</v>
      </c>
      <c r="M31" s="575">
        <f t="shared" si="61"/>
        <v>3100351062</v>
      </c>
      <c r="N31" s="575">
        <f t="shared" si="61"/>
        <v>1834168000</v>
      </c>
      <c r="O31" s="575">
        <f t="shared" si="61"/>
        <v>3100351062</v>
      </c>
      <c r="P31" s="575">
        <f t="shared" si="61"/>
        <v>2020192000</v>
      </c>
      <c r="Q31" s="575">
        <f t="shared" si="61"/>
        <v>3100351062</v>
      </c>
      <c r="R31" s="575">
        <f t="shared" si="61"/>
        <v>2034888255</v>
      </c>
      <c r="S31" s="575">
        <f t="shared" si="61"/>
        <v>3100351062</v>
      </c>
      <c r="T31" s="575">
        <f t="shared" si="61"/>
        <v>2264196031</v>
      </c>
      <c r="U31" s="575">
        <f t="shared" si="61"/>
        <v>3100351062</v>
      </c>
      <c r="V31" s="575">
        <f t="shared" si="61"/>
        <v>3057415113</v>
      </c>
      <c r="W31" s="575">
        <f t="shared" si="61"/>
        <v>3100351062</v>
      </c>
      <c r="X31" s="575">
        <f t="shared" si="61"/>
        <v>3100351062</v>
      </c>
      <c r="Y31" s="575">
        <f t="shared" si="61"/>
        <v>3057415113</v>
      </c>
      <c r="Z31" s="575">
        <f>Z11+Z18+Z25</f>
        <v>3100351062</v>
      </c>
      <c r="AA31" s="575">
        <f t="shared" si="61"/>
        <v>3057415113</v>
      </c>
      <c r="AB31" s="575">
        <f t="shared" si="61"/>
        <v>4401256731</v>
      </c>
      <c r="AC31" s="575">
        <f t="shared" si="61"/>
        <v>0</v>
      </c>
      <c r="AD31" s="575">
        <f t="shared" si="61"/>
        <v>0</v>
      </c>
      <c r="AE31" s="575">
        <f t="shared" si="61"/>
        <v>3549336000</v>
      </c>
      <c r="AF31" s="575">
        <f t="shared" si="61"/>
        <v>1251929000</v>
      </c>
      <c r="AG31" s="575">
        <f t="shared" si="61"/>
        <v>608219200</v>
      </c>
      <c r="AH31" s="575">
        <f t="shared" si="61"/>
        <v>2448577000</v>
      </c>
      <c r="AI31" s="575">
        <f t="shared" si="61"/>
        <v>0</v>
      </c>
      <c r="AJ31" s="575">
        <f t="shared" si="61"/>
        <v>279035000</v>
      </c>
      <c r="AK31" s="575">
        <f t="shared" si="61"/>
        <v>10850000</v>
      </c>
      <c r="AL31" s="575">
        <f t="shared" si="61"/>
        <v>7044550</v>
      </c>
      <c r="AM31" s="575">
        <f t="shared" si="61"/>
        <v>0</v>
      </c>
      <c r="AN31" s="575">
        <f t="shared" si="61"/>
        <v>161532180</v>
      </c>
      <c r="AO31" s="575">
        <f t="shared" si="61"/>
        <v>51815800</v>
      </c>
      <c r="AP31" s="575">
        <f t="shared" si="61"/>
        <v>0</v>
      </c>
      <c r="AQ31" s="575">
        <f t="shared" si="61"/>
        <v>0</v>
      </c>
      <c r="AR31" s="575">
        <f t="shared" si="61"/>
        <v>11804000</v>
      </c>
      <c r="AS31" s="575">
        <f t="shared" si="61"/>
        <v>-3670000</v>
      </c>
      <c r="AT31" s="575">
        <f t="shared" si="61"/>
        <v>58936000</v>
      </c>
      <c r="AU31" s="575">
        <f t="shared" si="61"/>
        <v>24324000</v>
      </c>
      <c r="AV31" s="575">
        <f t="shared" si="61"/>
        <v>24196667</v>
      </c>
      <c r="AW31" s="575">
        <f t="shared" si="61"/>
        <v>89648469</v>
      </c>
      <c r="AX31" s="575">
        <f t="shared" si="61"/>
        <v>96505434</v>
      </c>
      <c r="AY31" s="575">
        <f t="shared" si="61"/>
        <v>77318531</v>
      </c>
      <c r="AZ31" s="575">
        <f t="shared" si="61"/>
        <v>63992366</v>
      </c>
      <c r="BA31" s="575">
        <f t="shared" si="61"/>
        <v>4407842000</v>
      </c>
      <c r="BB31" s="575">
        <f t="shared" si="61"/>
        <v>4407842000</v>
      </c>
      <c r="BC31" s="575">
        <f t="shared" si="61"/>
        <v>4403552197</v>
      </c>
      <c r="BD31" s="575">
        <f t="shared" si="61"/>
        <v>4407842000</v>
      </c>
      <c r="BE31" s="575">
        <f t="shared" si="61"/>
        <v>4403552197</v>
      </c>
      <c r="BF31" s="575">
        <f t="shared" si="61"/>
        <v>6598755000</v>
      </c>
      <c r="BG31" s="575">
        <f t="shared" si="61"/>
        <v>6321062000</v>
      </c>
      <c r="BH31" s="575">
        <f t="shared" si="61"/>
        <v>6256327000</v>
      </c>
      <c r="BI31" s="575">
        <f t="shared" si="61"/>
        <v>22628000</v>
      </c>
      <c r="BJ31" s="575">
        <f t="shared" si="61"/>
        <v>50780000</v>
      </c>
      <c r="BK31" s="575">
        <f t="shared" si="61"/>
        <v>23316000</v>
      </c>
      <c r="BL31" s="575">
        <f t="shared" si="61"/>
        <v>18709000</v>
      </c>
      <c r="BM31" s="575">
        <f t="shared" si="61"/>
        <v>0</v>
      </c>
      <c r="BN31" s="575">
        <f t="shared" si="61"/>
        <v>0</v>
      </c>
      <c r="BO31" s="575">
        <f t="shared" si="61"/>
        <v>4659000</v>
      </c>
      <c r="BP31" s="575">
        <f t="shared" si="61"/>
        <v>0</v>
      </c>
      <c r="BQ31" s="575">
        <f t="shared" si="61"/>
        <v>12677000</v>
      </c>
      <c r="BR31" s="575">
        <f t="shared" si="61"/>
        <v>37649000</v>
      </c>
      <c r="BS31" s="575">
        <f t="shared" si="61"/>
        <v>154634000</v>
      </c>
      <c r="BT31" s="575">
        <f t="shared" ref="BT31:DN31" si="62">BT11+BT18+BT25</f>
        <v>2909400</v>
      </c>
      <c r="BU31" s="575">
        <f t="shared" si="62"/>
        <v>10674000</v>
      </c>
      <c r="BV31" s="575">
        <f t="shared" si="62"/>
        <v>53724300</v>
      </c>
      <c r="BW31" s="575">
        <f t="shared" si="62"/>
        <v>0</v>
      </c>
      <c r="BX31" s="575">
        <f t="shared" si="62"/>
        <v>9928200</v>
      </c>
      <c r="BY31" s="575">
        <f t="shared" si="62"/>
        <v>60929734</v>
      </c>
      <c r="BZ31" s="575">
        <f t="shared" si="62"/>
        <v>32642267</v>
      </c>
      <c r="CA31" s="575">
        <f t="shared" si="62"/>
        <v>464103768</v>
      </c>
      <c r="CB31" s="575">
        <f t="shared" si="62"/>
        <v>518173462</v>
      </c>
      <c r="CC31" s="575">
        <f t="shared" si="62"/>
        <v>59071498</v>
      </c>
      <c r="CD31" s="575">
        <f t="shared" si="62"/>
        <v>136419466</v>
      </c>
      <c r="CE31" s="575">
        <f t="shared" si="62"/>
        <v>7133755000</v>
      </c>
      <c r="CF31" s="575">
        <f t="shared" si="62"/>
        <v>7133755000</v>
      </c>
      <c r="CG31" s="575">
        <f t="shared" si="62"/>
        <v>7117262095</v>
      </c>
      <c r="CH31" s="575">
        <f t="shared" si="62"/>
        <v>7133755000</v>
      </c>
      <c r="CI31" s="575">
        <f t="shared" si="62"/>
        <v>7117262095</v>
      </c>
      <c r="CJ31" s="575">
        <f t="shared" si="62"/>
        <v>5061662000</v>
      </c>
      <c r="CK31" s="575">
        <f t="shared" si="62"/>
        <v>1369056000</v>
      </c>
      <c r="CL31" s="575">
        <f t="shared" si="62"/>
        <v>1369056000</v>
      </c>
      <c r="CM31" s="575">
        <f t="shared" si="62"/>
        <v>2407691000</v>
      </c>
      <c r="CN31" s="575">
        <f t="shared" si="62"/>
        <v>2407691000</v>
      </c>
      <c r="CO31" s="575">
        <f t="shared" si="62"/>
        <v>998588000</v>
      </c>
      <c r="CP31" s="575">
        <f t="shared" si="62"/>
        <v>998588000</v>
      </c>
      <c r="CQ31" s="575">
        <f t="shared" si="62"/>
        <v>163670000</v>
      </c>
      <c r="CR31" s="575">
        <f t="shared" si="62"/>
        <v>48590000</v>
      </c>
      <c r="CS31" s="575">
        <f t="shared" si="62"/>
        <v>60833000</v>
      </c>
      <c r="CT31" s="575">
        <f t="shared" si="62"/>
        <v>92737000</v>
      </c>
      <c r="CU31" s="575">
        <f t="shared" si="62"/>
        <v>0</v>
      </c>
      <c r="CV31" s="575">
        <f t="shared" si="62"/>
        <v>22045000</v>
      </c>
      <c r="CW31" s="575">
        <f t="shared" si="62"/>
        <v>54586000</v>
      </c>
      <c r="CX31" s="575">
        <f t="shared" si="62"/>
        <v>0</v>
      </c>
      <c r="CY31" s="575">
        <f t="shared" si="62"/>
        <v>0</v>
      </c>
      <c r="CZ31" s="575">
        <f t="shared" si="62"/>
        <v>5000000</v>
      </c>
      <c r="DA31" s="575">
        <f t="shared" si="62"/>
        <v>0</v>
      </c>
      <c r="DB31" s="575">
        <f t="shared" si="62"/>
        <v>0</v>
      </c>
      <c r="DC31" s="575">
        <f t="shared" si="62"/>
        <v>4464000</v>
      </c>
      <c r="DD31" s="575">
        <f t="shared" si="62"/>
        <v>7676933</v>
      </c>
      <c r="DE31" s="575">
        <f t="shared" si="62"/>
        <v>148415834</v>
      </c>
      <c r="DF31" s="575">
        <f t="shared" si="62"/>
        <v>148415834</v>
      </c>
      <c r="DG31" s="575">
        <f t="shared" si="62"/>
        <v>172787166</v>
      </c>
      <c r="DH31" s="575">
        <f t="shared" si="62"/>
        <v>273990167</v>
      </c>
      <c r="DI31" s="575">
        <f t="shared" si="62"/>
        <v>5380091000</v>
      </c>
      <c r="DJ31" s="713">
        <f t="shared" si="9"/>
        <v>5380091000</v>
      </c>
      <c r="DK31" s="714">
        <f t="shared" si="10"/>
        <v>5373789934</v>
      </c>
      <c r="DL31" s="575">
        <f t="shared" si="62"/>
        <v>5380091000</v>
      </c>
      <c r="DM31" s="575">
        <f t="shared" si="62"/>
        <v>5373789934</v>
      </c>
      <c r="DN31" s="576">
        <f t="shared" si="62"/>
        <v>6921438000</v>
      </c>
      <c r="DO31" s="576">
        <f t="shared" ref="DO31:EN31" si="63">DO11+DO18+DO25</f>
        <v>500122466</v>
      </c>
      <c r="DP31" s="576">
        <f>DP11+DP18+DP25</f>
        <v>500122466</v>
      </c>
      <c r="DQ31" s="576">
        <f t="shared" si="63"/>
        <v>1334487200</v>
      </c>
      <c r="DR31" s="576">
        <f>DR11+DR18+DR25</f>
        <v>674572934</v>
      </c>
      <c r="DS31" s="576">
        <f t="shared" si="63"/>
        <v>1407953000</v>
      </c>
      <c r="DT31" s="576">
        <f t="shared" si="63"/>
        <v>617961000</v>
      </c>
      <c r="DU31" s="576">
        <f t="shared" si="63"/>
        <v>975912000</v>
      </c>
      <c r="DV31" s="576">
        <f t="shared" si="63"/>
        <v>0</v>
      </c>
      <c r="DW31" s="576">
        <f t="shared" si="63"/>
        <v>390922000</v>
      </c>
      <c r="DX31" s="576">
        <f t="shared" si="63"/>
        <v>0</v>
      </c>
      <c r="DY31" s="576">
        <f t="shared" si="63"/>
        <v>723512800</v>
      </c>
      <c r="DZ31" s="576">
        <f t="shared" si="63"/>
        <v>0</v>
      </c>
      <c r="EA31" s="576">
        <f t="shared" si="63"/>
        <v>1588528534</v>
      </c>
      <c r="EB31" s="576">
        <f t="shared" si="63"/>
        <v>0</v>
      </c>
      <c r="EC31" s="576">
        <f t="shared" si="63"/>
        <v>0</v>
      </c>
      <c r="ED31" s="576">
        <f t="shared" si="63"/>
        <v>0</v>
      </c>
      <c r="EE31" s="576">
        <f t="shared" si="63"/>
        <v>0</v>
      </c>
      <c r="EF31" s="576">
        <f t="shared" si="63"/>
        <v>0</v>
      </c>
      <c r="EG31" s="576">
        <f t="shared" si="63"/>
        <v>0</v>
      </c>
      <c r="EH31" s="576">
        <f t="shared" si="63"/>
        <v>0</v>
      </c>
      <c r="EI31" s="576">
        <f t="shared" si="63"/>
        <v>0</v>
      </c>
      <c r="EJ31" s="576">
        <f t="shared" si="63"/>
        <v>0</v>
      </c>
      <c r="EK31" s="576">
        <f t="shared" si="63"/>
        <v>0</v>
      </c>
      <c r="EL31" s="576">
        <f t="shared" si="63"/>
        <v>0</v>
      </c>
      <c r="EM31" s="576">
        <f t="shared" si="63"/>
        <v>6921438000</v>
      </c>
      <c r="EN31" s="576">
        <f t="shared" si="63"/>
        <v>3253484666</v>
      </c>
      <c r="EO31" s="576">
        <f>EO11+EO18+EO25</f>
        <v>1792656400</v>
      </c>
      <c r="EP31" s="576">
        <f>EP11+EP18+EP25</f>
        <v>6921438000</v>
      </c>
      <c r="EQ31" s="753">
        <f>+DP31+DR31+DT31</f>
        <v>1792656400</v>
      </c>
      <c r="ER31" s="894"/>
      <c r="ES31" s="894"/>
      <c r="ET31" s="894"/>
      <c r="EU31" s="894"/>
      <c r="EV31" s="894"/>
      <c r="EW31" s="895"/>
      <c r="EX31" s="895"/>
      <c r="EY31" s="895"/>
      <c r="EZ31" s="895"/>
      <c r="FA31" s="896"/>
    </row>
    <row r="32" spans="1:208" s="228" customFormat="1" ht="39" customHeight="1" x14ac:dyDescent="0.25">
      <c r="A32" s="967"/>
      <c r="B32" s="968"/>
      <c r="C32" s="968"/>
      <c r="D32" s="968"/>
      <c r="E32" s="968"/>
      <c r="F32" s="252" t="s">
        <v>46</v>
      </c>
      <c r="G32" s="577">
        <f>G14+G21+G28</f>
        <v>2566222728</v>
      </c>
      <c r="H32" s="578">
        <f t="shared" ref="H32:BS32" si="64">H14+H21+H28</f>
        <v>0</v>
      </c>
      <c r="I32" s="578">
        <f t="shared" si="64"/>
        <v>0</v>
      </c>
      <c r="J32" s="578">
        <f t="shared" si="64"/>
        <v>0</v>
      </c>
      <c r="K32" s="578">
        <f t="shared" si="64"/>
        <v>0</v>
      </c>
      <c r="L32" s="578">
        <f t="shared" si="64"/>
        <v>0</v>
      </c>
      <c r="M32" s="578">
        <f t="shared" si="64"/>
        <v>0</v>
      </c>
      <c r="N32" s="578">
        <f t="shared" si="64"/>
        <v>0</v>
      </c>
      <c r="O32" s="578">
        <f t="shared" si="64"/>
        <v>0</v>
      </c>
      <c r="P32" s="578">
        <f t="shared" si="64"/>
        <v>0</v>
      </c>
      <c r="Q32" s="578">
        <f t="shared" si="64"/>
        <v>0</v>
      </c>
      <c r="R32" s="578">
        <f t="shared" si="64"/>
        <v>0</v>
      </c>
      <c r="S32" s="578">
        <f t="shared" si="64"/>
        <v>0</v>
      </c>
      <c r="T32" s="578">
        <f t="shared" si="64"/>
        <v>0</v>
      </c>
      <c r="U32" s="578">
        <f t="shared" si="64"/>
        <v>0</v>
      </c>
      <c r="V32" s="578">
        <f t="shared" si="64"/>
        <v>0</v>
      </c>
      <c r="W32" s="578">
        <f t="shared" si="64"/>
        <v>0</v>
      </c>
      <c r="X32" s="578">
        <f t="shared" si="64"/>
        <v>0</v>
      </c>
      <c r="Y32" s="578">
        <f t="shared" si="64"/>
        <v>0</v>
      </c>
      <c r="Z32" s="578">
        <f t="shared" si="64"/>
        <v>0</v>
      </c>
      <c r="AA32" s="578">
        <f t="shared" si="64"/>
        <v>0</v>
      </c>
      <c r="AB32" s="578">
        <f t="shared" si="64"/>
        <v>1235230250</v>
      </c>
      <c r="AC32" s="578">
        <f t="shared" si="64"/>
        <v>232132433</v>
      </c>
      <c r="AD32" s="578">
        <f t="shared" si="64"/>
        <v>232132433</v>
      </c>
      <c r="AE32" s="578">
        <f t="shared" si="64"/>
        <v>407405013</v>
      </c>
      <c r="AF32" s="578">
        <f t="shared" si="64"/>
        <v>407405013</v>
      </c>
      <c r="AG32" s="578">
        <f t="shared" si="64"/>
        <v>343723052</v>
      </c>
      <c r="AH32" s="578">
        <f t="shared" si="64"/>
        <v>343723052</v>
      </c>
      <c r="AI32" s="578">
        <f t="shared" si="64"/>
        <v>112140965</v>
      </c>
      <c r="AJ32" s="578">
        <f t="shared" si="64"/>
        <v>112140965</v>
      </c>
      <c r="AK32" s="578">
        <f t="shared" si="64"/>
        <v>47503633</v>
      </c>
      <c r="AL32" s="578">
        <f t="shared" si="64"/>
        <v>47503633</v>
      </c>
      <c r="AM32" s="578">
        <f t="shared" si="64"/>
        <v>50189389</v>
      </c>
      <c r="AN32" s="578">
        <f t="shared" si="64"/>
        <v>32150885</v>
      </c>
      <c r="AO32" s="578">
        <f t="shared" si="64"/>
        <v>24221693</v>
      </c>
      <c r="AP32" s="578">
        <f t="shared" si="64"/>
        <v>11552967</v>
      </c>
      <c r="AQ32" s="578">
        <f t="shared" si="64"/>
        <v>0</v>
      </c>
      <c r="AR32" s="578">
        <f t="shared" si="64"/>
        <v>3746000</v>
      </c>
      <c r="AS32" s="578">
        <f t="shared" si="64"/>
        <v>0</v>
      </c>
      <c r="AT32" s="578">
        <f t="shared" si="64"/>
        <v>7933367</v>
      </c>
      <c r="AU32" s="578">
        <f t="shared" si="64"/>
        <v>-4863</v>
      </c>
      <c r="AV32" s="578">
        <f t="shared" si="64"/>
        <v>2573700</v>
      </c>
      <c r="AW32" s="578">
        <f t="shared" si="64"/>
        <v>0</v>
      </c>
      <c r="AX32" s="578">
        <f t="shared" si="64"/>
        <v>3021300</v>
      </c>
      <c r="AY32" s="578">
        <f t="shared" si="64"/>
        <v>-10518600</v>
      </c>
      <c r="AZ32" s="578">
        <f t="shared" si="64"/>
        <v>0</v>
      </c>
      <c r="BA32" s="578">
        <f t="shared" si="64"/>
        <v>1206792715</v>
      </c>
      <c r="BB32" s="578">
        <f t="shared" si="64"/>
        <v>1206792715</v>
      </c>
      <c r="BC32" s="578">
        <f t="shared" si="64"/>
        <v>1203883315</v>
      </c>
      <c r="BD32" s="578">
        <f t="shared" si="64"/>
        <v>1206792715</v>
      </c>
      <c r="BE32" s="578">
        <f t="shared" si="64"/>
        <v>1203883315</v>
      </c>
      <c r="BF32" s="578">
        <f t="shared" si="64"/>
        <v>400985607</v>
      </c>
      <c r="BG32" s="578">
        <f t="shared" si="64"/>
        <v>230854506</v>
      </c>
      <c r="BH32" s="578">
        <f t="shared" si="64"/>
        <v>230854506</v>
      </c>
      <c r="BI32" s="578">
        <f t="shared" si="64"/>
        <v>131040435</v>
      </c>
      <c r="BJ32" s="578">
        <f t="shared" si="64"/>
        <v>48079700</v>
      </c>
      <c r="BK32" s="578">
        <f t="shared" si="64"/>
        <v>-4526666</v>
      </c>
      <c r="BL32" s="578">
        <f t="shared" si="64"/>
        <v>28568929</v>
      </c>
      <c r="BM32" s="578">
        <f t="shared" si="64"/>
        <v>10096000</v>
      </c>
      <c r="BN32" s="578">
        <f t="shared" si="64"/>
        <v>29846014</v>
      </c>
      <c r="BO32" s="578">
        <f t="shared" si="64"/>
        <v>-770058</v>
      </c>
      <c r="BP32" s="578">
        <f t="shared" si="64"/>
        <v>2580200</v>
      </c>
      <c r="BQ32" s="578">
        <f t="shared" si="64"/>
        <v>136000</v>
      </c>
      <c r="BR32" s="578">
        <f t="shared" si="64"/>
        <v>139200</v>
      </c>
      <c r="BS32" s="578">
        <f t="shared" si="64"/>
        <v>0</v>
      </c>
      <c r="BT32" s="578">
        <f t="shared" ref="BT32:DN32" si="65">BT14+BT21+BT28</f>
        <v>6875734</v>
      </c>
      <c r="BU32" s="578">
        <f t="shared" si="65"/>
        <v>0</v>
      </c>
      <c r="BV32" s="578">
        <f t="shared" si="65"/>
        <v>0</v>
      </c>
      <c r="BW32" s="578">
        <f t="shared" si="65"/>
        <v>0</v>
      </c>
      <c r="BX32" s="578">
        <f t="shared" si="65"/>
        <v>1604400</v>
      </c>
      <c r="BY32" s="578">
        <f t="shared" si="65"/>
        <v>0</v>
      </c>
      <c r="BZ32" s="578">
        <f t="shared" si="65"/>
        <v>0</v>
      </c>
      <c r="CA32" s="578">
        <f t="shared" si="65"/>
        <v>0</v>
      </c>
      <c r="CB32" s="578">
        <f t="shared" si="65"/>
        <v>0</v>
      </c>
      <c r="CC32" s="578">
        <f t="shared" si="65"/>
        <v>12617866</v>
      </c>
      <c r="CD32" s="578">
        <f t="shared" si="65"/>
        <v>0</v>
      </c>
      <c r="CE32" s="578">
        <f t="shared" si="65"/>
        <v>379448083</v>
      </c>
      <c r="CF32" s="578">
        <f t="shared" si="65"/>
        <v>379448083</v>
      </c>
      <c r="CG32" s="578">
        <f t="shared" si="65"/>
        <v>348548683</v>
      </c>
      <c r="CH32" s="578">
        <f t="shared" si="65"/>
        <v>379448083</v>
      </c>
      <c r="CI32" s="578">
        <f t="shared" si="65"/>
        <v>348548683</v>
      </c>
      <c r="CJ32" s="578">
        <f t="shared" si="65"/>
        <v>502529149</v>
      </c>
      <c r="CK32" s="578">
        <f t="shared" si="65"/>
        <v>132425300</v>
      </c>
      <c r="CL32" s="578">
        <f t="shared" si="65"/>
        <v>132425300</v>
      </c>
      <c r="CM32" s="578">
        <f t="shared" si="65"/>
        <v>209897608</v>
      </c>
      <c r="CN32" s="578">
        <f t="shared" si="65"/>
        <v>209897608</v>
      </c>
      <c r="CO32" s="578">
        <f t="shared" si="65"/>
        <v>35850330</v>
      </c>
      <c r="CP32" s="578">
        <f t="shared" si="65"/>
        <v>35850330</v>
      </c>
      <c r="CQ32" s="578">
        <f t="shared" si="65"/>
        <v>77812149</v>
      </c>
      <c r="CR32" s="578">
        <f t="shared" si="65"/>
        <v>24360725</v>
      </c>
      <c r="CS32" s="578">
        <f t="shared" si="65"/>
        <v>25182953</v>
      </c>
      <c r="CT32" s="578">
        <f t="shared" si="65"/>
        <v>38139058</v>
      </c>
      <c r="CU32" s="578">
        <f t="shared" si="65"/>
        <v>7202809</v>
      </c>
      <c r="CV32" s="578">
        <f t="shared" si="65"/>
        <v>5067268</v>
      </c>
      <c r="CW32" s="578">
        <f t="shared" si="65"/>
        <v>0</v>
      </c>
      <c r="CX32" s="578">
        <f t="shared" si="65"/>
        <v>6591934</v>
      </c>
      <c r="CY32" s="578">
        <f t="shared" si="65"/>
        <v>14158000</v>
      </c>
      <c r="CZ32" s="578">
        <f t="shared" si="65"/>
        <v>2577431</v>
      </c>
      <c r="DA32" s="578">
        <f t="shared" si="65"/>
        <v>0</v>
      </c>
      <c r="DB32" s="578">
        <f t="shared" si="65"/>
        <v>3623900</v>
      </c>
      <c r="DC32" s="578">
        <f t="shared" si="65"/>
        <v>0</v>
      </c>
      <c r="DD32" s="578">
        <f t="shared" si="65"/>
        <v>7014000</v>
      </c>
      <c r="DE32" s="578">
        <f t="shared" si="65"/>
        <v>-2495</v>
      </c>
      <c r="DF32" s="578">
        <f t="shared" si="65"/>
        <v>3010000</v>
      </c>
      <c r="DG32" s="578">
        <f t="shared" si="65"/>
        <v>0</v>
      </c>
      <c r="DH32" s="578">
        <f t="shared" si="65"/>
        <v>9936500</v>
      </c>
      <c r="DI32" s="578">
        <f>DI14+DI21+DI28</f>
        <v>502526654</v>
      </c>
      <c r="DJ32" s="715">
        <f t="shared" si="9"/>
        <v>502526654</v>
      </c>
      <c r="DK32" s="716">
        <f t="shared" si="10"/>
        <v>478494054</v>
      </c>
      <c r="DL32" s="578">
        <f>DL14+DL21+DL28</f>
        <v>502526654</v>
      </c>
      <c r="DM32" s="578">
        <f t="shared" si="65"/>
        <v>478494054</v>
      </c>
      <c r="DN32" s="579">
        <f t="shared" si="65"/>
        <v>535296676</v>
      </c>
      <c r="DO32" s="579">
        <f t="shared" ref="DO32" si="66">DO14+DO21+DO28</f>
        <v>131809933</v>
      </c>
      <c r="DP32" s="579">
        <f>DP14+DP21+DP28</f>
        <v>131809933</v>
      </c>
      <c r="DQ32" s="579">
        <f>DQ14+DQ21+DQ28</f>
        <v>291211600</v>
      </c>
      <c r="DR32" s="579">
        <f>DR14+DR21+DR28</f>
        <v>276712420</v>
      </c>
      <c r="DS32" s="579">
        <f>DS14+DS21+DS28</f>
        <v>33294877</v>
      </c>
      <c r="DT32" s="579">
        <f t="shared" ref="DT32:EQ32" si="67">DT14+DT21+DT28</f>
        <v>59426845</v>
      </c>
      <c r="DU32" s="579">
        <f t="shared" si="67"/>
        <v>0</v>
      </c>
      <c r="DV32" s="579">
        <f t="shared" si="67"/>
        <v>0</v>
      </c>
      <c r="DW32" s="579">
        <f t="shared" si="67"/>
        <v>45011733</v>
      </c>
      <c r="DX32" s="579">
        <f t="shared" si="67"/>
        <v>0</v>
      </c>
      <c r="DY32" s="579">
        <f t="shared" si="67"/>
        <v>33968533</v>
      </c>
      <c r="DZ32" s="579">
        <f t="shared" si="67"/>
        <v>0</v>
      </c>
      <c r="EA32" s="579">
        <f t="shared" si="67"/>
        <v>0</v>
      </c>
      <c r="EB32" s="579">
        <f t="shared" si="67"/>
        <v>0</v>
      </c>
      <c r="EC32" s="579">
        <f t="shared" si="67"/>
        <v>0</v>
      </c>
      <c r="ED32" s="579">
        <f t="shared" si="67"/>
        <v>0</v>
      </c>
      <c r="EE32" s="579">
        <f t="shared" si="67"/>
        <v>0</v>
      </c>
      <c r="EF32" s="579">
        <f t="shared" si="67"/>
        <v>0</v>
      </c>
      <c r="EG32" s="579">
        <f t="shared" si="67"/>
        <v>0</v>
      </c>
      <c r="EH32" s="579">
        <f t="shared" si="67"/>
        <v>0</v>
      </c>
      <c r="EI32" s="579">
        <f t="shared" si="67"/>
        <v>0</v>
      </c>
      <c r="EJ32" s="579">
        <f t="shared" si="67"/>
        <v>0</v>
      </c>
      <c r="EK32" s="579">
        <f t="shared" si="67"/>
        <v>0</v>
      </c>
      <c r="EL32" s="579">
        <f t="shared" si="67"/>
        <v>0</v>
      </c>
      <c r="EM32" s="579">
        <f t="shared" si="67"/>
        <v>535296676</v>
      </c>
      <c r="EN32" s="579">
        <f t="shared" si="67"/>
        <v>451025610</v>
      </c>
      <c r="EO32" s="579">
        <f t="shared" si="67"/>
        <v>467949198</v>
      </c>
      <c r="EP32" s="579">
        <f t="shared" si="67"/>
        <v>535296676</v>
      </c>
      <c r="EQ32" s="579">
        <f t="shared" si="67"/>
        <v>467949198</v>
      </c>
      <c r="ER32" s="894"/>
      <c r="ES32" s="894"/>
      <c r="ET32" s="894"/>
      <c r="EU32" s="894"/>
      <c r="EV32" s="894"/>
      <c r="EW32" s="894"/>
      <c r="EX32" s="894"/>
      <c r="EY32" s="894"/>
      <c r="EZ32" s="894"/>
      <c r="FA32" s="897"/>
    </row>
    <row r="33" spans="1:158" s="216" customFormat="1" ht="39" customHeight="1" thickBot="1" x14ac:dyDescent="0.3">
      <c r="A33" s="969"/>
      <c r="B33" s="970"/>
      <c r="C33" s="970"/>
      <c r="D33" s="970"/>
      <c r="E33" s="970"/>
      <c r="F33" s="253" t="s">
        <v>47</v>
      </c>
      <c r="G33" s="580">
        <f>G31+G32</f>
        <v>29439680067</v>
      </c>
      <c r="H33" s="581">
        <f t="shared" ref="H33:BS33" si="68">H31+H32</f>
        <v>3100351062</v>
      </c>
      <c r="I33" s="581">
        <f t="shared" si="68"/>
        <v>0</v>
      </c>
      <c r="J33" s="581">
        <f t="shared" si="68"/>
        <v>0</v>
      </c>
      <c r="K33" s="581">
        <f t="shared" si="68"/>
        <v>3100351062</v>
      </c>
      <c r="L33" s="581">
        <f t="shared" si="68"/>
        <v>61765000</v>
      </c>
      <c r="M33" s="581">
        <f t="shared" si="68"/>
        <v>3100351062</v>
      </c>
      <c r="N33" s="581">
        <f t="shared" si="68"/>
        <v>1834168000</v>
      </c>
      <c r="O33" s="581">
        <f t="shared" si="68"/>
        <v>3100351062</v>
      </c>
      <c r="P33" s="581">
        <f t="shared" si="68"/>
        <v>2020192000</v>
      </c>
      <c r="Q33" s="581">
        <f t="shared" si="68"/>
        <v>3100351062</v>
      </c>
      <c r="R33" s="581">
        <f t="shared" si="68"/>
        <v>2034888255</v>
      </c>
      <c r="S33" s="581">
        <f t="shared" si="68"/>
        <v>3100351062</v>
      </c>
      <c r="T33" s="581">
        <f t="shared" si="68"/>
        <v>2264196031</v>
      </c>
      <c r="U33" s="581">
        <f t="shared" si="68"/>
        <v>3100351062</v>
      </c>
      <c r="V33" s="581">
        <f t="shared" si="68"/>
        <v>3057415113</v>
      </c>
      <c r="W33" s="581">
        <f t="shared" si="68"/>
        <v>3100351062</v>
      </c>
      <c r="X33" s="581">
        <f t="shared" si="68"/>
        <v>3100351062</v>
      </c>
      <c r="Y33" s="581">
        <f t="shared" si="68"/>
        <v>3057415113</v>
      </c>
      <c r="Z33" s="581">
        <f>Z31+Z32</f>
        <v>3100351062</v>
      </c>
      <c r="AA33" s="581">
        <f t="shared" si="68"/>
        <v>3057415113</v>
      </c>
      <c r="AB33" s="581">
        <f t="shared" si="68"/>
        <v>5636486981</v>
      </c>
      <c r="AC33" s="581">
        <f t="shared" si="68"/>
        <v>232132433</v>
      </c>
      <c r="AD33" s="581">
        <f t="shared" si="68"/>
        <v>232132433</v>
      </c>
      <c r="AE33" s="581">
        <f t="shared" si="68"/>
        <v>3956741013</v>
      </c>
      <c r="AF33" s="581">
        <f t="shared" si="68"/>
        <v>1659334013</v>
      </c>
      <c r="AG33" s="581">
        <f t="shared" si="68"/>
        <v>951942252</v>
      </c>
      <c r="AH33" s="581">
        <f t="shared" si="68"/>
        <v>2792300052</v>
      </c>
      <c r="AI33" s="581">
        <f t="shared" si="68"/>
        <v>112140965</v>
      </c>
      <c r="AJ33" s="581">
        <f t="shared" si="68"/>
        <v>391175965</v>
      </c>
      <c r="AK33" s="581">
        <f t="shared" si="68"/>
        <v>58353633</v>
      </c>
      <c r="AL33" s="581">
        <f t="shared" si="68"/>
        <v>54548183</v>
      </c>
      <c r="AM33" s="581">
        <f t="shared" si="68"/>
        <v>50189389</v>
      </c>
      <c r="AN33" s="581">
        <f t="shared" si="68"/>
        <v>193683065</v>
      </c>
      <c r="AO33" s="581">
        <f t="shared" si="68"/>
        <v>76037493</v>
      </c>
      <c r="AP33" s="581">
        <f t="shared" si="68"/>
        <v>11552967</v>
      </c>
      <c r="AQ33" s="581">
        <f t="shared" si="68"/>
        <v>0</v>
      </c>
      <c r="AR33" s="581">
        <f t="shared" si="68"/>
        <v>15550000</v>
      </c>
      <c r="AS33" s="581">
        <f t="shared" si="68"/>
        <v>-3670000</v>
      </c>
      <c r="AT33" s="581">
        <f t="shared" si="68"/>
        <v>66869367</v>
      </c>
      <c r="AU33" s="581">
        <f t="shared" si="68"/>
        <v>24319137</v>
      </c>
      <c r="AV33" s="581">
        <f t="shared" si="68"/>
        <v>26770367</v>
      </c>
      <c r="AW33" s="581">
        <f t="shared" si="68"/>
        <v>89648469</v>
      </c>
      <c r="AX33" s="581">
        <f t="shared" si="68"/>
        <v>99526734</v>
      </c>
      <c r="AY33" s="581">
        <f t="shared" si="68"/>
        <v>66799931</v>
      </c>
      <c r="AZ33" s="581">
        <f t="shared" si="68"/>
        <v>63992366</v>
      </c>
      <c r="BA33" s="581">
        <f t="shared" si="68"/>
        <v>5614634715</v>
      </c>
      <c r="BB33" s="581">
        <f t="shared" si="68"/>
        <v>5614634715</v>
      </c>
      <c r="BC33" s="581">
        <f t="shared" si="68"/>
        <v>5607435512</v>
      </c>
      <c r="BD33" s="581">
        <f t="shared" si="68"/>
        <v>5614634715</v>
      </c>
      <c r="BE33" s="581">
        <f t="shared" si="68"/>
        <v>5607435512</v>
      </c>
      <c r="BF33" s="581">
        <f t="shared" si="68"/>
        <v>6999740607</v>
      </c>
      <c r="BG33" s="581">
        <f t="shared" si="68"/>
        <v>6551916506</v>
      </c>
      <c r="BH33" s="581">
        <f t="shared" si="68"/>
        <v>6487181506</v>
      </c>
      <c r="BI33" s="581">
        <f t="shared" si="68"/>
        <v>153668435</v>
      </c>
      <c r="BJ33" s="581">
        <f t="shared" si="68"/>
        <v>98859700</v>
      </c>
      <c r="BK33" s="581">
        <f t="shared" si="68"/>
        <v>18789334</v>
      </c>
      <c r="BL33" s="581">
        <f t="shared" si="68"/>
        <v>47277929</v>
      </c>
      <c r="BM33" s="581">
        <f t="shared" si="68"/>
        <v>10096000</v>
      </c>
      <c r="BN33" s="581">
        <f t="shared" si="68"/>
        <v>29846014</v>
      </c>
      <c r="BO33" s="581">
        <f t="shared" si="68"/>
        <v>3888942</v>
      </c>
      <c r="BP33" s="581">
        <f t="shared" si="68"/>
        <v>2580200</v>
      </c>
      <c r="BQ33" s="581">
        <f t="shared" si="68"/>
        <v>12813000</v>
      </c>
      <c r="BR33" s="581">
        <f t="shared" si="68"/>
        <v>37788200</v>
      </c>
      <c r="BS33" s="581">
        <f t="shared" si="68"/>
        <v>154634000</v>
      </c>
      <c r="BT33" s="581">
        <f t="shared" ref="BT33:DN33" si="69">BT31+BT32</f>
        <v>9785134</v>
      </c>
      <c r="BU33" s="581">
        <f t="shared" si="69"/>
        <v>10674000</v>
      </c>
      <c r="BV33" s="581">
        <f t="shared" si="69"/>
        <v>53724300</v>
      </c>
      <c r="BW33" s="581">
        <f t="shared" si="69"/>
        <v>0</v>
      </c>
      <c r="BX33" s="581">
        <f t="shared" si="69"/>
        <v>11532600</v>
      </c>
      <c r="BY33" s="581">
        <f t="shared" si="69"/>
        <v>60929734</v>
      </c>
      <c r="BZ33" s="581">
        <f t="shared" si="69"/>
        <v>32642267</v>
      </c>
      <c r="CA33" s="581">
        <f t="shared" si="69"/>
        <v>464103768</v>
      </c>
      <c r="CB33" s="581">
        <f t="shared" si="69"/>
        <v>518173462</v>
      </c>
      <c r="CC33" s="581">
        <f t="shared" si="69"/>
        <v>71689364</v>
      </c>
      <c r="CD33" s="581">
        <f t="shared" si="69"/>
        <v>136419466</v>
      </c>
      <c r="CE33" s="581">
        <f t="shared" si="69"/>
        <v>7513203083</v>
      </c>
      <c r="CF33" s="581">
        <f t="shared" si="69"/>
        <v>7513203083</v>
      </c>
      <c r="CG33" s="581">
        <f t="shared" si="69"/>
        <v>7465810778</v>
      </c>
      <c r="CH33" s="581">
        <f t="shared" si="69"/>
        <v>7513203083</v>
      </c>
      <c r="CI33" s="581">
        <f t="shared" si="69"/>
        <v>7465810778</v>
      </c>
      <c r="CJ33" s="581">
        <f t="shared" si="69"/>
        <v>5564191149</v>
      </c>
      <c r="CK33" s="581">
        <f t="shared" si="69"/>
        <v>1501481300</v>
      </c>
      <c r="CL33" s="581">
        <f t="shared" si="69"/>
        <v>1501481300</v>
      </c>
      <c r="CM33" s="581">
        <f t="shared" si="69"/>
        <v>2617588608</v>
      </c>
      <c r="CN33" s="581">
        <f t="shared" si="69"/>
        <v>2617588608</v>
      </c>
      <c r="CO33" s="581">
        <f t="shared" si="69"/>
        <v>1034438330</v>
      </c>
      <c r="CP33" s="581">
        <f t="shared" si="69"/>
        <v>1034438330</v>
      </c>
      <c r="CQ33" s="581">
        <f t="shared" si="69"/>
        <v>241482149</v>
      </c>
      <c r="CR33" s="581">
        <f t="shared" si="69"/>
        <v>72950725</v>
      </c>
      <c r="CS33" s="581">
        <f t="shared" si="69"/>
        <v>86015953</v>
      </c>
      <c r="CT33" s="581">
        <f t="shared" si="69"/>
        <v>130876058</v>
      </c>
      <c r="CU33" s="581">
        <f t="shared" si="69"/>
        <v>7202809</v>
      </c>
      <c r="CV33" s="581">
        <f t="shared" si="69"/>
        <v>27112268</v>
      </c>
      <c r="CW33" s="581">
        <f t="shared" si="69"/>
        <v>54586000</v>
      </c>
      <c r="CX33" s="581">
        <f t="shared" si="69"/>
        <v>6591934</v>
      </c>
      <c r="CY33" s="581">
        <f t="shared" si="69"/>
        <v>14158000</v>
      </c>
      <c r="CZ33" s="581">
        <f t="shared" si="69"/>
        <v>7577431</v>
      </c>
      <c r="DA33" s="581">
        <f t="shared" si="69"/>
        <v>0</v>
      </c>
      <c r="DB33" s="581">
        <f t="shared" si="69"/>
        <v>3623900</v>
      </c>
      <c r="DC33" s="581">
        <f t="shared" si="69"/>
        <v>4464000</v>
      </c>
      <c r="DD33" s="581">
        <f t="shared" si="69"/>
        <v>14690933</v>
      </c>
      <c r="DE33" s="581">
        <f t="shared" si="69"/>
        <v>148413339</v>
      </c>
      <c r="DF33" s="581">
        <f t="shared" si="69"/>
        <v>151425834</v>
      </c>
      <c r="DG33" s="581">
        <f t="shared" si="69"/>
        <v>172787166</v>
      </c>
      <c r="DH33" s="581">
        <f t="shared" si="69"/>
        <v>283926667</v>
      </c>
      <c r="DI33" s="581">
        <f t="shared" si="69"/>
        <v>5882617654</v>
      </c>
      <c r="DJ33" s="717">
        <f t="shared" si="9"/>
        <v>5882617654</v>
      </c>
      <c r="DK33" s="718">
        <f t="shared" si="10"/>
        <v>5852283988</v>
      </c>
      <c r="DL33" s="581">
        <f t="shared" si="69"/>
        <v>5882617654</v>
      </c>
      <c r="DM33" s="581">
        <f t="shared" si="69"/>
        <v>5852283988</v>
      </c>
      <c r="DN33" s="582">
        <f t="shared" si="69"/>
        <v>7456734676</v>
      </c>
      <c r="DO33" s="582">
        <f t="shared" ref="DO33:EP33" si="70">DO31+DO32</f>
        <v>631932399</v>
      </c>
      <c r="DP33" s="582">
        <f t="shared" si="70"/>
        <v>631932399</v>
      </c>
      <c r="DQ33" s="582">
        <f t="shared" si="70"/>
        <v>1625698800</v>
      </c>
      <c r="DR33" s="582">
        <f t="shared" si="70"/>
        <v>951285354</v>
      </c>
      <c r="DS33" s="582">
        <f t="shared" si="70"/>
        <v>1441247877</v>
      </c>
      <c r="DT33" s="582">
        <f t="shared" si="70"/>
        <v>677387845</v>
      </c>
      <c r="DU33" s="582">
        <f t="shared" si="70"/>
        <v>975912000</v>
      </c>
      <c r="DV33" s="582">
        <f t="shared" si="70"/>
        <v>0</v>
      </c>
      <c r="DW33" s="582">
        <f t="shared" si="70"/>
        <v>435933733</v>
      </c>
      <c r="DX33" s="582">
        <f t="shared" si="70"/>
        <v>0</v>
      </c>
      <c r="DY33" s="582">
        <f t="shared" si="70"/>
        <v>757481333</v>
      </c>
      <c r="DZ33" s="582">
        <f t="shared" si="70"/>
        <v>0</v>
      </c>
      <c r="EA33" s="582">
        <f t="shared" si="70"/>
        <v>1588528534</v>
      </c>
      <c r="EB33" s="582">
        <f t="shared" si="70"/>
        <v>0</v>
      </c>
      <c r="EC33" s="582">
        <f t="shared" si="70"/>
        <v>0</v>
      </c>
      <c r="ED33" s="582">
        <f t="shared" si="70"/>
        <v>0</v>
      </c>
      <c r="EE33" s="582">
        <f t="shared" si="70"/>
        <v>0</v>
      </c>
      <c r="EF33" s="582">
        <f t="shared" si="70"/>
        <v>0</v>
      </c>
      <c r="EG33" s="582">
        <f t="shared" si="70"/>
        <v>0</v>
      </c>
      <c r="EH33" s="582">
        <f t="shared" si="70"/>
        <v>0</v>
      </c>
      <c r="EI33" s="582">
        <f t="shared" si="70"/>
        <v>0</v>
      </c>
      <c r="EJ33" s="582">
        <f t="shared" si="70"/>
        <v>0</v>
      </c>
      <c r="EK33" s="582">
        <f t="shared" si="70"/>
        <v>0</v>
      </c>
      <c r="EL33" s="582">
        <f t="shared" si="70"/>
        <v>0</v>
      </c>
      <c r="EM33" s="582">
        <f t="shared" si="70"/>
        <v>7456734676</v>
      </c>
      <c r="EN33" s="582">
        <f t="shared" si="70"/>
        <v>3704510276</v>
      </c>
      <c r="EO33" s="582">
        <f>EO31+EO32</f>
        <v>2260605598</v>
      </c>
      <c r="EP33" s="582">
        <f t="shared" si="70"/>
        <v>7456734676</v>
      </c>
      <c r="EQ33" s="754">
        <f>+DP33+DR33+DT33</f>
        <v>2260605598</v>
      </c>
      <c r="ER33" s="898"/>
      <c r="ES33" s="898"/>
      <c r="ET33" s="898"/>
      <c r="EU33" s="898"/>
      <c r="EV33" s="898"/>
      <c r="EW33" s="898"/>
      <c r="EX33" s="898"/>
      <c r="EY33" s="898"/>
      <c r="EZ33" s="898"/>
      <c r="FA33" s="899"/>
    </row>
    <row r="34" spans="1:158" ht="39" customHeight="1" x14ac:dyDescent="0.25">
      <c r="H34" s="5"/>
      <c r="AA34" s="699"/>
      <c r="AB34" s="699"/>
      <c r="AC34" s="699"/>
      <c r="AD34" s="699"/>
      <c r="AE34" s="699"/>
      <c r="AF34" s="699"/>
      <c r="AG34" s="699"/>
      <c r="AH34" s="699"/>
      <c r="AI34" s="699"/>
      <c r="AJ34" s="699"/>
      <c r="AK34" s="699"/>
      <c r="AL34" s="699"/>
      <c r="AM34" s="699"/>
      <c r="AN34" s="699"/>
      <c r="AO34" s="699"/>
      <c r="AP34" s="699"/>
      <c r="AQ34" s="699"/>
      <c r="AR34" s="699"/>
      <c r="AS34" s="699"/>
      <c r="AT34" s="699"/>
      <c r="AU34" s="699"/>
      <c r="AV34" s="699"/>
      <c r="AW34" s="699"/>
      <c r="AX34" s="699"/>
      <c r="AY34" s="699"/>
      <c r="AZ34" s="699"/>
      <c r="BA34" s="699"/>
      <c r="BB34" s="699"/>
      <c r="BC34" s="699"/>
      <c r="BD34" s="699"/>
      <c r="BE34" s="699"/>
      <c r="BF34" s="699"/>
      <c r="BG34" s="699"/>
      <c r="BH34" s="699"/>
      <c r="BI34" s="699"/>
      <c r="BJ34" s="699"/>
      <c r="BK34" s="699"/>
      <c r="BL34" s="699"/>
      <c r="BM34" s="699"/>
      <c r="BN34" s="699"/>
      <c r="BO34" s="699"/>
      <c r="BP34" s="699"/>
      <c r="BQ34" s="699"/>
      <c r="BR34" s="699"/>
      <c r="BS34" s="699"/>
      <c r="BT34" s="699"/>
      <c r="BU34" s="699"/>
      <c r="BV34" s="699"/>
      <c r="BW34" s="699"/>
      <c r="BX34" s="699"/>
      <c r="BY34" s="699"/>
      <c r="BZ34" s="699"/>
      <c r="CA34" s="699"/>
      <c r="CB34" s="699"/>
      <c r="CC34" s="699"/>
      <c r="CD34" s="699"/>
      <c r="CE34" s="699"/>
      <c r="CF34" s="699"/>
      <c r="CG34" s="699"/>
      <c r="CH34" s="699"/>
      <c r="CI34" s="699"/>
      <c r="CJ34" s="699"/>
      <c r="CK34" s="699"/>
      <c r="CL34" s="699"/>
      <c r="CM34" s="699"/>
      <c r="CN34" s="699"/>
      <c r="CO34" s="699"/>
      <c r="CP34" s="699"/>
      <c r="CQ34" s="699"/>
      <c r="CR34" s="699"/>
      <c r="CS34" s="699"/>
      <c r="CT34" s="699"/>
      <c r="CU34" s="699"/>
      <c r="CV34" s="699"/>
      <c r="CW34" s="699"/>
      <c r="CX34" s="699"/>
      <c r="CY34" s="699"/>
      <c r="CZ34" s="699"/>
      <c r="DA34" s="699"/>
      <c r="DB34" s="699"/>
      <c r="DC34" s="699"/>
      <c r="DD34" s="699"/>
      <c r="DE34" s="699"/>
      <c r="DF34" s="699"/>
      <c r="DG34" s="699"/>
      <c r="DH34" s="699"/>
      <c r="DI34" s="699"/>
      <c r="DJ34" s="699"/>
      <c r="DK34" s="699"/>
      <c r="DL34" s="699"/>
      <c r="DM34" s="699"/>
      <c r="DN34" s="699"/>
      <c r="DO34" s="699"/>
      <c r="DP34" s="699"/>
      <c r="DQ34" s="699"/>
      <c r="DR34" s="699"/>
      <c r="DS34" s="699"/>
      <c r="DT34" s="699"/>
      <c r="DU34" s="699"/>
      <c r="DV34" s="699"/>
      <c r="DW34" s="699"/>
      <c r="DX34" s="699"/>
      <c r="DY34" s="699"/>
      <c r="DZ34" s="699"/>
      <c r="EA34" s="699"/>
      <c r="EB34" s="699"/>
      <c r="EC34" s="699"/>
      <c r="ED34" s="699"/>
      <c r="EE34" s="699"/>
      <c r="EF34" s="699"/>
      <c r="EG34" s="699"/>
      <c r="EH34" s="699"/>
      <c r="EI34" s="699"/>
      <c r="EJ34" s="699"/>
      <c r="EK34" s="699"/>
      <c r="EL34" s="699"/>
      <c r="EM34" s="699"/>
      <c r="EN34" s="699"/>
      <c r="EO34" s="699"/>
      <c r="EP34" s="699"/>
      <c r="EQ34" s="699"/>
      <c r="ER34" s="699"/>
      <c r="ES34" s="699"/>
      <c r="ET34" s="699"/>
      <c r="EU34" s="699"/>
      <c r="EV34" s="699"/>
      <c r="EW34" s="699"/>
      <c r="EX34" s="699"/>
      <c r="EY34" s="699"/>
      <c r="EZ34" s="699"/>
      <c r="FA34" s="699"/>
      <c r="FB34" s="5"/>
    </row>
    <row r="35" spans="1:158" ht="39" customHeight="1" x14ac:dyDescent="0.25">
      <c r="F35" s="19" t="s">
        <v>35</v>
      </c>
      <c r="G35"/>
      <c r="H35" s="3"/>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s="2"/>
      <c r="AV35" s="2"/>
      <c r="AW35"/>
      <c r="AX35"/>
      <c r="AY35"/>
      <c r="AZ35" s="54"/>
      <c r="BA35" s="266"/>
      <c r="BB35" s="54"/>
      <c r="BC35" s="267"/>
      <c r="BD35" s="54"/>
      <c r="BE35" s="54"/>
      <c r="BW35" s="2"/>
      <c r="BX35" s="291"/>
      <c r="BY35"/>
      <c r="BZ35"/>
      <c r="CA35"/>
      <c r="CB35"/>
      <c r="CC35"/>
      <c r="CD35"/>
      <c r="CE35" s="266"/>
      <c r="CF35" s="266"/>
      <c r="CG35" s="266"/>
      <c r="CH35"/>
      <c r="CI35" s="266"/>
      <c r="CJ35" s="361"/>
      <c r="DI35" s="563"/>
      <c r="DK35" s="558"/>
      <c r="DL35" s="194"/>
      <c r="EO35" s="637"/>
    </row>
    <row r="36" spans="1:158" ht="39" customHeight="1" x14ac:dyDescent="0.25">
      <c r="F36" s="29" t="s">
        <v>36</v>
      </c>
      <c r="G36" s="879" t="s">
        <v>37</v>
      </c>
      <c r="H36" s="880"/>
      <c r="I36" s="881"/>
      <c r="J36" s="882" t="s">
        <v>38</v>
      </c>
      <c r="K36" s="883"/>
      <c r="L36" s="883"/>
      <c r="M36" s="883"/>
      <c r="N36" s="883"/>
      <c r="O36" s="883"/>
      <c r="P36" s="883"/>
      <c r="Q36" s="883"/>
      <c r="R36" s="883"/>
      <c r="S36" s="883"/>
      <c r="T36" s="511"/>
      <c r="AM36"/>
      <c r="BB36" s="234"/>
      <c r="BD36" s="54"/>
      <c r="BE36" s="54"/>
      <c r="BF36" s="295"/>
      <c r="CJ36" s="196"/>
      <c r="CK36" s="196"/>
      <c r="CL36" s="196"/>
      <c r="CM36" s="196"/>
      <c r="CN36" s="196"/>
      <c r="CO36" s="196"/>
      <c r="CP36" s="196"/>
      <c r="CQ36" s="196"/>
      <c r="CR36" s="196"/>
      <c r="CS36" s="196"/>
      <c r="CT36" s="196"/>
      <c r="CU36" s="196"/>
      <c r="CV36" s="196"/>
      <c r="CW36" s="196"/>
      <c r="CX36" s="196"/>
      <c r="CY36" s="196"/>
      <c r="CZ36" s="196"/>
      <c r="DA36" s="196"/>
      <c r="DB36" s="196"/>
      <c r="DC36" s="196"/>
      <c r="DD36" s="196"/>
      <c r="DE36" s="196"/>
      <c r="DF36" s="196"/>
      <c r="DG36" s="196"/>
      <c r="DH36" s="196"/>
      <c r="DI36" s="563"/>
      <c r="DJ36" s="269"/>
      <c r="DK36" s="269"/>
      <c r="EO36" s="637"/>
    </row>
    <row r="37" spans="1:158" ht="39" customHeight="1" x14ac:dyDescent="0.25">
      <c r="F37" s="101">
        <v>13</v>
      </c>
      <c r="G37" s="884" t="s">
        <v>95</v>
      </c>
      <c r="H37" s="885"/>
      <c r="I37" s="886"/>
      <c r="J37" s="887" t="s">
        <v>86</v>
      </c>
      <c r="K37" s="888"/>
      <c r="L37" s="888"/>
      <c r="M37" s="888"/>
      <c r="N37" s="888"/>
      <c r="O37" s="888"/>
      <c r="P37" s="888"/>
      <c r="Q37" s="888"/>
      <c r="R37" s="888"/>
      <c r="S37" s="888"/>
      <c r="T37" s="511"/>
      <c r="BB37" s="269"/>
      <c r="BD37" s="54"/>
      <c r="BE37" s="54"/>
      <c r="CJ37" s="196"/>
      <c r="CK37" s="196"/>
      <c r="CL37" s="196"/>
      <c r="CM37" s="196"/>
      <c r="CN37" s="196"/>
      <c r="CO37" s="196"/>
      <c r="CP37" s="196"/>
      <c r="CQ37" s="196"/>
      <c r="CR37" s="196"/>
      <c r="CS37" s="196"/>
      <c r="CT37" s="196"/>
      <c r="CU37" s="196"/>
      <c r="CV37" s="196"/>
      <c r="CW37" s="196"/>
      <c r="CX37" s="196"/>
      <c r="CY37" s="196"/>
      <c r="CZ37" s="196"/>
      <c r="DA37" s="196"/>
      <c r="DB37" s="196"/>
      <c r="DC37" s="196"/>
      <c r="DD37" s="196"/>
      <c r="DE37" s="196"/>
      <c r="DF37" s="196"/>
      <c r="DG37" s="196"/>
      <c r="DH37" s="196"/>
      <c r="DN37" s="196"/>
      <c r="DO37" s="196"/>
      <c r="DP37" s="196"/>
      <c r="DQ37" s="196"/>
      <c r="DR37" s="196"/>
      <c r="DS37" s="196"/>
      <c r="DT37" s="196"/>
      <c r="DU37" s="196"/>
      <c r="DV37" s="196"/>
      <c r="DW37" s="196"/>
      <c r="DX37" s="196"/>
      <c r="DY37" s="196"/>
      <c r="DZ37" s="196"/>
      <c r="EA37" s="196"/>
      <c r="EB37" s="196"/>
      <c r="EC37" s="196"/>
      <c r="ED37" s="196"/>
      <c r="EE37" s="196"/>
      <c r="EF37" s="196"/>
      <c r="EO37" s="637"/>
    </row>
    <row r="38" spans="1:158" ht="39" customHeight="1" x14ac:dyDescent="0.25">
      <c r="F38" s="101">
        <v>14</v>
      </c>
      <c r="G38" s="884" t="s">
        <v>598</v>
      </c>
      <c r="H38" s="885"/>
      <c r="I38" s="886"/>
      <c r="J38" s="887" t="s">
        <v>599</v>
      </c>
      <c r="K38" s="888"/>
      <c r="L38" s="888"/>
      <c r="M38" s="888"/>
      <c r="N38" s="888"/>
      <c r="O38" s="888"/>
      <c r="P38" s="888"/>
      <c r="Q38" s="888"/>
      <c r="R38" s="888"/>
      <c r="S38" s="888"/>
      <c r="T38" s="511"/>
      <c r="BD38" s="54"/>
      <c r="BF38" s="296"/>
      <c r="CJ38" s="196"/>
      <c r="CK38" s="196"/>
      <c r="CL38" s="196"/>
      <c r="CM38" s="196"/>
      <c r="CN38" s="196"/>
      <c r="CO38" s="196"/>
      <c r="CP38" s="196"/>
      <c r="CQ38" s="196"/>
      <c r="CR38" s="196"/>
      <c r="CS38" s="196"/>
      <c r="CT38" s="196"/>
      <c r="CU38" s="196"/>
      <c r="CV38" s="196"/>
      <c r="CW38" s="196"/>
      <c r="CX38" s="196"/>
      <c r="CY38" s="196"/>
      <c r="CZ38" s="196"/>
      <c r="DA38" s="196"/>
      <c r="DB38" s="196"/>
      <c r="DC38" s="196"/>
      <c r="DD38" s="196"/>
      <c r="DE38" s="196"/>
      <c r="DF38" s="196"/>
      <c r="DG38" s="196"/>
      <c r="DH38" s="196"/>
    </row>
    <row r="39" spans="1:158" ht="39" customHeight="1" x14ac:dyDescent="0.25">
      <c r="G39" s="91"/>
      <c r="Q39" s="91"/>
      <c r="BD39" s="54"/>
    </row>
    <row r="40" spans="1:158" ht="39" customHeight="1" x14ac:dyDescent="0.25">
      <c r="BE40" s="272"/>
      <c r="BF40" s="297"/>
      <c r="CJ40" s="195"/>
      <c r="CK40" s="195"/>
      <c r="CL40" s="195"/>
      <c r="CM40" s="195"/>
      <c r="CN40" s="195"/>
      <c r="CO40" s="195"/>
      <c r="CP40" s="195"/>
      <c r="CQ40" s="195"/>
      <c r="CR40" s="195"/>
      <c r="CS40" s="195"/>
      <c r="CT40" s="195"/>
      <c r="CU40" s="195"/>
      <c r="CV40" s="195"/>
      <c r="CW40" s="195"/>
      <c r="CX40" s="195"/>
      <c r="CY40" s="195"/>
      <c r="CZ40" s="195"/>
      <c r="DA40" s="195"/>
      <c r="DB40" s="195"/>
      <c r="DC40" s="195"/>
      <c r="DD40" s="195"/>
      <c r="DE40" s="195"/>
      <c r="DF40" s="195"/>
      <c r="DG40" s="195"/>
      <c r="DH40" s="195"/>
    </row>
    <row r="42" spans="1:158" ht="39" customHeight="1" x14ac:dyDescent="0.25">
      <c r="BF42" s="297"/>
      <c r="CJ42" s="194"/>
      <c r="CK42" s="194"/>
      <c r="CL42" s="194"/>
      <c r="CM42" s="194"/>
      <c r="CN42" s="194"/>
      <c r="CO42" s="194"/>
      <c r="CP42" s="194"/>
      <c r="CQ42" s="194"/>
      <c r="CR42" s="194"/>
      <c r="CS42" s="194"/>
      <c r="CT42" s="194"/>
      <c r="CU42" s="194"/>
      <c r="CV42" s="194"/>
      <c r="CW42" s="194"/>
      <c r="CX42" s="194"/>
      <c r="CY42" s="194"/>
      <c r="CZ42" s="194"/>
      <c r="DA42" s="194"/>
      <c r="DB42" s="194"/>
      <c r="DC42" s="194"/>
      <c r="DD42" s="194"/>
      <c r="DE42" s="194"/>
      <c r="DF42" s="194"/>
      <c r="DG42" s="194"/>
      <c r="DH42" s="194"/>
    </row>
  </sheetData>
  <sheetProtection formatCells="0" formatColumns="0" formatRows="0" insertHyperlinks="0" sort="0" autoFilter="0" pivotTables="0"/>
  <mergeCells count="65">
    <mergeCell ref="EY24:EY30"/>
    <mergeCell ref="EZ24:EZ30"/>
    <mergeCell ref="FA24:FA30"/>
    <mergeCell ref="EW24:EW30"/>
    <mergeCell ref="EX24:EX30"/>
    <mergeCell ref="C24:C30"/>
    <mergeCell ref="D24:D30"/>
    <mergeCell ref="E24:E30"/>
    <mergeCell ref="A31:E33"/>
    <mergeCell ref="A24:A30"/>
    <mergeCell ref="B24:B30"/>
    <mergeCell ref="A17:A23"/>
    <mergeCell ref="B17:B23"/>
    <mergeCell ref="C17:C23"/>
    <mergeCell ref="D17:D23"/>
    <mergeCell ref="E17:E23"/>
    <mergeCell ref="A10:A16"/>
    <mergeCell ref="B10:B16"/>
    <mergeCell ref="C10:C16"/>
    <mergeCell ref="D10:D16"/>
    <mergeCell ref="E10:E16"/>
    <mergeCell ref="FA17:FA2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R7:ER9"/>
    <mergeCell ref="EU7:EU9"/>
    <mergeCell ref="EW17:EW23"/>
    <mergeCell ref="EZ7:EZ9"/>
    <mergeCell ref="EY17:EY23"/>
    <mergeCell ref="EZ17:EZ23"/>
    <mergeCell ref="EY7:EY9"/>
    <mergeCell ref="EX7:EX9"/>
    <mergeCell ref="EV7:EV9"/>
    <mergeCell ref="EW7:EW9"/>
    <mergeCell ref="ET7:ET9"/>
    <mergeCell ref="ES7:ES9"/>
    <mergeCell ref="G38:I38"/>
    <mergeCell ref="J38:S38"/>
    <mergeCell ref="F6:FA6"/>
    <mergeCell ref="G36:I36"/>
    <mergeCell ref="J36:S36"/>
    <mergeCell ref="G37:I37"/>
    <mergeCell ref="J37:S37"/>
    <mergeCell ref="EW10:EW16"/>
    <mergeCell ref="EX10:EX16"/>
    <mergeCell ref="ER31:FA33"/>
    <mergeCell ref="EY10:EY16"/>
    <mergeCell ref="EZ10:EZ16"/>
    <mergeCell ref="FA10:FA16"/>
    <mergeCell ref="EX17:EX23"/>
    <mergeCell ref="DN8:EQ8"/>
    <mergeCell ref="CJ8:DM8"/>
  </mergeCells>
  <dataValidations count="2">
    <dataValidation type="textLength" operator="lessThanOrEqual" allowBlank="1" showInputMessage="1" showErrorMessage="1" sqref="EW17:EW30" xr:uid="{00000000-0002-0000-0100-000000000000}">
      <formula1>2000</formula1>
    </dataValidation>
    <dataValidation type="textLength" operator="lessThanOrEqual" showInputMessage="1" showErrorMessage="1" sqref="EW10:EW16" xr:uid="{00000000-0002-0000-0100-000001000000}">
      <formula1>2000</formula1>
    </dataValidation>
  </dataValidations>
  <hyperlinks>
    <hyperlink ref="FA24" r:id="rId1" xr:uid="{E5E2FBA2-D9A3-42E3-8BB6-306EA7D2618A}"/>
  </hyperlinks>
  <printOptions horizontalCentered="1" verticalCentered="1"/>
  <pageMargins left="0" right="0" top="0.74803149606299213" bottom="0" header="0.31496062992125984" footer="0"/>
  <pageSetup scale="20" fitToHeight="0"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24"/>
  <sheetViews>
    <sheetView tabSelected="1" zoomScale="51" zoomScaleNormal="51" zoomScalePageLayoutView="56" workbookViewId="0">
      <selection activeCell="D1" sqref="D1:V1"/>
    </sheetView>
  </sheetViews>
  <sheetFormatPr baseColWidth="10" defaultColWidth="11.42578125" defaultRowHeight="135" customHeight="1" x14ac:dyDescent="0.25"/>
  <cols>
    <col min="1" max="1" width="12.42578125" style="6" customWidth="1"/>
    <col min="2" max="2" width="15.42578125" style="6" customWidth="1"/>
    <col min="3" max="3" width="49.42578125" style="13" customWidth="1"/>
    <col min="4" max="5" width="10.7109375" style="6" customWidth="1"/>
    <col min="6" max="6" width="11.42578125" style="285" customWidth="1"/>
    <col min="7" max="7" width="11.42578125" style="6" customWidth="1"/>
    <col min="8" max="8" width="10" style="6" customWidth="1"/>
    <col min="9" max="9" width="10.7109375" style="6" customWidth="1"/>
    <col min="10" max="11" width="9.7109375" style="6" customWidth="1"/>
    <col min="12" max="12" width="11" style="6" customWidth="1"/>
    <col min="13" max="13" width="10.7109375" style="6" customWidth="1"/>
    <col min="14" max="14" width="9.7109375" style="7" customWidth="1"/>
    <col min="15" max="15" width="11.42578125" style="7" customWidth="1"/>
    <col min="16" max="16" width="10.42578125" style="7" customWidth="1"/>
    <col min="17" max="17" width="9.7109375" style="7" customWidth="1"/>
    <col min="18" max="18" width="11.42578125" style="283" customWidth="1"/>
    <col min="19" max="19" width="10.85546875" style="288" customWidth="1"/>
    <col min="20" max="20" width="11.140625" style="7" customWidth="1"/>
    <col min="21" max="21" width="17.42578125" style="7" customWidth="1"/>
    <col min="22" max="22" width="77.5703125" style="533" customWidth="1"/>
    <col min="23" max="23" width="30.42578125" style="6" customWidth="1"/>
    <col min="24" max="24" width="25" style="6" customWidth="1"/>
    <col min="25" max="25" width="17.42578125" style="6" customWidth="1"/>
    <col min="26" max="26" width="13.42578125" style="6" bestFit="1" customWidth="1"/>
    <col min="27" max="27" width="24.7109375" style="6" customWidth="1"/>
    <col min="28" max="16384" width="11.42578125" style="6"/>
  </cols>
  <sheetData>
    <row r="1" spans="1:29" ht="65.25" customHeight="1" x14ac:dyDescent="0.25">
      <c r="A1" s="914"/>
      <c r="B1" s="915"/>
      <c r="C1" s="915"/>
      <c r="D1" s="983" t="s">
        <v>39</v>
      </c>
      <c r="E1" s="984"/>
      <c r="F1" s="984"/>
      <c r="G1" s="984"/>
      <c r="H1" s="984"/>
      <c r="I1" s="984"/>
      <c r="J1" s="984"/>
      <c r="K1" s="984"/>
      <c r="L1" s="984"/>
      <c r="M1" s="984"/>
      <c r="N1" s="984"/>
      <c r="O1" s="984"/>
      <c r="P1" s="984"/>
      <c r="Q1" s="984"/>
      <c r="R1" s="984"/>
      <c r="S1" s="984"/>
      <c r="T1" s="984"/>
      <c r="U1" s="984"/>
      <c r="V1" s="985"/>
    </row>
    <row r="2" spans="1:29" ht="45" customHeight="1" x14ac:dyDescent="0.25">
      <c r="A2" s="917"/>
      <c r="B2" s="918"/>
      <c r="C2" s="918"/>
      <c r="D2" s="986" t="s">
        <v>632</v>
      </c>
      <c r="E2" s="987"/>
      <c r="F2" s="987"/>
      <c r="G2" s="987"/>
      <c r="H2" s="987"/>
      <c r="I2" s="987"/>
      <c r="J2" s="987"/>
      <c r="K2" s="987"/>
      <c r="L2" s="987"/>
      <c r="M2" s="987"/>
      <c r="N2" s="987"/>
      <c r="O2" s="987"/>
      <c r="P2" s="987"/>
      <c r="Q2" s="987"/>
      <c r="R2" s="987"/>
      <c r="S2" s="987"/>
      <c r="T2" s="987"/>
      <c r="U2" s="987"/>
      <c r="V2" s="988"/>
    </row>
    <row r="3" spans="1:29" ht="42.75" customHeight="1" thickBot="1" x14ac:dyDescent="0.3">
      <c r="A3" s="920"/>
      <c r="B3" s="921"/>
      <c r="C3" s="921"/>
      <c r="D3" s="989" t="s">
        <v>40</v>
      </c>
      <c r="E3" s="990"/>
      <c r="F3" s="990"/>
      <c r="G3" s="990"/>
      <c r="H3" s="990"/>
      <c r="I3" s="990"/>
      <c r="J3" s="990"/>
      <c r="K3" s="990"/>
      <c r="L3" s="990"/>
      <c r="M3" s="990"/>
      <c r="N3" s="990"/>
      <c r="O3" s="990"/>
      <c r="P3" s="990"/>
      <c r="Q3" s="990"/>
      <c r="R3" s="990"/>
      <c r="S3" s="990"/>
      <c r="T3" s="990"/>
      <c r="U3" s="991"/>
      <c r="V3" s="471" t="s">
        <v>601</v>
      </c>
    </row>
    <row r="4" spans="1:29" ht="51" customHeight="1" thickBot="1" x14ac:dyDescent="0.3">
      <c r="A4" s="831" t="s">
        <v>0</v>
      </c>
      <c r="B4" s="832"/>
      <c r="C4" s="992"/>
      <c r="D4" s="993" t="s">
        <v>369</v>
      </c>
      <c r="E4" s="994"/>
      <c r="F4" s="994"/>
      <c r="G4" s="994"/>
      <c r="H4" s="994"/>
      <c r="I4" s="994"/>
      <c r="J4" s="994"/>
      <c r="K4" s="994"/>
      <c r="L4" s="994"/>
      <c r="M4" s="994"/>
      <c r="N4" s="994"/>
      <c r="O4" s="994"/>
      <c r="P4" s="994"/>
      <c r="Q4" s="994"/>
      <c r="R4" s="994"/>
      <c r="S4" s="994"/>
      <c r="T4" s="994"/>
      <c r="U4" s="994"/>
      <c r="V4" s="995"/>
    </row>
    <row r="5" spans="1:29" ht="42.75" customHeight="1" thickBot="1" x14ac:dyDescent="0.3">
      <c r="A5" s="996" t="s">
        <v>2</v>
      </c>
      <c r="B5" s="997"/>
      <c r="C5" s="998"/>
      <c r="D5" s="999" t="s">
        <v>633</v>
      </c>
      <c r="E5" s="1000"/>
      <c r="F5" s="1000"/>
      <c r="G5" s="1000"/>
      <c r="H5" s="1000"/>
      <c r="I5" s="1000"/>
      <c r="J5" s="1000"/>
      <c r="K5" s="1000"/>
      <c r="L5" s="1000"/>
      <c r="M5" s="1000"/>
      <c r="N5" s="1000"/>
      <c r="O5" s="1000"/>
      <c r="P5" s="1000"/>
      <c r="Q5" s="1000"/>
      <c r="R5" s="1000"/>
      <c r="S5" s="1000"/>
      <c r="T5" s="1000"/>
      <c r="U5" s="1000"/>
      <c r="V5" s="1001"/>
    </row>
    <row r="6" spans="1:29" ht="31.5" customHeight="1" thickBot="1" x14ac:dyDescent="0.3">
      <c r="A6" s="1002"/>
      <c r="B6" s="1003"/>
      <c r="C6" s="1003"/>
      <c r="D6" s="1003"/>
      <c r="E6" s="1003"/>
      <c r="F6" s="1003"/>
      <c r="G6" s="1003"/>
      <c r="H6" s="1003"/>
      <c r="I6" s="1003"/>
      <c r="J6" s="1003"/>
      <c r="K6" s="1003"/>
      <c r="L6" s="1003"/>
      <c r="M6" s="1003"/>
      <c r="N6" s="1003"/>
      <c r="O6" s="1003"/>
      <c r="P6" s="1003"/>
      <c r="Q6" s="1003"/>
      <c r="R6" s="1003"/>
      <c r="S6" s="1003"/>
      <c r="T6" s="1003"/>
      <c r="U6" s="1003"/>
      <c r="V6" s="1004"/>
    </row>
    <row r="7" spans="1:29" s="8" customFormat="1" ht="42" customHeight="1" x14ac:dyDescent="0.25">
      <c r="A7" s="1005" t="s">
        <v>23</v>
      </c>
      <c r="B7" s="1007" t="s">
        <v>24</v>
      </c>
      <c r="C7" s="1009" t="s">
        <v>68</v>
      </c>
      <c r="D7" s="1011" t="s">
        <v>25</v>
      </c>
      <c r="E7" s="1012"/>
      <c r="F7" s="1013" t="s">
        <v>767</v>
      </c>
      <c r="G7" s="1013"/>
      <c r="H7" s="1013"/>
      <c r="I7" s="1013"/>
      <c r="J7" s="1013"/>
      <c r="K7" s="1013"/>
      <c r="L7" s="1013"/>
      <c r="M7" s="1013"/>
      <c r="N7" s="1013"/>
      <c r="O7" s="1013"/>
      <c r="P7" s="1013"/>
      <c r="Q7" s="1013"/>
      <c r="R7" s="1013"/>
      <c r="S7" s="1013"/>
      <c r="T7" s="1007" t="s">
        <v>29</v>
      </c>
      <c r="U7" s="1007"/>
      <c r="V7" s="1014" t="s">
        <v>700</v>
      </c>
    </row>
    <row r="8" spans="1:29" s="8" customFormat="1" ht="70.5" customHeight="1" thickBot="1" x14ac:dyDescent="0.3">
      <c r="A8" s="1006"/>
      <c r="B8" s="1008"/>
      <c r="C8" s="1010"/>
      <c r="D8" s="487" t="s">
        <v>26</v>
      </c>
      <c r="E8" s="487" t="s">
        <v>27</v>
      </c>
      <c r="F8" s="488" t="s">
        <v>28</v>
      </c>
      <c r="G8" s="235" t="s">
        <v>6</v>
      </c>
      <c r="H8" s="235" t="s">
        <v>7</v>
      </c>
      <c r="I8" s="235" t="s">
        <v>8</v>
      </c>
      <c r="J8" s="235" t="s">
        <v>9</v>
      </c>
      <c r="K8" s="235" t="s">
        <v>10</v>
      </c>
      <c r="L8" s="235" t="s">
        <v>11</v>
      </c>
      <c r="M8" s="235" t="s">
        <v>12</v>
      </c>
      <c r="N8" s="235" t="s">
        <v>13</v>
      </c>
      <c r="O8" s="235" t="s">
        <v>14</v>
      </c>
      <c r="P8" s="235" t="s">
        <v>15</v>
      </c>
      <c r="Q8" s="235" t="s">
        <v>16</v>
      </c>
      <c r="R8" s="235" t="s">
        <v>17</v>
      </c>
      <c r="S8" s="489" t="s">
        <v>18</v>
      </c>
      <c r="T8" s="490" t="s">
        <v>30</v>
      </c>
      <c r="U8" s="490" t="s">
        <v>31</v>
      </c>
      <c r="V8" s="1015"/>
    </row>
    <row r="9" spans="1:29" s="8" customFormat="1" ht="42.75" customHeight="1" x14ac:dyDescent="0.25">
      <c r="A9" s="1024" t="s">
        <v>374</v>
      </c>
      <c r="B9" s="1026" t="s">
        <v>634</v>
      </c>
      <c r="C9" s="1028" t="s">
        <v>383</v>
      </c>
      <c r="D9" s="1029" t="s">
        <v>384</v>
      </c>
      <c r="E9" s="1029" t="s">
        <v>384</v>
      </c>
      <c r="F9" s="605" t="s">
        <v>19</v>
      </c>
      <c r="G9" s="660">
        <v>0.4</v>
      </c>
      <c r="H9" s="660">
        <v>0.6</v>
      </c>
      <c r="I9" s="660"/>
      <c r="J9" s="661"/>
      <c r="K9" s="661"/>
      <c r="L9" s="661"/>
      <c r="M9" s="661"/>
      <c r="N9" s="661"/>
      <c r="O9" s="661"/>
      <c r="P9" s="660"/>
      <c r="Q9" s="662"/>
      <c r="R9" s="662"/>
      <c r="S9" s="491">
        <f>SUM(G9:R9)</f>
        <v>1</v>
      </c>
      <c r="T9" s="1030">
        <v>86</v>
      </c>
      <c r="U9" s="1016">
        <v>8.5999999999999993E-2</v>
      </c>
      <c r="V9" s="1018" t="s">
        <v>668</v>
      </c>
    </row>
    <row r="10" spans="1:29" s="8" customFormat="1" ht="42.75" customHeight="1" x14ac:dyDescent="0.25">
      <c r="A10" s="1025"/>
      <c r="B10" s="1027"/>
      <c r="C10" s="1020"/>
      <c r="D10" s="1021"/>
      <c r="E10" s="1021"/>
      <c r="F10" s="606" t="s">
        <v>20</v>
      </c>
      <c r="G10" s="663">
        <v>0.4</v>
      </c>
      <c r="H10" s="663">
        <v>0.6</v>
      </c>
      <c r="I10" s="663"/>
      <c r="J10" s="663"/>
      <c r="K10" s="663"/>
      <c r="L10" s="664"/>
      <c r="M10" s="663"/>
      <c r="N10" s="663"/>
      <c r="O10" s="663"/>
      <c r="P10" s="663"/>
      <c r="Q10" s="663"/>
      <c r="R10" s="663"/>
      <c r="S10" s="486">
        <f t="shared" ref="S10:S22" si="0">SUM(G10:R10)</f>
        <v>1</v>
      </c>
      <c r="T10" s="1031"/>
      <c r="U10" s="1017"/>
      <c r="V10" s="1019"/>
    </row>
    <row r="11" spans="1:29" s="8" customFormat="1" ht="42.75" customHeight="1" x14ac:dyDescent="0.25">
      <c r="A11" s="1025"/>
      <c r="B11" s="1027"/>
      <c r="C11" s="1020" t="s">
        <v>431</v>
      </c>
      <c r="D11" s="1021" t="s">
        <v>384</v>
      </c>
      <c r="E11" s="1021" t="s">
        <v>384</v>
      </c>
      <c r="F11" s="604" t="s">
        <v>19</v>
      </c>
      <c r="G11" s="663">
        <v>0.06</v>
      </c>
      <c r="H11" s="663">
        <v>0.2</v>
      </c>
      <c r="I11" s="663">
        <v>0.24</v>
      </c>
      <c r="J11" s="663">
        <v>0.25</v>
      </c>
      <c r="K11" s="663">
        <v>0.25</v>
      </c>
      <c r="L11" s="663"/>
      <c r="M11" s="663"/>
      <c r="N11" s="663"/>
      <c r="O11" s="663"/>
      <c r="P11" s="663"/>
      <c r="Q11" s="665"/>
      <c r="R11" s="665"/>
      <c r="S11" s="362">
        <f>SUM(G11:R11)</f>
        <v>1</v>
      </c>
      <c r="T11" s="1031"/>
      <c r="U11" s="1017">
        <v>0.35</v>
      </c>
      <c r="V11" s="1022" t="s">
        <v>696</v>
      </c>
      <c r="W11" s="560"/>
      <c r="Y11" s="533"/>
    </row>
    <row r="12" spans="1:29" s="8" customFormat="1" ht="42.75" customHeight="1" x14ac:dyDescent="0.25">
      <c r="A12" s="1025"/>
      <c r="B12" s="1027"/>
      <c r="C12" s="1020"/>
      <c r="D12" s="1021"/>
      <c r="E12" s="1021"/>
      <c r="F12" s="606" t="s">
        <v>20</v>
      </c>
      <c r="G12" s="663">
        <v>0.06</v>
      </c>
      <c r="H12" s="663">
        <v>0.2</v>
      </c>
      <c r="I12" s="663">
        <v>0.24</v>
      </c>
      <c r="J12" s="663"/>
      <c r="K12" s="663"/>
      <c r="L12" s="664"/>
      <c r="M12" s="665"/>
      <c r="N12" s="663"/>
      <c r="O12" s="663"/>
      <c r="P12" s="663"/>
      <c r="Q12" s="663"/>
      <c r="R12" s="663"/>
      <c r="S12" s="486">
        <f t="shared" si="0"/>
        <v>0.5</v>
      </c>
      <c r="T12" s="1031"/>
      <c r="U12" s="1017"/>
      <c r="V12" s="1023"/>
      <c r="Y12" s="533"/>
    </row>
    <row r="13" spans="1:29" s="8" customFormat="1" ht="42.75" customHeight="1" x14ac:dyDescent="0.25">
      <c r="A13" s="1025"/>
      <c r="B13" s="1027"/>
      <c r="C13" s="1020" t="s">
        <v>434</v>
      </c>
      <c r="D13" s="1021" t="s">
        <v>384</v>
      </c>
      <c r="E13" s="1021" t="s">
        <v>384</v>
      </c>
      <c r="F13" s="604" t="s">
        <v>19</v>
      </c>
      <c r="G13" s="663">
        <v>0</v>
      </c>
      <c r="H13" s="663">
        <v>0.25</v>
      </c>
      <c r="I13" s="663">
        <v>0.25</v>
      </c>
      <c r="J13" s="663">
        <v>0.25</v>
      </c>
      <c r="K13" s="663">
        <v>0.25</v>
      </c>
      <c r="L13" s="663"/>
      <c r="M13" s="663"/>
      <c r="N13" s="663"/>
      <c r="O13" s="663"/>
      <c r="P13" s="663"/>
      <c r="Q13" s="665"/>
      <c r="R13" s="665"/>
      <c r="S13" s="362">
        <f>SUM(G13:R13)</f>
        <v>1</v>
      </c>
      <c r="T13" s="1031"/>
      <c r="U13" s="1017">
        <v>0.15</v>
      </c>
      <c r="V13" s="1036" t="s">
        <v>697</v>
      </c>
      <c r="Y13" s="533"/>
    </row>
    <row r="14" spans="1:29" s="8" customFormat="1" ht="42.75" customHeight="1" x14ac:dyDescent="0.25">
      <c r="A14" s="1025"/>
      <c r="B14" s="1027"/>
      <c r="C14" s="1020"/>
      <c r="D14" s="1021"/>
      <c r="E14" s="1021"/>
      <c r="F14" s="606" t="s">
        <v>20</v>
      </c>
      <c r="G14" s="663"/>
      <c r="H14" s="663">
        <v>0.25</v>
      </c>
      <c r="I14" s="663">
        <v>0.15</v>
      </c>
      <c r="J14" s="663"/>
      <c r="K14" s="663"/>
      <c r="L14" s="664"/>
      <c r="M14" s="663"/>
      <c r="N14" s="663"/>
      <c r="O14" s="663"/>
      <c r="P14" s="663"/>
      <c r="Q14" s="663"/>
      <c r="R14" s="666"/>
      <c r="S14" s="486">
        <f t="shared" si="0"/>
        <v>0.4</v>
      </c>
      <c r="T14" s="1031"/>
      <c r="U14" s="1017"/>
      <c r="V14" s="1037"/>
      <c r="W14" s="364"/>
      <c r="X14" s="363"/>
      <c r="Y14" s="363"/>
      <c r="Z14" s="363"/>
      <c r="AA14" s="363"/>
      <c r="AB14" s="363"/>
      <c r="AC14" s="363"/>
    </row>
    <row r="15" spans="1:29" s="8" customFormat="1" ht="73.7" customHeight="1" x14ac:dyDescent="0.25">
      <c r="A15" s="1025"/>
      <c r="B15" s="1027"/>
      <c r="C15" s="1020" t="s">
        <v>432</v>
      </c>
      <c r="D15" s="1021" t="s">
        <v>384</v>
      </c>
      <c r="E15" s="1021"/>
      <c r="F15" s="604" t="s">
        <v>19</v>
      </c>
      <c r="G15" s="663">
        <v>0</v>
      </c>
      <c r="H15" s="663">
        <v>0.17</v>
      </c>
      <c r="I15" s="663">
        <v>0.27</v>
      </c>
      <c r="J15" s="663">
        <v>0.28000000000000003</v>
      </c>
      <c r="K15" s="663">
        <v>0.28000000000000003</v>
      </c>
      <c r="L15" s="663"/>
      <c r="M15" s="663"/>
      <c r="N15" s="663"/>
      <c r="O15" s="663"/>
      <c r="P15" s="663"/>
      <c r="Q15" s="665"/>
      <c r="R15" s="665"/>
      <c r="S15" s="362">
        <f t="shared" si="0"/>
        <v>1</v>
      </c>
      <c r="T15" s="1031"/>
      <c r="U15" s="1017">
        <v>0.08</v>
      </c>
      <c r="V15" s="1036" t="s">
        <v>699</v>
      </c>
      <c r="W15" s="556"/>
      <c r="X15" s="556"/>
      <c r="Y15" s="597"/>
      <c r="Z15" s="363"/>
      <c r="AA15" s="363"/>
      <c r="AB15" s="363"/>
      <c r="AC15" s="363"/>
    </row>
    <row r="16" spans="1:29" s="8" customFormat="1" ht="73.7" customHeight="1" x14ac:dyDescent="0.25">
      <c r="A16" s="1025"/>
      <c r="B16" s="1027"/>
      <c r="C16" s="1020"/>
      <c r="D16" s="1021"/>
      <c r="E16" s="1021"/>
      <c r="F16" s="606" t="s">
        <v>20</v>
      </c>
      <c r="G16" s="663">
        <v>0.1399</v>
      </c>
      <c r="H16" s="663">
        <v>8.7300000000000003E-2</v>
      </c>
      <c r="I16" s="663">
        <v>0.1061</v>
      </c>
      <c r="J16" s="663"/>
      <c r="K16" s="663"/>
      <c r="L16" s="664"/>
      <c r="M16" s="663"/>
      <c r="N16" s="663"/>
      <c r="O16" s="663"/>
      <c r="P16" s="663"/>
      <c r="Q16" s="663"/>
      <c r="R16" s="663"/>
      <c r="S16" s="527">
        <f t="shared" si="0"/>
        <v>0.33330000000000004</v>
      </c>
      <c r="T16" s="1031"/>
      <c r="U16" s="1017"/>
      <c r="V16" s="1037"/>
      <c r="W16" s="363"/>
      <c r="X16" s="596"/>
      <c r="Y16" s="598"/>
      <c r="Z16" s="364"/>
      <c r="AA16" s="363"/>
      <c r="AB16" s="364"/>
      <c r="AC16" s="363"/>
    </row>
    <row r="17" spans="1:29" s="8" customFormat="1" ht="106.7" customHeight="1" x14ac:dyDescent="0.25">
      <c r="A17" s="1025"/>
      <c r="B17" s="1027"/>
      <c r="C17" s="1020" t="s">
        <v>385</v>
      </c>
      <c r="D17" s="1021" t="s">
        <v>384</v>
      </c>
      <c r="E17" s="1021"/>
      <c r="F17" s="604" t="s">
        <v>19</v>
      </c>
      <c r="G17" s="663">
        <v>0</v>
      </c>
      <c r="H17" s="663">
        <v>0.1</v>
      </c>
      <c r="I17" s="663">
        <v>0.3</v>
      </c>
      <c r="J17" s="663">
        <v>0.3</v>
      </c>
      <c r="K17" s="663">
        <v>0.3</v>
      </c>
      <c r="L17" s="663"/>
      <c r="M17" s="663"/>
      <c r="N17" s="663"/>
      <c r="O17" s="663"/>
      <c r="P17" s="663"/>
      <c r="Q17" s="665"/>
      <c r="R17" s="665"/>
      <c r="S17" s="362">
        <f t="shared" si="0"/>
        <v>1</v>
      </c>
      <c r="T17" s="1031"/>
      <c r="U17" s="1032">
        <v>3.4000000000000002E-2</v>
      </c>
      <c r="V17" s="1036" t="s">
        <v>698</v>
      </c>
      <c r="W17" s="364"/>
      <c r="X17" s="556"/>
      <c r="Y17" s="363"/>
      <c r="Z17" s="363"/>
      <c r="AA17" s="363"/>
      <c r="AB17" s="363"/>
      <c r="AC17" s="363"/>
    </row>
    <row r="18" spans="1:29" s="8" customFormat="1" ht="106.7" customHeight="1" x14ac:dyDescent="0.25">
      <c r="A18" s="1025"/>
      <c r="B18" s="1027"/>
      <c r="C18" s="1020"/>
      <c r="D18" s="1021"/>
      <c r="E18" s="1021"/>
      <c r="F18" s="606" t="s">
        <v>20</v>
      </c>
      <c r="G18" s="663">
        <v>0</v>
      </c>
      <c r="H18" s="663">
        <v>1.6000000000000001E-3</v>
      </c>
      <c r="I18" s="663">
        <v>0.99839999999999995</v>
      </c>
      <c r="J18" s="663"/>
      <c r="K18" s="663"/>
      <c r="L18" s="664"/>
      <c r="M18" s="663"/>
      <c r="N18" s="663"/>
      <c r="O18" s="663"/>
      <c r="P18" s="663"/>
      <c r="Q18" s="663"/>
      <c r="R18" s="663"/>
      <c r="S18" s="527">
        <f>SUM(G18:R18)</f>
        <v>1</v>
      </c>
      <c r="T18" s="1031"/>
      <c r="U18" s="1033"/>
      <c r="V18" s="1037"/>
      <c r="W18" s="633"/>
      <c r="X18" s="364"/>
      <c r="Y18" s="363"/>
      <c r="Z18" s="363"/>
      <c r="AA18" s="363"/>
      <c r="AB18" s="363"/>
      <c r="AC18" s="363"/>
    </row>
    <row r="19" spans="1:29" s="8" customFormat="1" ht="53.45" customHeight="1" x14ac:dyDescent="0.25">
      <c r="A19" s="1025"/>
      <c r="B19" s="1027"/>
      <c r="C19" s="1020" t="s">
        <v>433</v>
      </c>
      <c r="D19" s="1021" t="s">
        <v>384</v>
      </c>
      <c r="E19" s="1021"/>
      <c r="F19" s="604" t="s">
        <v>19</v>
      </c>
      <c r="G19" s="663">
        <v>0.05</v>
      </c>
      <c r="H19" s="663">
        <v>0.2</v>
      </c>
      <c r="I19" s="663">
        <v>0.25</v>
      </c>
      <c r="J19" s="663">
        <v>0.25</v>
      </c>
      <c r="K19" s="663">
        <v>0.25</v>
      </c>
      <c r="L19" s="663"/>
      <c r="M19" s="663"/>
      <c r="N19" s="663"/>
      <c r="O19" s="663"/>
      <c r="P19" s="663"/>
      <c r="Q19" s="665"/>
      <c r="R19" s="665"/>
      <c r="S19" s="362">
        <f t="shared" si="0"/>
        <v>1</v>
      </c>
      <c r="T19" s="1031"/>
      <c r="U19" s="1032">
        <v>0.1</v>
      </c>
      <c r="V19" s="1034" t="s">
        <v>701</v>
      </c>
      <c r="W19" s="598"/>
      <c r="X19" s="556"/>
      <c r="Y19" s="364"/>
      <c r="AB19" s="556"/>
    </row>
    <row r="20" spans="1:29" s="8" customFormat="1" ht="53.45" customHeight="1" x14ac:dyDescent="0.25">
      <c r="A20" s="1025"/>
      <c r="B20" s="1027"/>
      <c r="C20" s="1020"/>
      <c r="D20" s="1021"/>
      <c r="E20" s="1021"/>
      <c r="F20" s="606" t="s">
        <v>20</v>
      </c>
      <c r="G20" s="663">
        <v>0.105</v>
      </c>
      <c r="H20" s="663">
        <v>0.11600000000000001</v>
      </c>
      <c r="I20" s="663">
        <v>0.314</v>
      </c>
      <c r="J20" s="663"/>
      <c r="K20" s="663"/>
      <c r="L20" s="664"/>
      <c r="M20" s="663"/>
      <c r="N20" s="663"/>
      <c r="O20" s="663"/>
      <c r="P20" s="663"/>
      <c r="Q20" s="663"/>
      <c r="R20" s="663"/>
      <c r="S20" s="527">
        <f>SUM(G20:R20)</f>
        <v>0.53500000000000003</v>
      </c>
      <c r="T20" s="1031"/>
      <c r="U20" s="1033"/>
      <c r="V20" s="1035"/>
      <c r="W20" s="364"/>
      <c r="X20" s="364"/>
      <c r="Y20" s="556"/>
      <c r="Z20" s="635"/>
      <c r="AA20" s="635"/>
      <c r="AB20" s="556"/>
    </row>
    <row r="21" spans="1:29" s="8" customFormat="1" ht="89.45" customHeight="1" x14ac:dyDescent="0.25">
      <c r="A21" s="1025"/>
      <c r="B21" s="1027"/>
      <c r="C21" s="1020" t="s">
        <v>631</v>
      </c>
      <c r="D21" s="1021" t="s">
        <v>384</v>
      </c>
      <c r="E21" s="1021"/>
      <c r="F21" s="604" t="s">
        <v>19</v>
      </c>
      <c r="G21" s="663">
        <v>0.2</v>
      </c>
      <c r="H21" s="663">
        <v>0.2</v>
      </c>
      <c r="I21" s="663">
        <v>0.2</v>
      </c>
      <c r="J21" s="663">
        <v>0.2</v>
      </c>
      <c r="K21" s="663">
        <v>0.2</v>
      </c>
      <c r="L21" s="663"/>
      <c r="M21" s="663"/>
      <c r="N21" s="663"/>
      <c r="O21" s="663"/>
      <c r="P21" s="663"/>
      <c r="Q21" s="663"/>
      <c r="R21" s="663"/>
      <c r="S21" s="362">
        <f t="shared" si="0"/>
        <v>1</v>
      </c>
      <c r="T21" s="1031"/>
      <c r="U21" s="1032">
        <v>0.06</v>
      </c>
      <c r="V21" s="1038" t="s">
        <v>761</v>
      </c>
      <c r="W21" s="599"/>
      <c r="X21" s="600"/>
    </row>
    <row r="22" spans="1:29" s="8" customFormat="1" ht="89.45" customHeight="1" x14ac:dyDescent="0.25">
      <c r="A22" s="1025"/>
      <c r="B22" s="1027"/>
      <c r="C22" s="1020"/>
      <c r="D22" s="1021"/>
      <c r="E22" s="1021"/>
      <c r="F22" s="606" t="s">
        <v>20</v>
      </c>
      <c r="G22" s="663">
        <v>0.2</v>
      </c>
      <c r="H22" s="663">
        <v>0.2</v>
      </c>
      <c r="I22" s="663">
        <v>0.2</v>
      </c>
      <c r="J22" s="663"/>
      <c r="K22" s="663"/>
      <c r="L22" s="664"/>
      <c r="M22" s="663"/>
      <c r="N22" s="663"/>
      <c r="O22" s="663"/>
      <c r="P22" s="663"/>
      <c r="Q22" s="663"/>
      <c r="R22" s="663"/>
      <c r="S22" s="486">
        <f t="shared" si="0"/>
        <v>0.60000000000000009</v>
      </c>
      <c r="T22" s="1031"/>
      <c r="U22" s="1033"/>
      <c r="V22" s="1039"/>
      <c r="W22" s="556"/>
      <c r="X22" s="556"/>
    </row>
    <row r="23" spans="1:29" s="8" customFormat="1" ht="54.75" customHeight="1" x14ac:dyDescent="0.25">
      <c r="A23" s="1025" t="s">
        <v>377</v>
      </c>
      <c r="B23" s="1041" t="s">
        <v>386</v>
      </c>
      <c r="C23" s="1041" t="s">
        <v>387</v>
      </c>
      <c r="D23" s="1021" t="s">
        <v>384</v>
      </c>
      <c r="E23" s="1021"/>
      <c r="F23" s="601" t="s">
        <v>19</v>
      </c>
      <c r="G23" s="663">
        <v>0.1</v>
      </c>
      <c r="H23" s="663">
        <v>0.2</v>
      </c>
      <c r="I23" s="663">
        <v>0.2</v>
      </c>
      <c r="J23" s="663">
        <v>0.2</v>
      </c>
      <c r="K23" s="663">
        <v>0.3</v>
      </c>
      <c r="L23" s="663"/>
      <c r="M23" s="663"/>
      <c r="N23" s="663"/>
      <c r="O23" s="663"/>
      <c r="P23" s="663"/>
      <c r="Q23" s="665"/>
      <c r="R23" s="665"/>
      <c r="S23" s="602">
        <f t="shared" ref="S23:S30" si="1">SUM(G23:R23)</f>
        <v>1</v>
      </c>
      <c r="T23" s="1048">
        <v>6</v>
      </c>
      <c r="U23" s="1040">
        <v>0.03</v>
      </c>
      <c r="V23" s="1042" t="s">
        <v>706</v>
      </c>
      <c r="W23" s="556"/>
    </row>
    <row r="24" spans="1:29" s="8" customFormat="1" ht="94.5" customHeight="1" x14ac:dyDescent="0.25">
      <c r="A24" s="1025"/>
      <c r="B24" s="1041"/>
      <c r="C24" s="1041"/>
      <c r="D24" s="1021"/>
      <c r="E24" s="1021"/>
      <c r="F24" s="603" t="s">
        <v>20</v>
      </c>
      <c r="G24" s="663">
        <v>0.1</v>
      </c>
      <c r="H24" s="663">
        <v>0.2</v>
      </c>
      <c r="I24" s="663">
        <v>0.2</v>
      </c>
      <c r="J24" s="663"/>
      <c r="K24" s="663"/>
      <c r="L24" s="663"/>
      <c r="M24" s="663"/>
      <c r="N24" s="663"/>
      <c r="O24" s="663"/>
      <c r="P24" s="663"/>
      <c r="Q24" s="663"/>
      <c r="R24" s="663"/>
      <c r="S24" s="603">
        <f t="shared" si="1"/>
        <v>0.5</v>
      </c>
      <c r="T24" s="1050"/>
      <c r="U24" s="1040"/>
      <c r="V24" s="1043"/>
      <c r="W24" s="556"/>
    </row>
    <row r="25" spans="1:29" s="8" customFormat="1" ht="50.25" customHeight="1" x14ac:dyDescent="0.25">
      <c r="A25" s="1025"/>
      <c r="B25" s="1041"/>
      <c r="C25" s="1041" t="s">
        <v>625</v>
      </c>
      <c r="D25" s="1021" t="s">
        <v>384</v>
      </c>
      <c r="E25" s="1021"/>
      <c r="F25" s="601" t="s">
        <v>19</v>
      </c>
      <c r="G25" s="663">
        <v>0.1</v>
      </c>
      <c r="H25" s="663">
        <v>0.22</v>
      </c>
      <c r="I25" s="663">
        <v>0.22</v>
      </c>
      <c r="J25" s="663">
        <v>0.22</v>
      </c>
      <c r="K25" s="663">
        <v>0.24</v>
      </c>
      <c r="L25" s="663"/>
      <c r="M25" s="663"/>
      <c r="N25" s="663"/>
      <c r="O25" s="663"/>
      <c r="P25" s="663"/>
      <c r="Q25" s="665"/>
      <c r="R25" s="665"/>
      <c r="S25" s="602">
        <f t="shared" si="1"/>
        <v>1</v>
      </c>
      <c r="T25" s="1050"/>
      <c r="U25" s="1040">
        <v>0.01</v>
      </c>
      <c r="V25" s="1042" t="s">
        <v>707</v>
      </c>
    </row>
    <row r="26" spans="1:29" s="8" customFormat="1" ht="50.25" customHeight="1" x14ac:dyDescent="0.25">
      <c r="A26" s="1025"/>
      <c r="B26" s="1041"/>
      <c r="C26" s="1041"/>
      <c r="D26" s="1021"/>
      <c r="E26" s="1021"/>
      <c r="F26" s="603" t="s">
        <v>20</v>
      </c>
      <c r="G26" s="663">
        <v>0.1</v>
      </c>
      <c r="H26" s="663">
        <v>0.22</v>
      </c>
      <c r="I26" s="663">
        <v>0.22</v>
      </c>
      <c r="J26" s="663"/>
      <c r="K26" s="663"/>
      <c r="L26" s="663"/>
      <c r="M26" s="663"/>
      <c r="N26" s="663"/>
      <c r="O26" s="663"/>
      <c r="P26" s="663"/>
      <c r="Q26" s="663"/>
      <c r="R26" s="663"/>
      <c r="S26" s="603">
        <f t="shared" si="1"/>
        <v>0.54</v>
      </c>
      <c r="T26" s="1050"/>
      <c r="U26" s="1040"/>
      <c r="V26" s="1043"/>
    </row>
    <row r="27" spans="1:29" s="8" customFormat="1" ht="50.25" customHeight="1" x14ac:dyDescent="0.25">
      <c r="A27" s="1025"/>
      <c r="B27" s="1041"/>
      <c r="C27" s="1041" t="s">
        <v>626</v>
      </c>
      <c r="D27" s="1021" t="s">
        <v>384</v>
      </c>
      <c r="E27" s="1021"/>
      <c r="F27" s="601" t="s">
        <v>19</v>
      </c>
      <c r="G27" s="663">
        <v>0.1</v>
      </c>
      <c r="H27" s="663">
        <v>0.22</v>
      </c>
      <c r="I27" s="663">
        <v>0.22</v>
      </c>
      <c r="J27" s="663">
        <v>0.22</v>
      </c>
      <c r="K27" s="663">
        <v>0.24</v>
      </c>
      <c r="L27" s="663"/>
      <c r="M27" s="663"/>
      <c r="N27" s="663"/>
      <c r="O27" s="663"/>
      <c r="P27" s="663"/>
      <c r="Q27" s="665"/>
      <c r="R27" s="665"/>
      <c r="S27" s="602">
        <f t="shared" si="1"/>
        <v>1</v>
      </c>
      <c r="T27" s="1050"/>
      <c r="U27" s="1040">
        <v>1.4999999999999999E-2</v>
      </c>
      <c r="V27" s="1042" t="s">
        <v>708</v>
      </c>
    </row>
    <row r="28" spans="1:29" s="8" customFormat="1" ht="50.25" customHeight="1" x14ac:dyDescent="0.25">
      <c r="A28" s="1025"/>
      <c r="B28" s="1041"/>
      <c r="C28" s="1041"/>
      <c r="D28" s="1021"/>
      <c r="E28" s="1021"/>
      <c r="F28" s="603" t="s">
        <v>20</v>
      </c>
      <c r="G28" s="663">
        <v>0.1</v>
      </c>
      <c r="H28" s="663">
        <v>0.22</v>
      </c>
      <c r="I28" s="663">
        <v>0.22</v>
      </c>
      <c r="J28" s="663"/>
      <c r="K28" s="663"/>
      <c r="L28" s="663"/>
      <c r="M28" s="663"/>
      <c r="N28" s="663"/>
      <c r="O28" s="663"/>
      <c r="P28" s="663"/>
      <c r="Q28" s="663"/>
      <c r="R28" s="663"/>
      <c r="S28" s="603">
        <f>SUM(G28:R28)</f>
        <v>0.54</v>
      </c>
      <c r="T28" s="1050"/>
      <c r="U28" s="1040"/>
      <c r="V28" s="1043"/>
    </row>
    <row r="29" spans="1:29" s="8" customFormat="1" ht="50.25" customHeight="1" x14ac:dyDescent="0.25">
      <c r="A29" s="1025"/>
      <c r="B29" s="1041"/>
      <c r="C29" s="1041" t="s">
        <v>652</v>
      </c>
      <c r="D29" s="1021" t="s">
        <v>384</v>
      </c>
      <c r="E29" s="1021"/>
      <c r="F29" s="601" t="s">
        <v>19</v>
      </c>
      <c r="G29" s="663">
        <v>0</v>
      </c>
      <c r="H29" s="663">
        <v>0.25</v>
      </c>
      <c r="I29" s="663">
        <v>0.25</v>
      </c>
      <c r="J29" s="663">
        <v>0.25</v>
      </c>
      <c r="K29" s="663">
        <v>0.25</v>
      </c>
      <c r="L29" s="663"/>
      <c r="M29" s="663"/>
      <c r="N29" s="663"/>
      <c r="O29" s="663"/>
      <c r="P29" s="663"/>
      <c r="Q29" s="665"/>
      <c r="R29" s="665"/>
      <c r="S29" s="602">
        <f t="shared" si="1"/>
        <v>1</v>
      </c>
      <c r="T29" s="1050"/>
      <c r="U29" s="1040">
        <v>5.0000000000000001E-3</v>
      </c>
      <c r="V29" s="1042" t="s">
        <v>709</v>
      </c>
    </row>
    <row r="30" spans="1:29" s="8" customFormat="1" ht="50.25" customHeight="1" x14ac:dyDescent="0.25">
      <c r="A30" s="1025"/>
      <c r="B30" s="1041"/>
      <c r="C30" s="1041"/>
      <c r="D30" s="1021"/>
      <c r="E30" s="1021"/>
      <c r="F30" s="603" t="s">
        <v>20</v>
      </c>
      <c r="G30" s="663">
        <v>0</v>
      </c>
      <c r="H30" s="663">
        <v>0.25</v>
      </c>
      <c r="I30" s="663">
        <v>0.25</v>
      </c>
      <c r="J30" s="663"/>
      <c r="K30" s="663"/>
      <c r="L30" s="663"/>
      <c r="M30" s="663"/>
      <c r="N30" s="663"/>
      <c r="O30" s="663"/>
      <c r="P30" s="663"/>
      <c r="Q30" s="663"/>
      <c r="R30" s="663"/>
      <c r="S30" s="603">
        <f t="shared" si="1"/>
        <v>0.5</v>
      </c>
      <c r="T30" s="1051"/>
      <c r="U30" s="1040"/>
      <c r="V30" s="1043"/>
    </row>
    <row r="31" spans="1:29" ht="66" customHeight="1" x14ac:dyDescent="0.25">
      <c r="A31" s="1025" t="s">
        <v>380</v>
      </c>
      <c r="B31" s="1027" t="s">
        <v>388</v>
      </c>
      <c r="C31" s="1055" t="s">
        <v>686</v>
      </c>
      <c r="D31" s="1021" t="s">
        <v>384</v>
      </c>
      <c r="E31" s="1021" t="s">
        <v>384</v>
      </c>
      <c r="F31" s="604" t="s">
        <v>19</v>
      </c>
      <c r="G31" s="665">
        <v>0.05</v>
      </c>
      <c r="H31" s="665">
        <v>0.04</v>
      </c>
      <c r="I31" s="665">
        <v>0.11</v>
      </c>
      <c r="J31" s="665">
        <v>0.25</v>
      </c>
      <c r="K31" s="665">
        <v>0.25</v>
      </c>
      <c r="L31" s="665">
        <v>0.3</v>
      </c>
      <c r="M31" s="663"/>
      <c r="N31" s="663"/>
      <c r="O31" s="663"/>
      <c r="P31" s="663"/>
      <c r="Q31" s="663"/>
      <c r="R31" s="663"/>
      <c r="S31" s="362">
        <f t="shared" ref="S31:S36" si="2">SUM(G31:R31)</f>
        <v>1</v>
      </c>
      <c r="T31" s="1049">
        <v>8</v>
      </c>
      <c r="U31" s="1032">
        <v>4.1399999999999999E-2</v>
      </c>
      <c r="V31" s="1042" t="s">
        <v>704</v>
      </c>
    </row>
    <row r="32" spans="1:29" ht="66" customHeight="1" thickBot="1" x14ac:dyDescent="0.3">
      <c r="A32" s="1025"/>
      <c r="B32" s="1027"/>
      <c r="C32" s="1056"/>
      <c r="D32" s="1021"/>
      <c r="E32" s="1021"/>
      <c r="F32" s="606" t="s">
        <v>20</v>
      </c>
      <c r="G32" s="667">
        <v>0.05</v>
      </c>
      <c r="H32" s="667">
        <v>0.04</v>
      </c>
      <c r="I32" s="667">
        <v>0.11</v>
      </c>
      <c r="J32" s="667"/>
      <c r="K32" s="667"/>
      <c r="L32" s="665"/>
      <c r="M32" s="667"/>
      <c r="N32" s="667"/>
      <c r="O32" s="667"/>
      <c r="P32" s="667"/>
      <c r="Q32" s="667"/>
      <c r="R32" s="667"/>
      <c r="S32" s="486">
        <f t="shared" si="2"/>
        <v>0.2</v>
      </c>
      <c r="T32" s="1049"/>
      <c r="U32" s="1033"/>
      <c r="V32" s="1043"/>
    </row>
    <row r="33" spans="1:27" ht="66" customHeight="1" x14ac:dyDescent="0.25">
      <c r="A33" s="1025"/>
      <c r="B33" s="1027"/>
      <c r="C33" s="1055" t="s">
        <v>687</v>
      </c>
      <c r="D33" s="1021" t="s">
        <v>384</v>
      </c>
      <c r="E33" s="1021" t="s">
        <v>384</v>
      </c>
      <c r="F33" s="604" t="s">
        <v>19</v>
      </c>
      <c r="G33" s="665">
        <v>7.0000000000000007E-2</v>
      </c>
      <c r="H33" s="665">
        <v>0.03</v>
      </c>
      <c r="I33" s="665">
        <v>0.2</v>
      </c>
      <c r="J33" s="665">
        <v>0.23</v>
      </c>
      <c r="K33" s="665">
        <v>0.23</v>
      </c>
      <c r="L33" s="665">
        <v>0.24</v>
      </c>
      <c r="M33" s="663"/>
      <c r="N33" s="663"/>
      <c r="O33" s="663"/>
      <c r="P33" s="663"/>
      <c r="Q33" s="663"/>
      <c r="R33" s="663"/>
      <c r="S33" s="362">
        <f t="shared" si="2"/>
        <v>1</v>
      </c>
      <c r="T33" s="1049"/>
      <c r="U33" s="1032">
        <v>1.7600000000000001E-2</v>
      </c>
      <c r="V33" s="1052" t="s">
        <v>702</v>
      </c>
      <c r="W33" s="365"/>
    </row>
    <row r="34" spans="1:27" ht="66" customHeight="1" thickBot="1" x14ac:dyDescent="0.3">
      <c r="A34" s="1025"/>
      <c r="B34" s="1027"/>
      <c r="C34" s="1056"/>
      <c r="D34" s="1021"/>
      <c r="E34" s="1021"/>
      <c r="F34" s="606" t="s">
        <v>20</v>
      </c>
      <c r="G34" s="667">
        <v>7.0000000000000007E-2</v>
      </c>
      <c r="H34" s="667">
        <v>0.03</v>
      </c>
      <c r="I34" s="667">
        <v>0.2</v>
      </c>
      <c r="J34" s="667"/>
      <c r="K34" s="667"/>
      <c r="L34" s="665"/>
      <c r="M34" s="667"/>
      <c r="N34" s="667"/>
      <c r="O34" s="667"/>
      <c r="P34" s="667"/>
      <c r="Q34" s="667"/>
      <c r="R34" s="667"/>
      <c r="S34" s="486">
        <f t="shared" si="2"/>
        <v>0.30000000000000004</v>
      </c>
      <c r="T34" s="1049"/>
      <c r="U34" s="1033"/>
      <c r="V34" s="1054"/>
      <c r="W34" s="365"/>
    </row>
    <row r="35" spans="1:27" ht="66" customHeight="1" x14ac:dyDescent="0.25">
      <c r="A35" s="1025"/>
      <c r="B35" s="1027"/>
      <c r="C35" s="1055" t="s">
        <v>688</v>
      </c>
      <c r="D35" s="1021" t="s">
        <v>384</v>
      </c>
      <c r="E35" s="1021" t="s">
        <v>384</v>
      </c>
      <c r="F35" s="607" t="s">
        <v>19</v>
      </c>
      <c r="G35" s="665">
        <v>0.16</v>
      </c>
      <c r="H35" s="665">
        <v>0.04</v>
      </c>
      <c r="I35" s="665">
        <v>0.2</v>
      </c>
      <c r="J35" s="665">
        <v>0.2</v>
      </c>
      <c r="K35" s="665">
        <v>0.2</v>
      </c>
      <c r="L35" s="665">
        <v>0.2</v>
      </c>
      <c r="M35" s="663"/>
      <c r="N35" s="663"/>
      <c r="O35" s="663"/>
      <c r="P35" s="663"/>
      <c r="Q35" s="663"/>
      <c r="R35" s="663"/>
      <c r="S35" s="362">
        <f t="shared" si="2"/>
        <v>1</v>
      </c>
      <c r="T35" s="1049"/>
      <c r="U35" s="1017">
        <v>2.1000000000000001E-2</v>
      </c>
      <c r="V35" s="1052" t="s">
        <v>703</v>
      </c>
      <c r="W35" s="1044"/>
      <c r="X35" s="1045"/>
      <c r="Y35" s="1045"/>
      <c r="Z35" s="1045"/>
      <c r="AA35" s="1045"/>
    </row>
    <row r="36" spans="1:27" ht="66" customHeight="1" x14ac:dyDescent="0.25">
      <c r="A36" s="1047"/>
      <c r="B36" s="1048"/>
      <c r="C36" s="1057"/>
      <c r="D36" s="1058"/>
      <c r="E36" s="1058"/>
      <c r="F36" s="668" t="s">
        <v>20</v>
      </c>
      <c r="G36" s="669">
        <v>0.16</v>
      </c>
      <c r="H36" s="669">
        <v>0.04</v>
      </c>
      <c r="I36" s="669">
        <v>0.2</v>
      </c>
      <c r="J36" s="669"/>
      <c r="K36" s="669"/>
      <c r="L36" s="669"/>
      <c r="M36" s="669"/>
      <c r="N36" s="669"/>
      <c r="O36" s="669"/>
      <c r="P36" s="669"/>
      <c r="Q36" s="669"/>
      <c r="R36" s="669"/>
      <c r="S36" s="670">
        <f t="shared" si="2"/>
        <v>0.4</v>
      </c>
      <c r="T36" s="1049"/>
      <c r="U36" s="1032"/>
      <c r="V36" s="1053"/>
      <c r="W36" s="1044"/>
      <c r="X36" s="1045"/>
      <c r="Y36" s="1045"/>
      <c r="Z36" s="1045"/>
      <c r="AA36" s="1045"/>
    </row>
    <row r="37" spans="1:27" s="9" customFormat="1" ht="34.5" customHeight="1" x14ac:dyDescent="0.25">
      <c r="A37" s="1046" t="s">
        <v>600</v>
      </c>
      <c r="B37" s="1046"/>
      <c r="C37" s="1046"/>
      <c r="D37" s="1046"/>
      <c r="E37" s="1046"/>
      <c r="F37" s="1046"/>
      <c r="G37" s="1046"/>
      <c r="H37" s="1046"/>
      <c r="I37" s="1046"/>
      <c r="J37" s="1046"/>
      <c r="K37" s="1046"/>
      <c r="L37" s="1046"/>
      <c r="M37" s="1046"/>
      <c r="N37" s="1046"/>
      <c r="O37" s="1046"/>
      <c r="P37" s="1046"/>
      <c r="Q37" s="1046"/>
      <c r="R37" s="1046"/>
      <c r="S37" s="1046"/>
      <c r="T37" s="671">
        <f>SUM(T9:T36)</f>
        <v>100</v>
      </c>
      <c r="U37" s="672">
        <f>SUM(U9:U36)</f>
        <v>0.99999999999999989</v>
      </c>
      <c r="V37" s="673"/>
      <c r="W37" s="365"/>
    </row>
    <row r="38" spans="1:27" ht="24.75" customHeight="1" x14ac:dyDescent="0.25">
      <c r="A38" s="8"/>
      <c r="B38" s="8"/>
      <c r="C38" s="12"/>
      <c r="D38" s="8"/>
      <c r="E38" s="8"/>
      <c r="F38" s="284"/>
      <c r="G38" s="8"/>
      <c r="H38" s="8"/>
      <c r="I38" s="8"/>
      <c r="J38" s="8"/>
      <c r="K38" s="8"/>
      <c r="L38" s="8"/>
      <c r="M38" s="8"/>
      <c r="N38" s="10"/>
      <c r="O38" s="10"/>
      <c r="P38" s="10"/>
      <c r="Q38" s="10"/>
      <c r="R38" s="287"/>
      <c r="S38" s="287"/>
      <c r="T38" s="10"/>
      <c r="U38" s="10"/>
      <c r="W38" s="365"/>
    </row>
    <row r="39" spans="1:27" ht="24.75" customHeight="1" x14ac:dyDescent="0.25">
      <c r="A39" s="8"/>
      <c r="B39" s="8"/>
      <c r="C39" s="12"/>
      <c r="D39" s="8"/>
      <c r="E39" s="8"/>
      <c r="F39" s="284"/>
      <c r="G39" s="8"/>
      <c r="H39" s="8"/>
      <c r="I39" s="8"/>
      <c r="J39" s="8"/>
      <c r="K39" s="8"/>
      <c r="L39" s="8"/>
      <c r="M39" s="8"/>
      <c r="N39" s="10"/>
      <c r="O39" s="10"/>
      <c r="P39" s="10"/>
      <c r="Q39" s="10"/>
      <c r="R39" s="287"/>
      <c r="S39" s="287"/>
      <c r="T39" s="10"/>
      <c r="U39" s="10"/>
    </row>
    <row r="40" spans="1:27" ht="24.75" customHeight="1" x14ac:dyDescent="0.25">
      <c r="B40" s="318"/>
      <c r="C40" s="2"/>
      <c r="D40" s="2"/>
      <c r="E40" s="2"/>
      <c r="F40" s="286"/>
      <c r="G40" s="2"/>
      <c r="H40" s="2"/>
      <c r="I40" s="211"/>
      <c r="J40" s="8"/>
      <c r="K40" s="8"/>
      <c r="L40" s="8"/>
      <c r="M40" s="8"/>
      <c r="N40" s="8"/>
      <c r="O40" s="10"/>
      <c r="P40" s="10"/>
      <c r="Q40" s="10"/>
      <c r="R40" s="287"/>
      <c r="S40" s="287"/>
      <c r="T40" s="10"/>
      <c r="U40" s="10"/>
    </row>
    <row r="41" spans="1:27" ht="44.25" customHeight="1" x14ac:dyDescent="0.2">
      <c r="A41" s="8"/>
      <c r="B41" s="29" t="s">
        <v>36</v>
      </c>
      <c r="C41" s="879" t="s">
        <v>37</v>
      </c>
      <c r="D41" s="880"/>
      <c r="E41" s="881"/>
      <c r="F41" s="882" t="s">
        <v>38</v>
      </c>
      <c r="G41" s="883"/>
      <c r="H41" s="883"/>
      <c r="I41" s="883"/>
      <c r="J41" s="883"/>
      <c r="K41" s="883"/>
      <c r="L41" s="883"/>
      <c r="M41" s="883"/>
      <c r="N41" s="883"/>
      <c r="O41" s="883"/>
      <c r="Q41" s="10"/>
      <c r="R41" s="5"/>
      <c r="S41" s="287"/>
      <c r="T41" s="10"/>
      <c r="U41" s="10"/>
    </row>
    <row r="42" spans="1:27" ht="44.25" customHeight="1" x14ac:dyDescent="0.2">
      <c r="A42" s="8"/>
      <c r="B42" s="101">
        <v>13</v>
      </c>
      <c r="C42" s="884" t="s">
        <v>95</v>
      </c>
      <c r="D42" s="885"/>
      <c r="E42" s="886"/>
      <c r="F42" s="887" t="s">
        <v>86</v>
      </c>
      <c r="G42" s="888"/>
      <c r="H42" s="888"/>
      <c r="I42" s="888"/>
      <c r="J42" s="888"/>
      <c r="K42" s="888"/>
      <c r="L42" s="888"/>
      <c r="M42" s="888"/>
      <c r="N42" s="888"/>
      <c r="O42" s="888"/>
      <c r="Q42" s="10"/>
      <c r="R42" s="5"/>
      <c r="S42" s="287"/>
      <c r="T42" s="10"/>
      <c r="U42" s="10"/>
    </row>
    <row r="43" spans="1:27" ht="44.25" customHeight="1" x14ac:dyDescent="0.2">
      <c r="A43" s="8"/>
      <c r="B43" s="101">
        <v>14</v>
      </c>
      <c r="C43" s="884" t="s">
        <v>598</v>
      </c>
      <c r="D43" s="885"/>
      <c r="E43" s="886"/>
      <c r="F43" s="887" t="s">
        <v>599</v>
      </c>
      <c r="G43" s="888"/>
      <c r="H43" s="888"/>
      <c r="I43" s="888"/>
      <c r="J43" s="888"/>
      <c r="K43" s="888"/>
      <c r="L43" s="888"/>
      <c r="M43" s="888"/>
      <c r="N43" s="888"/>
      <c r="O43" s="888"/>
      <c r="P43" s="10"/>
      <c r="Q43" s="10"/>
      <c r="R43" s="5"/>
      <c r="S43" s="287"/>
      <c r="T43" s="10"/>
      <c r="U43" s="10"/>
    </row>
    <row r="44" spans="1:27" ht="135" customHeight="1" x14ac:dyDescent="0.2">
      <c r="A44" s="8"/>
      <c r="B44" s="8"/>
      <c r="C44" s="12"/>
      <c r="D44" s="8"/>
      <c r="E44" s="8"/>
      <c r="F44" s="284"/>
      <c r="G44" s="8"/>
      <c r="H44" s="8"/>
      <c r="I44" s="8"/>
      <c r="J44" s="8"/>
      <c r="K44" s="8"/>
      <c r="L44" s="8"/>
      <c r="M44" s="8"/>
      <c r="N44" s="10"/>
      <c r="O44" s="10"/>
      <c r="P44" s="10"/>
      <c r="Q44" s="10"/>
      <c r="R44" s="5"/>
      <c r="S44" s="287"/>
      <c r="T44" s="10"/>
      <c r="U44" s="10"/>
    </row>
    <row r="45" spans="1:27" ht="135" customHeight="1" x14ac:dyDescent="0.2">
      <c r="A45" s="8"/>
      <c r="B45" s="8"/>
      <c r="C45" s="12"/>
      <c r="D45" s="8"/>
      <c r="E45" s="8"/>
      <c r="F45" s="284"/>
      <c r="G45" s="8"/>
      <c r="H45" s="8"/>
      <c r="I45" s="8"/>
      <c r="J45" s="8"/>
      <c r="K45" s="8"/>
      <c r="L45" s="8"/>
      <c r="M45" s="8"/>
      <c r="N45" s="10"/>
      <c r="O45" s="10"/>
      <c r="P45" s="10"/>
      <c r="Q45" s="10"/>
      <c r="R45" s="5"/>
      <c r="S45" s="287"/>
      <c r="T45" s="10"/>
      <c r="U45" s="10"/>
    </row>
    <row r="46" spans="1:27" ht="135" customHeight="1" x14ac:dyDescent="0.2">
      <c r="A46" s="8"/>
      <c r="B46" s="8"/>
      <c r="C46" s="12"/>
      <c r="D46" s="8"/>
      <c r="E46" s="8"/>
      <c r="F46" s="284"/>
      <c r="G46" s="8"/>
      <c r="H46" s="8"/>
      <c r="I46" s="8"/>
      <c r="J46" s="8"/>
      <c r="K46" s="8"/>
      <c r="L46" s="8"/>
      <c r="M46" s="8"/>
      <c r="N46" s="10"/>
      <c r="O46" s="10"/>
      <c r="P46" s="10"/>
      <c r="Q46" s="10"/>
      <c r="R46" s="5"/>
      <c r="S46" s="287"/>
      <c r="T46" s="10"/>
      <c r="U46" s="10"/>
    </row>
    <row r="47" spans="1:27" ht="135" customHeight="1" x14ac:dyDescent="0.2">
      <c r="A47" s="8"/>
      <c r="B47" s="8"/>
      <c r="C47" s="12"/>
      <c r="D47" s="8"/>
      <c r="E47" s="8"/>
      <c r="F47" s="284"/>
      <c r="G47" s="8"/>
      <c r="H47" s="8"/>
      <c r="I47" s="8"/>
      <c r="J47" s="8"/>
      <c r="K47" s="8"/>
      <c r="L47" s="8"/>
      <c r="M47" s="8"/>
      <c r="N47" s="10"/>
      <c r="O47" s="10"/>
      <c r="P47" s="10"/>
      <c r="Q47" s="10"/>
      <c r="R47" s="5"/>
      <c r="S47" s="287"/>
      <c r="T47" s="10"/>
      <c r="U47" s="10"/>
    </row>
    <row r="48" spans="1:27" ht="135" customHeight="1" x14ac:dyDescent="0.2">
      <c r="A48" s="8"/>
      <c r="B48" s="8"/>
      <c r="C48" s="12"/>
      <c r="D48" s="8"/>
      <c r="E48" s="8"/>
      <c r="F48" s="284"/>
      <c r="G48" s="8"/>
      <c r="H48" s="8"/>
      <c r="I48" s="8"/>
      <c r="J48" s="8"/>
      <c r="K48" s="8"/>
      <c r="L48" s="8"/>
      <c r="M48" s="8"/>
      <c r="N48" s="10"/>
      <c r="O48" s="10"/>
      <c r="P48" s="10"/>
      <c r="Q48" s="10"/>
      <c r="R48" s="5"/>
      <c r="S48" s="287"/>
      <c r="T48" s="10"/>
      <c r="U48" s="10"/>
    </row>
    <row r="49" spans="1:21" ht="135" customHeight="1" x14ac:dyDescent="0.2">
      <c r="A49" s="8"/>
      <c r="B49" s="8"/>
      <c r="C49" s="12"/>
      <c r="D49" s="8"/>
      <c r="E49" s="8"/>
      <c r="F49" s="284"/>
      <c r="G49" s="8"/>
      <c r="H49" s="8"/>
      <c r="I49" s="8"/>
      <c r="J49" s="8"/>
      <c r="K49" s="8"/>
      <c r="L49" s="8"/>
      <c r="M49" s="8"/>
      <c r="N49" s="10"/>
      <c r="O49" s="10"/>
      <c r="P49" s="10"/>
      <c r="Q49" s="10"/>
      <c r="R49" s="5"/>
      <c r="S49" s="287"/>
      <c r="T49" s="10"/>
      <c r="U49" s="10"/>
    </row>
    <row r="50" spans="1:21" ht="135" customHeight="1" x14ac:dyDescent="0.2">
      <c r="A50" s="8"/>
      <c r="B50" s="8"/>
      <c r="C50" s="12"/>
      <c r="D50" s="8"/>
      <c r="E50" s="8"/>
      <c r="F50" s="284"/>
      <c r="G50" s="8"/>
      <c r="H50" s="8"/>
      <c r="I50" s="8"/>
      <c r="J50" s="8"/>
      <c r="K50" s="8"/>
      <c r="L50" s="8"/>
      <c r="M50" s="8"/>
      <c r="N50" s="10"/>
      <c r="O50" s="10"/>
      <c r="P50" s="10"/>
      <c r="Q50" s="10"/>
      <c r="R50" s="5"/>
      <c r="S50" s="287"/>
      <c r="T50" s="10"/>
      <c r="U50" s="10"/>
    </row>
    <row r="51" spans="1:21" ht="135" customHeight="1" x14ac:dyDescent="0.2">
      <c r="A51" s="8"/>
      <c r="B51" s="8"/>
      <c r="C51" s="12"/>
      <c r="D51" s="8"/>
      <c r="E51" s="8"/>
      <c r="F51" s="284"/>
      <c r="G51" s="8"/>
      <c r="H51" s="8"/>
      <c r="I51" s="8"/>
      <c r="J51" s="8"/>
      <c r="K51" s="8"/>
      <c r="L51" s="8"/>
      <c r="M51" s="8"/>
      <c r="N51" s="10"/>
      <c r="O51" s="10"/>
      <c r="P51" s="10"/>
      <c r="Q51" s="10"/>
      <c r="R51" s="5"/>
      <c r="S51" s="287"/>
      <c r="T51" s="10"/>
      <c r="U51" s="10"/>
    </row>
    <row r="52" spans="1:21" ht="135" customHeight="1" x14ac:dyDescent="0.2">
      <c r="A52" s="8"/>
      <c r="B52" s="8"/>
      <c r="C52" s="12"/>
      <c r="D52" s="8"/>
      <c r="E52" s="8"/>
      <c r="F52" s="284"/>
      <c r="G52" s="8"/>
      <c r="H52" s="8"/>
      <c r="I52" s="8"/>
      <c r="J52" s="8"/>
      <c r="K52" s="8"/>
      <c r="L52" s="8"/>
      <c r="M52" s="8"/>
      <c r="N52" s="10"/>
      <c r="O52" s="10"/>
      <c r="P52" s="10"/>
      <c r="Q52" s="10"/>
      <c r="R52" s="5"/>
      <c r="S52" s="287"/>
      <c r="T52" s="10"/>
      <c r="U52" s="10"/>
    </row>
    <row r="53" spans="1:21" ht="135" customHeight="1" x14ac:dyDescent="0.2">
      <c r="A53" s="8"/>
      <c r="B53" s="8"/>
      <c r="C53" s="12"/>
      <c r="D53" s="8"/>
      <c r="E53" s="8"/>
      <c r="F53" s="284"/>
      <c r="G53" s="8"/>
      <c r="H53" s="8"/>
      <c r="I53" s="8"/>
      <c r="J53" s="8"/>
      <c r="K53" s="8"/>
      <c r="L53" s="8"/>
      <c r="M53" s="8"/>
      <c r="N53" s="10"/>
      <c r="O53" s="10"/>
      <c r="P53" s="10"/>
      <c r="Q53" s="10"/>
      <c r="R53" s="5"/>
      <c r="S53" s="287"/>
      <c r="T53" s="10"/>
      <c r="U53" s="10"/>
    </row>
    <row r="54" spans="1:21" ht="135" customHeight="1" x14ac:dyDescent="0.2">
      <c r="A54" s="8"/>
      <c r="B54" s="8"/>
      <c r="C54" s="12"/>
      <c r="D54" s="8"/>
      <c r="E54" s="8"/>
      <c r="F54" s="284"/>
      <c r="G54" s="8"/>
      <c r="H54" s="8"/>
      <c r="I54" s="8"/>
      <c r="J54" s="8"/>
      <c r="K54" s="8"/>
      <c r="L54" s="8"/>
      <c r="M54" s="8"/>
      <c r="N54" s="10"/>
      <c r="O54" s="10"/>
      <c r="P54" s="10"/>
      <c r="Q54" s="10"/>
      <c r="R54" s="5"/>
      <c r="S54" s="287"/>
      <c r="T54" s="10"/>
      <c r="U54" s="10"/>
    </row>
    <row r="55" spans="1:21" ht="135" customHeight="1" x14ac:dyDescent="0.2">
      <c r="A55" s="8"/>
      <c r="B55" s="8"/>
      <c r="C55" s="12"/>
      <c r="D55" s="8"/>
      <c r="E55" s="8"/>
      <c r="F55" s="284"/>
      <c r="G55" s="8"/>
      <c r="H55" s="8"/>
      <c r="I55" s="8"/>
      <c r="J55" s="8"/>
      <c r="K55" s="8"/>
      <c r="L55" s="8"/>
      <c r="M55" s="8"/>
      <c r="N55" s="10"/>
      <c r="O55" s="10"/>
      <c r="P55" s="10"/>
      <c r="Q55" s="10"/>
      <c r="R55" s="5"/>
      <c r="S55" s="287"/>
      <c r="T55" s="10"/>
      <c r="U55" s="10"/>
    </row>
    <row r="56" spans="1:21" ht="135" customHeight="1" x14ac:dyDescent="0.2">
      <c r="A56" s="8"/>
      <c r="B56" s="8"/>
      <c r="C56" s="12"/>
      <c r="D56" s="8"/>
      <c r="E56" s="8"/>
      <c r="F56" s="284"/>
      <c r="G56" s="8"/>
      <c r="H56" s="8"/>
      <c r="I56" s="8"/>
      <c r="J56" s="8"/>
      <c r="K56" s="8"/>
      <c r="L56" s="8"/>
      <c r="M56" s="8"/>
      <c r="N56" s="10"/>
      <c r="O56" s="10"/>
      <c r="P56" s="10"/>
      <c r="Q56" s="10"/>
      <c r="R56" s="5"/>
      <c r="S56" s="287"/>
      <c r="T56" s="10"/>
      <c r="U56" s="10"/>
    </row>
    <row r="57" spans="1:21" ht="135" customHeight="1" x14ac:dyDescent="0.2">
      <c r="A57" s="8"/>
      <c r="B57" s="8"/>
      <c r="C57" s="12"/>
      <c r="D57" s="8"/>
      <c r="E57" s="8"/>
      <c r="F57" s="284"/>
      <c r="G57" s="8"/>
      <c r="H57" s="8"/>
      <c r="I57" s="8"/>
      <c r="J57" s="8"/>
      <c r="K57" s="8"/>
      <c r="L57" s="8"/>
      <c r="M57" s="8"/>
      <c r="N57" s="10"/>
      <c r="O57" s="10"/>
      <c r="P57" s="10"/>
      <c r="Q57" s="10"/>
      <c r="R57" s="5"/>
      <c r="S57" s="287"/>
      <c r="T57" s="10"/>
      <c r="U57" s="10"/>
    </row>
    <row r="58" spans="1:21" ht="135" customHeight="1" x14ac:dyDescent="0.2">
      <c r="A58" s="8"/>
      <c r="B58" s="8"/>
      <c r="C58" s="12"/>
      <c r="D58" s="8"/>
      <c r="E58" s="8"/>
      <c r="F58" s="284"/>
      <c r="G58" s="8"/>
      <c r="H58" s="8"/>
      <c r="I58" s="8"/>
      <c r="J58" s="8"/>
      <c r="K58" s="8"/>
      <c r="L58" s="8"/>
      <c r="M58" s="8"/>
      <c r="N58" s="10"/>
      <c r="O58" s="10"/>
      <c r="P58" s="10"/>
      <c r="Q58" s="10"/>
      <c r="R58" s="5"/>
      <c r="S58" s="287"/>
      <c r="T58" s="10"/>
      <c r="U58" s="10"/>
    </row>
    <row r="59" spans="1:21" ht="135" customHeight="1" x14ac:dyDescent="0.2">
      <c r="A59" s="8"/>
      <c r="B59" s="8"/>
      <c r="C59" s="12"/>
      <c r="D59" s="8"/>
      <c r="E59" s="8"/>
      <c r="F59" s="284"/>
      <c r="G59" s="8"/>
      <c r="H59" s="8"/>
      <c r="I59" s="8"/>
      <c r="J59" s="8"/>
      <c r="K59" s="8"/>
      <c r="L59" s="8"/>
      <c r="M59" s="8"/>
      <c r="N59" s="10"/>
      <c r="O59" s="10"/>
      <c r="P59" s="10"/>
      <c r="Q59" s="10"/>
      <c r="R59" s="5"/>
      <c r="S59" s="287"/>
      <c r="T59" s="10"/>
      <c r="U59" s="10"/>
    </row>
    <row r="60" spans="1:21" ht="135" customHeight="1" x14ac:dyDescent="0.2">
      <c r="A60" s="8"/>
      <c r="B60" s="8"/>
      <c r="C60" s="12"/>
      <c r="D60" s="8"/>
      <c r="E60" s="8"/>
      <c r="F60" s="284"/>
      <c r="G60" s="8"/>
      <c r="H60" s="8"/>
      <c r="I60" s="8"/>
      <c r="J60" s="8"/>
      <c r="K60" s="8"/>
      <c r="L60" s="8"/>
      <c r="M60" s="8"/>
      <c r="N60" s="10"/>
      <c r="O60" s="10"/>
      <c r="P60" s="10"/>
      <c r="Q60" s="10"/>
      <c r="R60" s="5"/>
      <c r="S60" s="287"/>
      <c r="T60" s="10"/>
      <c r="U60" s="10"/>
    </row>
    <row r="61" spans="1:21" ht="135" customHeight="1" x14ac:dyDescent="0.2">
      <c r="A61" s="8"/>
      <c r="B61" s="8"/>
      <c r="C61" s="12"/>
      <c r="D61" s="8"/>
      <c r="E61" s="8"/>
      <c r="F61" s="284"/>
      <c r="G61" s="8"/>
      <c r="H61" s="8"/>
      <c r="I61" s="8"/>
      <c r="J61" s="8"/>
      <c r="K61" s="8"/>
      <c r="L61" s="8"/>
      <c r="M61" s="8"/>
      <c r="N61" s="10"/>
      <c r="O61" s="10"/>
      <c r="P61" s="10"/>
      <c r="Q61" s="10"/>
      <c r="R61" s="5"/>
      <c r="S61" s="287"/>
      <c r="T61" s="10"/>
      <c r="U61" s="10"/>
    </row>
    <row r="62" spans="1:21" ht="135" customHeight="1" x14ac:dyDescent="0.2">
      <c r="A62" s="8"/>
      <c r="B62" s="8"/>
      <c r="C62" s="12"/>
      <c r="D62" s="8"/>
      <c r="E62" s="8"/>
      <c r="F62" s="284"/>
      <c r="G62" s="8"/>
      <c r="H62" s="8"/>
      <c r="I62" s="8"/>
      <c r="J62" s="8"/>
      <c r="K62" s="8"/>
      <c r="L62" s="8"/>
      <c r="M62" s="8"/>
      <c r="N62" s="10"/>
      <c r="O62" s="10"/>
      <c r="P62" s="10"/>
      <c r="Q62" s="10"/>
      <c r="R62" s="5"/>
      <c r="S62" s="287"/>
      <c r="T62" s="10"/>
      <c r="U62" s="10"/>
    </row>
    <row r="63" spans="1:21" ht="135" customHeight="1" x14ac:dyDescent="0.2">
      <c r="A63" s="8"/>
      <c r="B63" s="8"/>
      <c r="C63" s="12"/>
      <c r="D63" s="8"/>
      <c r="E63" s="8"/>
      <c r="F63" s="284"/>
      <c r="G63" s="8"/>
      <c r="H63" s="8"/>
      <c r="I63" s="8"/>
      <c r="J63" s="8"/>
      <c r="K63" s="8"/>
      <c r="L63" s="8"/>
      <c r="M63" s="8"/>
      <c r="N63" s="10"/>
      <c r="O63" s="10"/>
      <c r="P63" s="10"/>
      <c r="Q63" s="10"/>
      <c r="R63" s="5"/>
      <c r="S63" s="287"/>
      <c r="T63" s="10"/>
      <c r="U63" s="10"/>
    </row>
    <row r="64" spans="1:21" ht="135" customHeight="1" x14ac:dyDescent="0.2">
      <c r="A64" s="8"/>
      <c r="B64" s="8"/>
      <c r="C64" s="12"/>
      <c r="D64" s="8"/>
      <c r="E64" s="8"/>
      <c r="F64" s="284"/>
      <c r="G64" s="8"/>
      <c r="H64" s="8"/>
      <c r="I64" s="8"/>
      <c r="J64" s="8"/>
      <c r="K64" s="8"/>
      <c r="L64" s="8"/>
      <c r="M64" s="8"/>
      <c r="N64" s="10"/>
      <c r="O64" s="10"/>
      <c r="P64" s="10"/>
      <c r="Q64" s="10"/>
      <c r="R64" s="5"/>
      <c r="S64" s="287"/>
      <c r="T64" s="10"/>
      <c r="U64" s="10"/>
    </row>
    <row r="65" spans="1:21" ht="135" customHeight="1" x14ac:dyDescent="0.2">
      <c r="A65" s="8"/>
      <c r="B65" s="8"/>
      <c r="C65" s="12"/>
      <c r="D65" s="8"/>
      <c r="E65" s="8"/>
      <c r="F65" s="284"/>
      <c r="G65" s="8"/>
      <c r="H65" s="8"/>
      <c r="I65" s="8"/>
      <c r="J65" s="8"/>
      <c r="K65" s="8"/>
      <c r="L65" s="8"/>
      <c r="M65" s="8"/>
      <c r="N65" s="10"/>
      <c r="O65" s="10"/>
      <c r="P65" s="10"/>
      <c r="Q65" s="10"/>
      <c r="R65" s="5"/>
      <c r="S65" s="287"/>
      <c r="T65" s="10"/>
      <c r="U65" s="10"/>
    </row>
    <row r="66" spans="1:21" ht="135" customHeight="1" x14ac:dyDescent="0.2">
      <c r="A66" s="8"/>
      <c r="B66" s="8"/>
      <c r="C66" s="12"/>
      <c r="D66" s="8"/>
      <c r="E66" s="8"/>
      <c r="F66" s="284"/>
      <c r="G66" s="8"/>
      <c r="H66" s="8"/>
      <c r="I66" s="8"/>
      <c r="J66" s="8"/>
      <c r="K66" s="8"/>
      <c r="L66" s="8"/>
      <c r="M66" s="8"/>
      <c r="N66" s="10"/>
      <c r="O66" s="10"/>
      <c r="P66" s="10"/>
      <c r="Q66" s="10"/>
      <c r="R66" s="5"/>
      <c r="S66" s="287"/>
      <c r="T66" s="10"/>
      <c r="U66" s="10"/>
    </row>
    <row r="67" spans="1:21" ht="135" customHeight="1" x14ac:dyDescent="0.2">
      <c r="A67" s="8"/>
      <c r="B67" s="8"/>
      <c r="C67" s="12"/>
      <c r="D67" s="8"/>
      <c r="E67" s="8"/>
      <c r="F67" s="284"/>
      <c r="G67" s="8"/>
      <c r="H67" s="8"/>
      <c r="I67" s="8"/>
      <c r="J67" s="8"/>
      <c r="K67" s="8"/>
      <c r="L67" s="8"/>
      <c r="M67" s="8"/>
      <c r="N67" s="10"/>
      <c r="O67" s="10"/>
      <c r="P67" s="10"/>
      <c r="Q67" s="10"/>
      <c r="R67" s="5"/>
      <c r="S67" s="287"/>
      <c r="T67" s="10"/>
      <c r="U67" s="10"/>
    </row>
    <row r="68" spans="1:21" ht="135" customHeight="1" x14ac:dyDescent="0.2">
      <c r="A68" s="8"/>
      <c r="B68" s="8"/>
      <c r="C68" s="12"/>
      <c r="D68" s="8"/>
      <c r="E68" s="8"/>
      <c r="F68" s="284"/>
      <c r="G68" s="8"/>
      <c r="H68" s="8"/>
      <c r="I68" s="8"/>
      <c r="J68" s="8"/>
      <c r="K68" s="8"/>
      <c r="L68" s="8"/>
      <c r="M68" s="8"/>
      <c r="N68" s="10"/>
      <c r="O68" s="10"/>
      <c r="P68" s="10"/>
      <c r="Q68" s="10"/>
      <c r="R68" s="5"/>
      <c r="S68" s="287"/>
      <c r="T68" s="10"/>
      <c r="U68" s="10"/>
    </row>
    <row r="69" spans="1:21" ht="135" customHeight="1" x14ac:dyDescent="0.2">
      <c r="A69" s="8"/>
      <c r="B69" s="8"/>
      <c r="C69" s="12"/>
      <c r="D69" s="8"/>
      <c r="E69" s="8"/>
      <c r="F69" s="284"/>
      <c r="G69" s="8"/>
      <c r="H69" s="8"/>
      <c r="I69" s="8"/>
      <c r="J69" s="8"/>
      <c r="K69" s="8"/>
      <c r="L69" s="8"/>
      <c r="M69" s="8"/>
      <c r="N69" s="10"/>
      <c r="O69" s="10"/>
      <c r="P69" s="10"/>
      <c r="Q69" s="10"/>
      <c r="R69" s="5"/>
      <c r="S69" s="287"/>
      <c r="T69" s="10"/>
      <c r="U69" s="10"/>
    </row>
    <row r="70" spans="1:21" ht="135" customHeight="1" x14ac:dyDescent="0.2">
      <c r="A70" s="8"/>
      <c r="B70" s="8"/>
      <c r="C70" s="12"/>
      <c r="D70" s="8"/>
      <c r="E70" s="8"/>
      <c r="F70" s="284"/>
      <c r="G70" s="8"/>
      <c r="H70" s="8"/>
      <c r="I70" s="8"/>
      <c r="J70" s="8"/>
      <c r="K70" s="8"/>
      <c r="L70" s="8"/>
      <c r="M70" s="8"/>
      <c r="N70" s="10"/>
      <c r="O70" s="10"/>
      <c r="P70" s="10"/>
      <c r="Q70" s="10"/>
      <c r="R70" s="5"/>
      <c r="S70" s="287"/>
      <c r="T70" s="10"/>
      <c r="U70" s="10"/>
    </row>
    <row r="71" spans="1:21" ht="135" customHeight="1" x14ac:dyDescent="0.2">
      <c r="A71" s="8"/>
      <c r="B71" s="8"/>
      <c r="C71" s="12"/>
      <c r="D71" s="8"/>
      <c r="E71" s="8"/>
      <c r="F71" s="284"/>
      <c r="G71" s="8"/>
      <c r="H71" s="8"/>
      <c r="I71" s="8"/>
      <c r="J71" s="8"/>
      <c r="K71" s="8"/>
      <c r="L71" s="8"/>
      <c r="M71" s="8"/>
      <c r="N71" s="10"/>
      <c r="O71" s="10"/>
      <c r="P71" s="10"/>
      <c r="Q71" s="10"/>
      <c r="R71" s="5"/>
      <c r="S71" s="287"/>
      <c r="T71" s="10"/>
      <c r="U71" s="10"/>
    </row>
    <row r="72" spans="1:21" ht="135" customHeight="1" x14ac:dyDescent="0.2">
      <c r="A72" s="8"/>
      <c r="B72" s="8"/>
      <c r="C72" s="12"/>
      <c r="D72" s="8"/>
      <c r="E72" s="8"/>
      <c r="F72" s="284"/>
      <c r="G72" s="8"/>
      <c r="H72" s="8"/>
      <c r="I72" s="8"/>
      <c r="J72" s="8"/>
      <c r="K72" s="8"/>
      <c r="L72" s="8"/>
      <c r="M72" s="8"/>
      <c r="N72" s="10"/>
      <c r="O72" s="10"/>
      <c r="P72" s="10"/>
      <c r="Q72" s="10"/>
      <c r="R72" s="5"/>
      <c r="S72" s="287"/>
      <c r="T72" s="10"/>
      <c r="U72" s="10"/>
    </row>
    <row r="73" spans="1:21" ht="135" customHeight="1" x14ac:dyDescent="0.2">
      <c r="A73" s="8"/>
      <c r="B73" s="8"/>
      <c r="C73" s="12"/>
      <c r="D73" s="8"/>
      <c r="E73" s="8"/>
      <c r="F73" s="284"/>
      <c r="G73" s="8"/>
      <c r="H73" s="8"/>
      <c r="I73" s="8"/>
      <c r="J73" s="8"/>
      <c r="K73" s="8"/>
      <c r="L73" s="8"/>
      <c r="M73" s="8"/>
      <c r="N73" s="10"/>
      <c r="O73" s="10"/>
      <c r="P73" s="10"/>
      <c r="Q73" s="10"/>
      <c r="R73" s="5"/>
      <c r="S73" s="287"/>
      <c r="T73" s="10"/>
      <c r="U73" s="10"/>
    </row>
    <row r="74" spans="1:21" ht="135" customHeight="1" x14ac:dyDescent="0.2">
      <c r="A74" s="8"/>
      <c r="B74" s="8"/>
      <c r="C74" s="12"/>
      <c r="D74" s="8"/>
      <c r="E74" s="8"/>
      <c r="F74" s="284"/>
      <c r="G74" s="8"/>
      <c r="H74" s="8"/>
      <c r="I74" s="8"/>
      <c r="J74" s="8"/>
      <c r="K74" s="8"/>
      <c r="L74" s="8"/>
      <c r="M74" s="8"/>
      <c r="N74" s="10"/>
      <c r="O74" s="10"/>
      <c r="P74" s="10"/>
      <c r="Q74" s="10"/>
      <c r="R74" s="5"/>
      <c r="S74" s="287"/>
      <c r="T74" s="10"/>
      <c r="U74" s="10"/>
    </row>
    <row r="75" spans="1:21" ht="135" customHeight="1" x14ac:dyDescent="0.2">
      <c r="A75" s="8"/>
      <c r="B75" s="8"/>
      <c r="C75" s="12"/>
      <c r="D75" s="8"/>
      <c r="E75" s="8"/>
      <c r="F75" s="284"/>
      <c r="G75" s="8"/>
      <c r="H75" s="8"/>
      <c r="I75" s="8"/>
      <c r="J75" s="8"/>
      <c r="K75" s="8"/>
      <c r="L75" s="8"/>
      <c r="M75" s="8"/>
      <c r="N75" s="10"/>
      <c r="O75" s="10"/>
      <c r="P75" s="10"/>
      <c r="Q75" s="10"/>
      <c r="R75" s="5"/>
      <c r="S75" s="287"/>
      <c r="T75" s="10"/>
      <c r="U75" s="10"/>
    </row>
    <row r="76" spans="1:21" ht="135" customHeight="1" x14ac:dyDescent="0.2">
      <c r="A76" s="8"/>
      <c r="B76" s="8"/>
      <c r="C76" s="12"/>
      <c r="D76" s="8"/>
      <c r="E76" s="8"/>
      <c r="F76" s="284"/>
      <c r="G76" s="8"/>
      <c r="H76" s="8"/>
      <c r="I76" s="8"/>
      <c r="J76" s="8"/>
      <c r="K76" s="8"/>
      <c r="L76" s="8"/>
      <c r="M76" s="8"/>
      <c r="N76" s="10"/>
      <c r="O76" s="10"/>
      <c r="P76" s="10"/>
      <c r="Q76" s="10"/>
      <c r="R76" s="5"/>
      <c r="S76" s="287"/>
      <c r="T76" s="10"/>
      <c r="U76" s="10"/>
    </row>
    <row r="77" spans="1:21" ht="135" customHeight="1" x14ac:dyDescent="0.2">
      <c r="A77" s="8"/>
      <c r="B77" s="8"/>
      <c r="C77" s="12"/>
      <c r="D77" s="8"/>
      <c r="E77" s="8"/>
      <c r="F77" s="284"/>
      <c r="G77" s="8"/>
      <c r="H77" s="8"/>
      <c r="I77" s="8"/>
      <c r="J77" s="8"/>
      <c r="K77" s="8"/>
      <c r="L77" s="8"/>
      <c r="M77" s="8"/>
      <c r="N77" s="10"/>
      <c r="O77" s="10"/>
      <c r="P77" s="10"/>
      <c r="Q77" s="10"/>
      <c r="R77" s="5"/>
      <c r="S77" s="287"/>
      <c r="T77" s="10"/>
      <c r="U77" s="10"/>
    </row>
    <row r="78" spans="1:21" ht="135" customHeight="1" x14ac:dyDescent="0.2">
      <c r="A78" s="8"/>
      <c r="B78" s="8"/>
      <c r="C78" s="12"/>
      <c r="D78" s="8"/>
      <c r="E78" s="8"/>
      <c r="F78" s="284"/>
      <c r="G78" s="8"/>
      <c r="H78" s="8"/>
      <c r="I78" s="8"/>
      <c r="J78" s="8"/>
      <c r="K78" s="8"/>
      <c r="L78" s="8"/>
      <c r="M78" s="8"/>
      <c r="N78" s="10"/>
      <c r="O78" s="10"/>
      <c r="P78" s="10"/>
      <c r="Q78" s="10"/>
      <c r="R78" s="5"/>
      <c r="S78" s="287"/>
      <c r="T78" s="10"/>
      <c r="U78" s="10"/>
    </row>
    <row r="79" spans="1:21" ht="135" customHeight="1" x14ac:dyDescent="0.2">
      <c r="A79" s="8"/>
      <c r="B79" s="8"/>
      <c r="C79" s="12"/>
      <c r="D79" s="8"/>
      <c r="E79" s="8"/>
      <c r="F79" s="284"/>
      <c r="G79" s="8"/>
      <c r="H79" s="8"/>
      <c r="I79" s="8"/>
      <c r="J79" s="8"/>
      <c r="K79" s="8"/>
      <c r="L79" s="8"/>
      <c r="M79" s="8"/>
      <c r="N79" s="10"/>
      <c r="O79" s="10"/>
      <c r="P79" s="10"/>
      <c r="Q79" s="10"/>
      <c r="R79" s="5"/>
      <c r="S79" s="287"/>
      <c r="T79" s="10"/>
      <c r="U79" s="10"/>
    </row>
    <row r="80" spans="1:21" ht="135" customHeight="1" x14ac:dyDescent="0.2">
      <c r="A80" s="8"/>
      <c r="B80" s="8"/>
      <c r="C80" s="12"/>
      <c r="D80" s="8"/>
      <c r="E80" s="8"/>
      <c r="F80" s="284"/>
      <c r="G80" s="8"/>
      <c r="H80" s="8"/>
      <c r="I80" s="8"/>
      <c r="J80" s="8"/>
      <c r="K80" s="8"/>
      <c r="L80" s="8"/>
      <c r="M80" s="8"/>
      <c r="N80" s="10"/>
      <c r="O80" s="10"/>
      <c r="P80" s="10"/>
      <c r="Q80" s="10"/>
      <c r="R80" s="5"/>
      <c r="S80" s="287"/>
      <c r="T80" s="10"/>
      <c r="U80" s="10"/>
    </row>
    <row r="81" spans="1:21" ht="135" customHeight="1" x14ac:dyDescent="0.2">
      <c r="A81" s="8"/>
      <c r="B81" s="8"/>
      <c r="C81" s="12"/>
      <c r="D81" s="8"/>
      <c r="E81" s="8"/>
      <c r="F81" s="284"/>
      <c r="G81" s="8"/>
      <c r="H81" s="8"/>
      <c r="I81" s="8"/>
      <c r="J81" s="8"/>
      <c r="K81" s="8"/>
      <c r="L81" s="8"/>
      <c r="M81" s="8"/>
      <c r="N81" s="10"/>
      <c r="O81" s="10"/>
      <c r="P81" s="10"/>
      <c r="Q81" s="10"/>
      <c r="R81" s="5"/>
      <c r="S81" s="287"/>
      <c r="T81" s="10"/>
      <c r="U81" s="10"/>
    </row>
    <row r="82" spans="1:21" ht="135" customHeight="1" x14ac:dyDescent="0.2">
      <c r="A82" s="8"/>
      <c r="B82" s="8"/>
      <c r="C82" s="12"/>
      <c r="D82" s="8"/>
      <c r="E82" s="8"/>
      <c r="F82" s="284"/>
      <c r="G82" s="8"/>
      <c r="H82" s="8"/>
      <c r="I82" s="8"/>
      <c r="J82" s="8"/>
      <c r="K82" s="8"/>
      <c r="L82" s="8"/>
      <c r="M82" s="8"/>
      <c r="N82" s="10"/>
      <c r="O82" s="10"/>
      <c r="P82" s="10"/>
      <c r="Q82" s="10"/>
      <c r="R82" s="5"/>
      <c r="S82" s="287"/>
      <c r="T82" s="10"/>
      <c r="U82" s="10"/>
    </row>
    <row r="83" spans="1:21" ht="135" customHeight="1" x14ac:dyDescent="0.2">
      <c r="A83" s="8"/>
      <c r="B83" s="8"/>
      <c r="C83" s="12"/>
      <c r="D83" s="8"/>
      <c r="E83" s="8"/>
      <c r="F83" s="284"/>
      <c r="G83" s="8"/>
      <c r="H83" s="8"/>
      <c r="I83" s="8"/>
      <c r="J83" s="8"/>
      <c r="K83" s="8"/>
      <c r="L83" s="8"/>
      <c r="M83" s="8"/>
      <c r="N83" s="10"/>
      <c r="O83" s="10"/>
      <c r="P83" s="10"/>
      <c r="Q83" s="10"/>
      <c r="R83" s="5"/>
      <c r="S83" s="287"/>
      <c r="T83" s="10"/>
      <c r="U83" s="10"/>
    </row>
    <row r="84" spans="1:21" ht="135" customHeight="1" x14ac:dyDescent="0.2">
      <c r="A84" s="8"/>
      <c r="B84" s="8"/>
      <c r="C84" s="12"/>
      <c r="D84" s="8"/>
      <c r="E84" s="8"/>
      <c r="F84" s="284"/>
      <c r="G84" s="8"/>
      <c r="H84" s="8"/>
      <c r="I84" s="8"/>
      <c r="J84" s="8"/>
      <c r="K84" s="8"/>
      <c r="L84" s="8"/>
      <c r="M84" s="8"/>
      <c r="N84" s="10"/>
      <c r="O84" s="10"/>
      <c r="P84" s="10"/>
      <c r="Q84" s="10"/>
      <c r="R84" s="5"/>
      <c r="S84" s="287"/>
      <c r="T84" s="10"/>
      <c r="U84" s="10"/>
    </row>
    <row r="85" spans="1:21" ht="135" customHeight="1" x14ac:dyDescent="0.2">
      <c r="A85" s="8"/>
      <c r="B85" s="8"/>
      <c r="C85" s="12"/>
      <c r="D85" s="8"/>
      <c r="E85" s="8"/>
      <c r="F85" s="284"/>
      <c r="G85" s="8"/>
      <c r="H85" s="8"/>
      <c r="I85" s="8"/>
      <c r="J85" s="8"/>
      <c r="K85" s="8"/>
      <c r="L85" s="8"/>
      <c r="M85" s="8"/>
      <c r="N85" s="10"/>
      <c r="O85" s="10"/>
      <c r="P85" s="10"/>
      <c r="Q85" s="10"/>
      <c r="R85" s="5"/>
      <c r="S85" s="287"/>
      <c r="T85" s="10"/>
      <c r="U85" s="10"/>
    </row>
    <row r="86" spans="1:21" ht="135" customHeight="1" x14ac:dyDescent="0.2">
      <c r="A86" s="8"/>
      <c r="B86" s="8"/>
      <c r="C86" s="12"/>
      <c r="D86" s="8"/>
      <c r="E86" s="8"/>
      <c r="F86" s="284"/>
      <c r="G86" s="8"/>
      <c r="H86" s="8"/>
      <c r="I86" s="8"/>
      <c r="J86" s="8"/>
      <c r="K86" s="8"/>
      <c r="L86" s="8"/>
      <c r="M86" s="8"/>
      <c r="N86" s="10"/>
      <c r="O86" s="10"/>
      <c r="P86" s="10"/>
      <c r="Q86" s="10"/>
      <c r="R86" s="5"/>
      <c r="S86" s="287"/>
      <c r="T86" s="10"/>
      <c r="U86" s="10"/>
    </row>
    <row r="87" spans="1:21" ht="135" customHeight="1" x14ac:dyDescent="0.2">
      <c r="A87" s="8"/>
      <c r="B87" s="8"/>
      <c r="C87" s="12"/>
      <c r="D87" s="8"/>
      <c r="E87" s="8"/>
      <c r="F87" s="284"/>
      <c r="G87" s="8"/>
      <c r="H87" s="8"/>
      <c r="I87" s="8"/>
      <c r="J87" s="8"/>
      <c r="K87" s="8"/>
      <c r="L87" s="8"/>
      <c r="M87" s="8"/>
      <c r="N87" s="10"/>
      <c r="O87" s="10"/>
      <c r="P87" s="10"/>
      <c r="Q87" s="10"/>
      <c r="R87" s="5"/>
      <c r="S87" s="287"/>
      <c r="T87" s="10"/>
      <c r="U87" s="10"/>
    </row>
    <row r="88" spans="1:21" ht="135" customHeight="1" x14ac:dyDescent="0.2">
      <c r="A88" s="8"/>
      <c r="B88" s="8"/>
      <c r="C88" s="12"/>
      <c r="D88" s="8"/>
      <c r="E88" s="8"/>
      <c r="F88" s="284"/>
      <c r="G88" s="8"/>
      <c r="H88" s="8"/>
      <c r="I88" s="8"/>
      <c r="J88" s="8"/>
      <c r="K88" s="8"/>
      <c r="L88" s="8"/>
      <c r="M88" s="8"/>
      <c r="N88" s="10"/>
      <c r="O88" s="10"/>
      <c r="P88" s="10"/>
      <c r="Q88" s="10"/>
      <c r="R88" s="5"/>
      <c r="S88" s="287"/>
      <c r="T88" s="10"/>
      <c r="U88" s="10"/>
    </row>
    <row r="89" spans="1:21" ht="135" customHeight="1" x14ac:dyDescent="0.2">
      <c r="A89" s="8"/>
      <c r="B89" s="8"/>
      <c r="C89" s="12"/>
      <c r="D89" s="8"/>
      <c r="E89" s="8"/>
      <c r="F89" s="284"/>
      <c r="G89" s="8"/>
      <c r="H89" s="8"/>
      <c r="I89" s="8"/>
      <c r="J89" s="8"/>
      <c r="K89" s="8"/>
      <c r="L89" s="8"/>
      <c r="M89" s="8"/>
      <c r="N89" s="10"/>
      <c r="O89" s="10"/>
      <c r="P89" s="10"/>
      <c r="Q89" s="10"/>
      <c r="R89" s="5"/>
      <c r="S89" s="287"/>
      <c r="T89" s="10"/>
      <c r="U89" s="10"/>
    </row>
    <row r="90" spans="1:21" ht="135" customHeight="1" x14ac:dyDescent="0.2">
      <c r="A90" s="8"/>
      <c r="B90" s="8"/>
      <c r="C90" s="12"/>
      <c r="D90" s="8"/>
      <c r="E90" s="8"/>
      <c r="F90" s="284"/>
      <c r="G90" s="8"/>
      <c r="H90" s="8"/>
      <c r="I90" s="8"/>
      <c r="J90" s="8"/>
      <c r="K90" s="8"/>
      <c r="L90" s="8"/>
      <c r="M90" s="8"/>
      <c r="N90" s="10"/>
      <c r="O90" s="10"/>
      <c r="P90" s="10"/>
      <c r="Q90" s="10"/>
      <c r="R90" s="5"/>
      <c r="S90" s="287"/>
      <c r="T90" s="10"/>
      <c r="U90" s="10"/>
    </row>
    <row r="91" spans="1:21" ht="135" customHeight="1" x14ac:dyDescent="0.2">
      <c r="A91" s="8"/>
      <c r="B91" s="8"/>
      <c r="C91" s="12"/>
      <c r="D91" s="8"/>
      <c r="E91" s="8"/>
      <c r="F91" s="284"/>
      <c r="G91" s="8"/>
      <c r="H91" s="8"/>
      <c r="I91" s="8"/>
      <c r="J91" s="8"/>
      <c r="K91" s="8"/>
      <c r="L91" s="8"/>
      <c r="M91" s="8"/>
      <c r="N91" s="10"/>
      <c r="O91" s="10"/>
      <c r="P91" s="10"/>
      <c r="Q91" s="10"/>
      <c r="R91" s="5"/>
      <c r="S91" s="287"/>
      <c r="T91" s="10"/>
      <c r="U91" s="10"/>
    </row>
    <row r="92" spans="1:21" ht="135" customHeight="1" x14ac:dyDescent="0.2">
      <c r="A92" s="8"/>
      <c r="B92" s="8"/>
      <c r="C92" s="12"/>
      <c r="D92" s="8"/>
      <c r="E92" s="8"/>
      <c r="F92" s="284"/>
      <c r="G92" s="8"/>
      <c r="H92" s="8"/>
      <c r="I92" s="8"/>
      <c r="J92" s="8"/>
      <c r="K92" s="8"/>
      <c r="L92" s="8"/>
      <c r="M92" s="8"/>
      <c r="N92" s="10"/>
      <c r="O92" s="10"/>
      <c r="P92" s="10"/>
      <c r="Q92" s="10"/>
      <c r="R92" s="5"/>
      <c r="S92" s="287"/>
      <c r="T92" s="10"/>
      <c r="U92" s="10"/>
    </row>
    <row r="93" spans="1:21" ht="135" customHeight="1" x14ac:dyDescent="0.2">
      <c r="A93" s="8"/>
      <c r="B93" s="8"/>
      <c r="C93" s="12"/>
      <c r="D93" s="8"/>
      <c r="E93" s="8"/>
      <c r="F93" s="284"/>
      <c r="G93" s="8"/>
      <c r="H93" s="8"/>
      <c r="I93" s="8"/>
      <c r="J93" s="8"/>
      <c r="K93" s="8"/>
      <c r="L93" s="8"/>
      <c r="M93" s="8"/>
      <c r="N93" s="10"/>
      <c r="O93" s="10"/>
      <c r="P93" s="10"/>
      <c r="Q93" s="10"/>
      <c r="R93" s="5"/>
      <c r="S93" s="287"/>
      <c r="T93" s="10"/>
      <c r="U93" s="10"/>
    </row>
    <row r="94" spans="1:21" ht="135" customHeight="1" x14ac:dyDescent="0.2">
      <c r="A94" s="8"/>
      <c r="B94" s="8"/>
      <c r="C94" s="12"/>
      <c r="D94" s="8"/>
      <c r="E94" s="8"/>
      <c r="F94" s="284"/>
      <c r="G94" s="8"/>
      <c r="H94" s="8"/>
      <c r="I94" s="8"/>
      <c r="J94" s="8"/>
      <c r="K94" s="8"/>
      <c r="L94" s="8"/>
      <c r="M94" s="8"/>
      <c r="N94" s="10"/>
      <c r="O94" s="10"/>
      <c r="P94" s="10"/>
      <c r="Q94" s="10"/>
      <c r="R94" s="5"/>
      <c r="S94" s="287"/>
      <c r="T94" s="10"/>
      <c r="U94" s="10"/>
    </row>
    <row r="95" spans="1:21" ht="135" customHeight="1" x14ac:dyDescent="0.2">
      <c r="A95" s="8"/>
      <c r="B95" s="8"/>
      <c r="C95" s="12"/>
      <c r="D95" s="8"/>
      <c r="E95" s="8"/>
      <c r="F95" s="284"/>
      <c r="G95" s="8"/>
      <c r="H95" s="8"/>
      <c r="I95" s="8"/>
      <c r="J95" s="8"/>
      <c r="K95" s="8"/>
      <c r="L95" s="8"/>
      <c r="M95" s="8"/>
      <c r="N95" s="10"/>
      <c r="O95" s="10"/>
      <c r="P95" s="10"/>
      <c r="Q95" s="10"/>
      <c r="R95" s="5"/>
      <c r="S95" s="287"/>
      <c r="T95" s="10"/>
      <c r="U95" s="10"/>
    </row>
    <row r="96" spans="1:21" ht="135" customHeight="1" x14ac:dyDescent="0.2">
      <c r="A96" s="8"/>
      <c r="B96" s="8"/>
      <c r="C96" s="12"/>
      <c r="D96" s="8"/>
      <c r="E96" s="8"/>
      <c r="F96" s="284"/>
      <c r="G96" s="8"/>
      <c r="H96" s="8"/>
      <c r="I96" s="8"/>
      <c r="J96" s="8"/>
      <c r="K96" s="8"/>
      <c r="L96" s="8"/>
      <c r="M96" s="8"/>
      <c r="N96" s="10"/>
      <c r="O96" s="10"/>
      <c r="P96" s="10"/>
      <c r="Q96" s="10"/>
      <c r="R96" s="5"/>
      <c r="S96" s="287"/>
      <c r="T96" s="10"/>
      <c r="U96" s="10"/>
    </row>
    <row r="97" spans="1:21" ht="135" customHeight="1" x14ac:dyDescent="0.2">
      <c r="A97" s="8"/>
      <c r="B97" s="8"/>
      <c r="C97" s="12"/>
      <c r="D97" s="8"/>
      <c r="E97" s="8"/>
      <c r="F97" s="284"/>
      <c r="G97" s="8"/>
      <c r="H97" s="8"/>
      <c r="I97" s="8"/>
      <c r="J97" s="8"/>
      <c r="K97" s="8"/>
      <c r="L97" s="8"/>
      <c r="M97" s="8"/>
      <c r="N97" s="10"/>
      <c r="O97" s="10"/>
      <c r="P97" s="10"/>
      <c r="Q97" s="10"/>
      <c r="R97" s="5"/>
      <c r="S97" s="287"/>
      <c r="T97" s="10"/>
      <c r="U97" s="10"/>
    </row>
    <row r="98" spans="1:21" ht="135" customHeight="1" x14ac:dyDescent="0.2">
      <c r="A98" s="8"/>
      <c r="B98" s="8"/>
      <c r="C98" s="12"/>
      <c r="D98" s="8"/>
      <c r="E98" s="8"/>
      <c r="F98" s="284"/>
      <c r="G98" s="8"/>
      <c r="H98" s="8"/>
      <c r="I98" s="8"/>
      <c r="J98" s="8"/>
      <c r="K98" s="8"/>
      <c r="L98" s="8"/>
      <c r="M98" s="8"/>
      <c r="N98" s="10"/>
      <c r="O98" s="10"/>
      <c r="P98" s="10"/>
      <c r="Q98" s="10"/>
      <c r="R98" s="5"/>
      <c r="S98" s="287"/>
      <c r="T98" s="10"/>
      <c r="U98" s="10"/>
    </row>
    <row r="99" spans="1:21" ht="135" customHeight="1" x14ac:dyDescent="0.2">
      <c r="A99" s="8"/>
      <c r="B99" s="8"/>
      <c r="C99" s="12"/>
      <c r="D99" s="8"/>
      <c r="E99" s="8"/>
      <c r="F99" s="284"/>
      <c r="G99" s="8"/>
      <c r="H99" s="8"/>
      <c r="I99" s="8"/>
      <c r="J99" s="8"/>
      <c r="K99" s="8"/>
      <c r="L99" s="8"/>
      <c r="M99" s="8"/>
      <c r="N99" s="10"/>
      <c r="O99" s="10"/>
      <c r="P99" s="10"/>
      <c r="Q99" s="10"/>
      <c r="R99" s="5"/>
      <c r="S99" s="287"/>
      <c r="T99" s="10"/>
      <c r="U99" s="10"/>
    </row>
    <row r="100" spans="1:21" ht="135" customHeight="1" x14ac:dyDescent="0.2">
      <c r="A100" s="8"/>
      <c r="B100" s="8"/>
      <c r="C100" s="12"/>
      <c r="D100" s="8"/>
      <c r="E100" s="8"/>
      <c r="F100" s="284"/>
      <c r="G100" s="8"/>
      <c r="H100" s="8"/>
      <c r="I100" s="8"/>
      <c r="J100" s="8"/>
      <c r="K100" s="8"/>
      <c r="L100" s="8"/>
      <c r="M100" s="8"/>
      <c r="N100" s="10"/>
      <c r="O100" s="10"/>
      <c r="P100" s="10"/>
      <c r="Q100" s="10"/>
      <c r="R100" s="5"/>
      <c r="S100" s="287"/>
      <c r="T100" s="10"/>
      <c r="U100" s="10"/>
    </row>
    <row r="101" spans="1:21" ht="135" customHeight="1" x14ac:dyDescent="0.2">
      <c r="C101" s="12"/>
      <c r="D101" s="8"/>
      <c r="E101" s="8"/>
      <c r="F101" s="284"/>
      <c r="G101" s="8"/>
      <c r="H101" s="8"/>
      <c r="I101" s="8"/>
      <c r="J101" s="8"/>
      <c r="K101" s="8"/>
      <c r="L101" s="8"/>
      <c r="M101" s="8"/>
      <c r="N101" s="10"/>
      <c r="R101" s="5"/>
    </row>
    <row r="102" spans="1:21" ht="135" customHeight="1" x14ac:dyDescent="0.2">
      <c r="C102" s="12"/>
      <c r="D102" s="8"/>
      <c r="E102" s="8"/>
      <c r="F102" s="284"/>
      <c r="G102" s="8"/>
      <c r="H102" s="8"/>
      <c r="I102" s="8"/>
      <c r="J102" s="8"/>
      <c r="K102" s="8"/>
      <c r="L102" s="8"/>
      <c r="M102" s="8"/>
      <c r="N102" s="10"/>
      <c r="R102" s="5"/>
    </row>
    <row r="103" spans="1:21" ht="135" customHeight="1" x14ac:dyDescent="0.2">
      <c r="C103" s="12"/>
      <c r="D103" s="8"/>
      <c r="E103" s="8"/>
      <c r="F103" s="284"/>
      <c r="G103" s="8"/>
      <c r="H103" s="8"/>
      <c r="I103" s="8"/>
      <c r="J103" s="8"/>
      <c r="K103" s="8"/>
      <c r="L103" s="8"/>
      <c r="M103" s="8"/>
      <c r="N103" s="10"/>
      <c r="R103" s="5"/>
    </row>
    <row r="104" spans="1:21" ht="135" customHeight="1" x14ac:dyDescent="0.2">
      <c r="C104" s="12"/>
      <c r="D104" s="8"/>
      <c r="E104" s="8"/>
      <c r="F104" s="284"/>
      <c r="G104" s="8"/>
      <c r="H104" s="8"/>
      <c r="I104" s="8"/>
      <c r="J104" s="8"/>
      <c r="K104" s="8"/>
      <c r="L104" s="8"/>
      <c r="M104" s="8"/>
      <c r="N104" s="10"/>
      <c r="R104" s="5"/>
    </row>
    <row r="105" spans="1:21" ht="135" customHeight="1" x14ac:dyDescent="0.2">
      <c r="R105" s="5"/>
    </row>
    <row r="106" spans="1:21" ht="135" customHeight="1" x14ac:dyDescent="0.2">
      <c r="R106" s="5"/>
    </row>
    <row r="107" spans="1:21" ht="135" customHeight="1" x14ac:dyDescent="0.2">
      <c r="R107" s="5"/>
    </row>
    <row r="108" spans="1:21" ht="135" customHeight="1" x14ac:dyDescent="0.2">
      <c r="R108" s="5"/>
    </row>
    <row r="109" spans="1:21" ht="135" customHeight="1" x14ac:dyDescent="0.2">
      <c r="R109" s="5"/>
    </row>
    <row r="110" spans="1:21" ht="135" customHeight="1" x14ac:dyDescent="0.2">
      <c r="R110" s="5"/>
    </row>
    <row r="111" spans="1:21" ht="135" customHeight="1" x14ac:dyDescent="0.2">
      <c r="R111" s="5"/>
    </row>
    <row r="112" spans="1:21" ht="135" customHeight="1" x14ac:dyDescent="0.2">
      <c r="R112" s="5"/>
    </row>
    <row r="113" spans="18:18" ht="135" customHeight="1" x14ac:dyDescent="0.2">
      <c r="R113" s="5"/>
    </row>
    <row r="114" spans="18:18" ht="135" customHeight="1" x14ac:dyDescent="0.2">
      <c r="R114" s="5"/>
    </row>
    <row r="115" spans="18:18" ht="135" customHeight="1" x14ac:dyDescent="0.2">
      <c r="R115" s="5"/>
    </row>
    <row r="116" spans="18:18" ht="135" customHeight="1" x14ac:dyDescent="0.2">
      <c r="R116" s="5"/>
    </row>
    <row r="117" spans="18:18" ht="135" customHeight="1" x14ac:dyDescent="0.2">
      <c r="R117" s="5"/>
    </row>
    <row r="118" spans="18:18" ht="135" customHeight="1" x14ac:dyDescent="0.2">
      <c r="R118" s="5"/>
    </row>
    <row r="119" spans="18:18" ht="135" customHeight="1" x14ac:dyDescent="0.2">
      <c r="R119" s="5"/>
    </row>
    <row r="120" spans="18:18" ht="135" customHeight="1" x14ac:dyDescent="0.2">
      <c r="R120" s="5"/>
    </row>
    <row r="121" spans="18:18" ht="135" customHeight="1" x14ac:dyDescent="0.2">
      <c r="R121" s="5"/>
    </row>
    <row r="122" spans="18:18" ht="135" customHeight="1" x14ac:dyDescent="0.2">
      <c r="R122" s="5"/>
    </row>
    <row r="123" spans="18:18" ht="135" customHeight="1" x14ac:dyDescent="0.2">
      <c r="R123" s="5"/>
    </row>
    <row r="124" spans="18:18" ht="135" customHeight="1" x14ac:dyDescent="0.2">
      <c r="R124" s="5"/>
    </row>
  </sheetData>
  <sheetProtection formatCells="0" formatColumns="0" formatRows="0" insertHyperlinks="0" sort="0" autoFilter="0" pivotTables="0"/>
  <mergeCells count="103">
    <mergeCell ref="V35:V36"/>
    <mergeCell ref="V31:V32"/>
    <mergeCell ref="V33:V34"/>
    <mergeCell ref="C33:C34"/>
    <mergeCell ref="D33:D34"/>
    <mergeCell ref="E33:E34"/>
    <mergeCell ref="C31:C32"/>
    <mergeCell ref="D31:D32"/>
    <mergeCell ref="E31:E32"/>
    <mergeCell ref="C35:C36"/>
    <mergeCell ref="D35:D36"/>
    <mergeCell ref="E35:E36"/>
    <mergeCell ref="W35:AA36"/>
    <mergeCell ref="V13:V14"/>
    <mergeCell ref="V17:V18"/>
    <mergeCell ref="A37:S37"/>
    <mergeCell ref="A31:A36"/>
    <mergeCell ref="B31:B36"/>
    <mergeCell ref="C27:C28"/>
    <mergeCell ref="D27:D28"/>
    <mergeCell ref="U31:U32"/>
    <mergeCell ref="U33:U34"/>
    <mergeCell ref="T31:T36"/>
    <mergeCell ref="U35:U36"/>
    <mergeCell ref="A23:A30"/>
    <mergeCell ref="B23:B30"/>
    <mergeCell ref="C23:C24"/>
    <mergeCell ref="D23:D24"/>
    <mergeCell ref="E23:E24"/>
    <mergeCell ref="E27:E28"/>
    <mergeCell ref="U27:U28"/>
    <mergeCell ref="C29:C30"/>
    <mergeCell ref="D29:D30"/>
    <mergeCell ref="E29:E30"/>
    <mergeCell ref="U29:U30"/>
    <mergeCell ref="T23:T30"/>
    <mergeCell ref="U23:U24"/>
    <mergeCell ref="C25:C26"/>
    <mergeCell ref="D25:D26"/>
    <mergeCell ref="E25:E26"/>
    <mergeCell ref="U25:U26"/>
    <mergeCell ref="V23:V24"/>
    <mergeCell ref="V25:V26"/>
    <mergeCell ref="V27:V28"/>
    <mergeCell ref="V29:V30"/>
    <mergeCell ref="D15:D16"/>
    <mergeCell ref="E15:E16"/>
    <mergeCell ref="U15:U16"/>
    <mergeCell ref="V15:V16"/>
    <mergeCell ref="D17:D18"/>
    <mergeCell ref="E17:E18"/>
    <mergeCell ref="U17:U18"/>
    <mergeCell ref="E21:E22"/>
    <mergeCell ref="U21:U22"/>
    <mergeCell ref="V21:V22"/>
    <mergeCell ref="C11:C12"/>
    <mergeCell ref="D11:D12"/>
    <mergeCell ref="E11:E12"/>
    <mergeCell ref="U11:U12"/>
    <mergeCell ref="V11:V12"/>
    <mergeCell ref="A9:A22"/>
    <mergeCell ref="B9:B22"/>
    <mergeCell ref="C9:C10"/>
    <mergeCell ref="D9:D10"/>
    <mergeCell ref="E9:E10"/>
    <mergeCell ref="T9:T22"/>
    <mergeCell ref="C13:C14"/>
    <mergeCell ref="D13:D14"/>
    <mergeCell ref="E13:E14"/>
    <mergeCell ref="C17:C18"/>
    <mergeCell ref="U13:U14"/>
    <mergeCell ref="C19:C20"/>
    <mergeCell ref="D19:D20"/>
    <mergeCell ref="E19:E20"/>
    <mergeCell ref="U19:U20"/>
    <mergeCell ref="V19:V20"/>
    <mergeCell ref="C21:C22"/>
    <mergeCell ref="D21:D22"/>
    <mergeCell ref="C15:C16"/>
    <mergeCell ref="C41:E41"/>
    <mergeCell ref="F41:O41"/>
    <mergeCell ref="C42:E42"/>
    <mergeCell ref="F42:O42"/>
    <mergeCell ref="C43:E43"/>
    <mergeCell ref="F43:O43"/>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U9:U10"/>
    <mergeCell ref="V9:V10"/>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1221"/>
  <sheetViews>
    <sheetView zoomScale="71" zoomScaleNormal="71" zoomScalePageLayoutView="75" workbookViewId="0">
      <selection activeCell="R16" sqref="R16"/>
    </sheetView>
  </sheetViews>
  <sheetFormatPr baseColWidth="10" defaultRowHeight="15" x14ac:dyDescent="0.25"/>
  <cols>
    <col min="4" max="4" width="15" customWidth="1"/>
    <col min="5" max="9" width="20.140625" customWidth="1"/>
    <col min="10" max="19" width="5.5703125" customWidth="1"/>
    <col min="20" max="22" width="21.7109375" customWidth="1"/>
    <col min="23" max="31" width="6.5703125" customWidth="1"/>
    <col min="32" max="32" width="46.28515625" customWidth="1"/>
    <col min="33" max="34" width="11.42578125" customWidth="1"/>
    <col min="35" max="35" width="15.42578125" customWidth="1"/>
    <col min="36" max="36" width="18.42578125" customWidth="1"/>
    <col min="37" max="37" width="20.28515625" customWidth="1"/>
    <col min="38" max="38" width="16.42578125" customWidth="1"/>
    <col min="39" max="39" width="11.42578125" customWidth="1"/>
    <col min="40" max="40" width="17.42578125" customWidth="1"/>
    <col min="41" max="46" width="11.42578125" customWidth="1"/>
    <col min="47" max="47" width="17.42578125" customWidth="1"/>
    <col min="48" max="51" width="11.42578125" customWidth="1"/>
    <col min="52" max="52" width="19.7109375" customWidth="1"/>
    <col min="54" max="54" width="19.85546875" customWidth="1"/>
    <col min="55" max="55" width="15.42578125" customWidth="1"/>
    <col min="56" max="56" width="18.28515625" customWidth="1"/>
    <col min="57" max="57" width="19.140625" customWidth="1"/>
    <col min="58" max="58" width="26.28515625" customWidth="1"/>
    <col min="59" max="59" width="12.28515625" bestFit="1" customWidth="1"/>
  </cols>
  <sheetData>
    <row r="1" spans="1:58" ht="30.75" customHeight="1" x14ac:dyDescent="0.25">
      <c r="A1" s="914">
        <f t="shared" ref="A1:D3" si="0">1/20</f>
        <v>0.05</v>
      </c>
      <c r="B1" s="915">
        <f t="shared" si="0"/>
        <v>0.05</v>
      </c>
      <c r="C1" s="915">
        <f t="shared" si="0"/>
        <v>0.05</v>
      </c>
      <c r="D1" s="915">
        <f t="shared" si="0"/>
        <v>0.05</v>
      </c>
      <c r="E1" s="1063" t="s">
        <v>39</v>
      </c>
      <c r="F1" s="1063"/>
      <c r="G1" s="1063"/>
      <c r="H1" s="1063"/>
      <c r="I1" s="1063"/>
      <c r="J1" s="1063"/>
      <c r="K1" s="1063"/>
      <c r="L1" s="1063"/>
      <c r="M1" s="1063"/>
      <c r="N1" s="1063"/>
      <c r="O1" s="1063"/>
      <c r="P1" s="1063"/>
      <c r="Q1" s="1063"/>
      <c r="R1" s="1063"/>
      <c r="S1" s="1063"/>
      <c r="T1" s="1063"/>
      <c r="U1" s="1063"/>
      <c r="V1" s="1063"/>
      <c r="W1" s="1063"/>
      <c r="X1" s="1063"/>
      <c r="Y1" s="1063"/>
      <c r="Z1" s="1063"/>
      <c r="AA1" s="1063"/>
      <c r="AB1" s="1063"/>
      <c r="AC1" s="1063"/>
      <c r="AD1" s="1063"/>
      <c r="AE1" s="1063"/>
      <c r="AF1" s="1063"/>
      <c r="AG1" s="1063"/>
      <c r="AH1" s="1063"/>
      <c r="AI1" s="1063"/>
      <c r="AJ1" s="1063"/>
      <c r="AK1" s="1063"/>
      <c r="AL1" s="1063"/>
      <c r="AM1" s="1063"/>
      <c r="AN1" s="1063"/>
      <c r="AO1" s="1063"/>
      <c r="AP1" s="1063"/>
      <c r="AQ1" s="1063"/>
      <c r="AR1" s="1063"/>
      <c r="AS1" s="1063"/>
      <c r="AT1" s="1063"/>
      <c r="AU1" s="1063"/>
      <c r="AV1" s="1063"/>
      <c r="AW1" s="1063"/>
      <c r="AX1" s="1063"/>
      <c r="AY1" s="1063"/>
    </row>
    <row r="2" spans="1:58" ht="28.5" customHeight="1" thickBot="1" x14ac:dyDescent="0.3">
      <c r="A2" s="917">
        <f t="shared" si="0"/>
        <v>0.05</v>
      </c>
      <c r="B2" s="918">
        <f t="shared" si="0"/>
        <v>0.05</v>
      </c>
      <c r="C2" s="918">
        <f t="shared" si="0"/>
        <v>0.05</v>
      </c>
      <c r="D2" s="918">
        <f t="shared" si="0"/>
        <v>0.05</v>
      </c>
      <c r="E2" s="876" t="s">
        <v>602</v>
      </c>
      <c r="F2" s="876"/>
      <c r="G2" s="876"/>
      <c r="H2" s="876"/>
      <c r="I2" s="876"/>
      <c r="J2" s="876"/>
      <c r="K2" s="876"/>
      <c r="L2" s="876"/>
      <c r="M2" s="876"/>
      <c r="N2" s="876"/>
      <c r="O2" s="876"/>
      <c r="P2" s="876"/>
      <c r="Q2" s="876"/>
      <c r="R2" s="876"/>
      <c r="S2" s="876"/>
      <c r="T2" s="876"/>
      <c r="U2" s="876"/>
      <c r="V2" s="876"/>
      <c r="W2" s="876"/>
      <c r="X2" s="876"/>
      <c r="Y2" s="876"/>
      <c r="Z2" s="876"/>
      <c r="AA2" s="876"/>
      <c r="AB2" s="876"/>
      <c r="AC2" s="876"/>
      <c r="AD2" s="876"/>
      <c r="AE2" s="876"/>
      <c r="AF2" s="876"/>
      <c r="AG2" s="876"/>
      <c r="AH2" s="876"/>
      <c r="AI2" s="876"/>
      <c r="AJ2" s="876"/>
      <c r="AK2" s="876"/>
      <c r="AL2" s="876"/>
      <c r="AM2" s="876"/>
      <c r="AN2" s="876"/>
      <c r="AO2" s="876"/>
      <c r="AP2" s="876"/>
      <c r="AQ2" s="876"/>
      <c r="AR2" s="876"/>
      <c r="AS2" s="876"/>
      <c r="AT2" s="876"/>
      <c r="AU2" s="876"/>
      <c r="AV2" s="876"/>
      <c r="AW2" s="876"/>
      <c r="AX2" s="876"/>
      <c r="AY2" s="876"/>
    </row>
    <row r="3" spans="1:58" ht="16.5" thickBot="1" x14ac:dyDescent="0.3">
      <c r="A3" s="917">
        <f t="shared" si="0"/>
        <v>0.05</v>
      </c>
      <c r="B3" s="918">
        <f t="shared" si="0"/>
        <v>0.05</v>
      </c>
      <c r="C3" s="918">
        <f t="shared" si="0"/>
        <v>0.05</v>
      </c>
      <c r="D3" s="918">
        <f t="shared" si="0"/>
        <v>0.05</v>
      </c>
      <c r="E3" s="1064" t="s">
        <v>40</v>
      </c>
      <c r="F3" s="1065"/>
      <c r="G3" s="1065"/>
      <c r="H3" s="1065"/>
      <c r="I3" s="1065"/>
      <c r="J3" s="1065"/>
      <c r="K3" s="1065"/>
      <c r="L3" s="1065"/>
      <c r="M3" s="1065"/>
      <c r="N3" s="1065"/>
      <c r="O3" s="1065"/>
      <c r="P3" s="1065"/>
      <c r="Q3" s="1065"/>
      <c r="R3" s="1065"/>
      <c r="S3" s="1065"/>
      <c r="T3" s="1065"/>
      <c r="U3" s="1065"/>
      <c r="V3" s="1065"/>
      <c r="W3" s="1065"/>
      <c r="X3" s="1065"/>
      <c r="Y3" s="1065"/>
      <c r="Z3" s="1065"/>
      <c r="AA3" s="1065"/>
      <c r="AB3" s="1065"/>
      <c r="AC3" s="1065"/>
      <c r="AD3" s="1066"/>
      <c r="AE3" s="1067" t="s">
        <v>363</v>
      </c>
      <c r="AF3" s="1068"/>
      <c r="AG3" s="1068"/>
      <c r="AH3" s="1068"/>
      <c r="AI3" s="1068"/>
      <c r="AJ3" s="1068"/>
      <c r="AK3" s="1068"/>
      <c r="AL3" s="1068"/>
      <c r="AM3" s="1068"/>
      <c r="AN3" s="1068"/>
      <c r="AO3" s="1068"/>
      <c r="AP3" s="1068"/>
      <c r="AQ3" s="1068"/>
      <c r="AR3" s="1068"/>
      <c r="AS3" s="1068"/>
      <c r="AT3" s="1068"/>
      <c r="AU3" s="1068"/>
      <c r="AV3" s="1068"/>
      <c r="AW3" s="1068"/>
      <c r="AX3" s="1068"/>
      <c r="AY3" s="1069"/>
    </row>
    <row r="4" spans="1:58" ht="18.75" thickBot="1" x14ac:dyDescent="0.3">
      <c r="A4" s="1070" t="s">
        <v>0</v>
      </c>
      <c r="B4" s="1071"/>
      <c r="C4" s="1071"/>
      <c r="D4" s="1072"/>
      <c r="E4" s="1073" t="s">
        <v>369</v>
      </c>
      <c r="F4" s="1073"/>
      <c r="G4" s="1074"/>
      <c r="H4" s="1074"/>
      <c r="I4" s="1074"/>
      <c r="J4" s="1074"/>
      <c r="K4" s="1074"/>
      <c r="L4" s="1074"/>
      <c r="M4" s="1074"/>
      <c r="N4" s="1074"/>
      <c r="O4" s="1074"/>
      <c r="P4" s="1074"/>
      <c r="Q4" s="1074"/>
      <c r="R4" s="1074"/>
      <c r="S4" s="1074"/>
      <c r="T4" s="1074"/>
      <c r="U4" s="1074"/>
      <c r="V4" s="1074"/>
      <c r="W4" s="1074"/>
      <c r="X4" s="1074"/>
      <c r="Y4" s="1074"/>
      <c r="Z4" s="1074"/>
      <c r="AA4" s="1074"/>
      <c r="AB4" s="1074"/>
      <c r="AC4" s="1074"/>
      <c r="AD4" s="1074"/>
      <c r="AE4" s="1074"/>
      <c r="AF4" s="1074"/>
      <c r="AG4" s="1074"/>
      <c r="AH4" s="1074"/>
      <c r="AI4" s="1074"/>
      <c r="AJ4" s="1074"/>
      <c r="AK4" s="1074"/>
      <c r="AL4" s="1074"/>
      <c r="AM4" s="1074"/>
      <c r="AN4" s="1074"/>
      <c r="AO4" s="1074"/>
      <c r="AP4" s="1074"/>
      <c r="AQ4" s="1074"/>
      <c r="AR4" s="1074"/>
      <c r="AS4" s="1074"/>
      <c r="AT4" s="1074"/>
      <c r="AU4" s="1074"/>
      <c r="AV4" s="1074"/>
      <c r="AW4" s="1074"/>
      <c r="AX4" s="1074"/>
      <c r="AY4" s="1075"/>
    </row>
    <row r="5" spans="1:58" ht="18.75" thickBot="1" x14ac:dyDescent="0.3">
      <c r="A5" s="1076" t="s">
        <v>2</v>
      </c>
      <c r="B5" s="1077"/>
      <c r="C5" s="1077"/>
      <c r="D5" s="1078"/>
      <c r="E5" s="1079" t="s">
        <v>370</v>
      </c>
      <c r="F5" s="1079"/>
      <c r="G5" s="1080"/>
      <c r="H5" s="1080"/>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c r="AP5" s="1080"/>
      <c r="AQ5" s="1080"/>
      <c r="AR5" s="1080"/>
      <c r="AS5" s="1080"/>
      <c r="AT5" s="1080"/>
      <c r="AU5" s="1080"/>
      <c r="AV5" s="1080"/>
      <c r="AW5" s="1080"/>
      <c r="AX5" s="1080"/>
      <c r="AY5" s="1081"/>
    </row>
    <row r="6" spans="1:58" ht="18.75" thickBot="1" x14ac:dyDescent="0.3">
      <c r="A6" s="1082" t="s">
        <v>21</v>
      </c>
      <c r="B6" s="1083"/>
      <c r="C6" s="1083"/>
      <c r="D6" s="1084"/>
      <c r="E6" s="1085" t="s">
        <v>736</v>
      </c>
      <c r="F6" s="1085"/>
      <c r="G6" s="1085"/>
      <c r="H6" s="1085"/>
      <c r="I6" s="1085"/>
      <c r="J6" s="1085"/>
      <c r="K6" s="1085"/>
      <c r="L6" s="1085"/>
      <c r="M6" s="1085"/>
      <c r="N6" s="1085"/>
      <c r="O6" s="1085"/>
      <c r="P6" s="1085"/>
      <c r="Q6" s="1085"/>
      <c r="R6" s="1086"/>
      <c r="S6" s="1086"/>
      <c r="T6" s="1086"/>
      <c r="U6" s="1086"/>
      <c r="V6" s="1086"/>
      <c r="W6" s="1086"/>
      <c r="X6" s="1086"/>
      <c r="Y6" s="1086"/>
      <c r="Z6" s="1086"/>
      <c r="AA6" s="1086"/>
      <c r="AB6" s="1086"/>
      <c r="AC6" s="1086"/>
      <c r="AD6" s="1086"/>
      <c r="AE6" s="1086"/>
      <c r="AF6" s="1086"/>
      <c r="AG6" s="1086"/>
      <c r="AH6" s="1086"/>
      <c r="AI6" s="1086"/>
      <c r="AJ6" s="1086"/>
      <c r="AK6" s="1086"/>
      <c r="AL6" s="1086"/>
      <c r="AM6" s="1086"/>
      <c r="AN6" s="1086"/>
      <c r="AO6" s="1086"/>
      <c r="AP6" s="1086"/>
      <c r="AQ6" s="1086"/>
      <c r="AR6" s="1086"/>
      <c r="AS6" s="1086"/>
      <c r="AT6" s="1086"/>
      <c r="AU6" s="1086"/>
      <c r="AV6" s="1086"/>
      <c r="AW6" s="1086"/>
      <c r="AX6" s="1086"/>
      <c r="AY6" s="1087"/>
    </row>
    <row r="7" spans="1:58" ht="18.75" thickBot="1" x14ac:dyDescent="0.3">
      <c r="A7" s="1088"/>
      <c r="B7" s="1089"/>
      <c r="C7" s="1089"/>
      <c r="D7" s="1089"/>
      <c r="E7" s="1089"/>
      <c r="F7" s="1089"/>
      <c r="G7" s="1090"/>
      <c r="H7" s="1090"/>
      <c r="I7" s="1090"/>
      <c r="J7" s="1090"/>
      <c r="K7" s="1090"/>
      <c r="L7" s="1090"/>
      <c r="M7" s="1090"/>
      <c r="N7" s="1090"/>
      <c r="O7" s="1090"/>
      <c r="P7" s="1090"/>
      <c r="Q7" s="1090"/>
      <c r="R7" s="1090"/>
      <c r="S7" s="1090"/>
      <c r="T7" s="1090"/>
      <c r="U7" s="1090"/>
      <c r="V7" s="1090"/>
      <c r="W7" s="1090"/>
      <c r="X7" s="1090"/>
      <c r="Y7" s="1090"/>
      <c r="Z7" s="1090"/>
      <c r="AA7" s="1090"/>
      <c r="AB7" s="1090"/>
      <c r="AC7" s="1090"/>
      <c r="AD7" s="1090"/>
      <c r="AE7" s="1090"/>
      <c r="AF7" s="1090"/>
      <c r="AG7" s="1090"/>
      <c r="AH7" s="1090"/>
      <c r="AI7" s="1090"/>
      <c r="AJ7" s="1090"/>
      <c r="AK7" s="1090"/>
      <c r="AL7" s="1090"/>
      <c r="AM7" s="1090"/>
      <c r="AN7" s="1090"/>
      <c r="AO7" s="1090"/>
      <c r="AP7" s="1090"/>
      <c r="AQ7" s="1090"/>
      <c r="AR7" s="1090"/>
      <c r="AS7" s="1090"/>
      <c r="AT7" s="1090"/>
      <c r="AU7" s="1090"/>
      <c r="AV7" s="1090"/>
      <c r="AW7" s="1090"/>
      <c r="AX7" s="1090"/>
      <c r="AY7" s="1091"/>
    </row>
    <row r="8" spans="1:58" ht="39.75" customHeight="1" thickBot="1" x14ac:dyDescent="0.3">
      <c r="A8" s="1092" t="s">
        <v>96</v>
      </c>
      <c r="B8" s="1093"/>
      <c r="C8" s="1093"/>
      <c r="D8" s="1093"/>
      <c r="E8" s="1093"/>
      <c r="F8" s="1094"/>
      <c r="G8" s="1095" t="s">
        <v>102</v>
      </c>
      <c r="H8" s="1095"/>
      <c r="I8" s="1095"/>
      <c r="J8" s="1095"/>
      <c r="K8" s="1095"/>
      <c r="L8" s="1095"/>
      <c r="M8" s="1095"/>
      <c r="N8" s="1095"/>
      <c r="O8" s="1095"/>
      <c r="P8" s="1095"/>
      <c r="Q8" s="1095"/>
      <c r="R8" s="1095"/>
      <c r="S8" s="1096"/>
      <c r="T8" s="1097" t="s">
        <v>103</v>
      </c>
      <c r="U8" s="1095"/>
      <c r="V8" s="1095"/>
      <c r="W8" s="1095"/>
      <c r="X8" s="1095"/>
      <c r="Y8" s="1095"/>
      <c r="Z8" s="1095"/>
      <c r="AA8" s="1095"/>
      <c r="AB8" s="1095"/>
      <c r="AC8" s="1095"/>
      <c r="AD8" s="1095"/>
      <c r="AE8" s="1095"/>
      <c r="AF8" s="1096"/>
      <c r="AG8" s="1098" t="s">
        <v>104</v>
      </c>
      <c r="AH8" s="1099"/>
      <c r="AI8" s="1099"/>
      <c r="AJ8" s="1099"/>
      <c r="AK8" s="1099"/>
      <c r="AL8" s="1100" t="s">
        <v>110</v>
      </c>
      <c r="AM8" s="1101"/>
      <c r="AN8" s="1102" t="s">
        <v>392</v>
      </c>
      <c r="AO8" s="1103"/>
      <c r="AP8" s="1103"/>
      <c r="AQ8" s="1103"/>
      <c r="AR8" s="1103"/>
      <c r="AS8" s="1103"/>
      <c r="AT8" s="1103"/>
      <c r="AU8" s="1103"/>
      <c r="AV8" s="1103"/>
      <c r="AW8" s="1103"/>
      <c r="AX8" s="1104"/>
      <c r="AY8" s="1105" t="s">
        <v>122</v>
      </c>
    </row>
    <row r="9" spans="1:58" ht="84.75" customHeight="1" x14ac:dyDescent="0.25">
      <c r="A9" s="512" t="s">
        <v>97</v>
      </c>
      <c r="B9" s="513" t="s">
        <v>98</v>
      </c>
      <c r="C9" s="514" t="s">
        <v>99</v>
      </c>
      <c r="D9" s="515" t="s">
        <v>100</v>
      </c>
      <c r="E9" s="516" t="s">
        <v>653</v>
      </c>
      <c r="F9" s="516" t="s">
        <v>101</v>
      </c>
      <c r="G9" s="235" t="s">
        <v>6</v>
      </c>
      <c r="H9" s="235" t="s">
        <v>7</v>
      </c>
      <c r="I9" s="517" t="s">
        <v>8</v>
      </c>
      <c r="J9" s="235" t="s">
        <v>9</v>
      </c>
      <c r="K9" s="235" t="s">
        <v>10</v>
      </c>
      <c r="L9" s="235" t="s">
        <v>11</v>
      </c>
      <c r="M9" s="235" t="s">
        <v>12</v>
      </c>
      <c r="N9" s="235" t="s">
        <v>13</v>
      </c>
      <c r="O9" s="235" t="s">
        <v>14</v>
      </c>
      <c r="P9" s="235" t="s">
        <v>15</v>
      </c>
      <c r="Q9" s="235" t="s">
        <v>16</v>
      </c>
      <c r="R9" s="235" t="s">
        <v>17</v>
      </c>
      <c r="S9" s="566" t="s">
        <v>66</v>
      </c>
      <c r="T9" s="235" t="s">
        <v>6</v>
      </c>
      <c r="U9" s="235" t="s">
        <v>7</v>
      </c>
      <c r="V9" s="235" t="s">
        <v>8</v>
      </c>
      <c r="W9" s="235" t="s">
        <v>9</v>
      </c>
      <c r="X9" s="235" t="s">
        <v>10</v>
      </c>
      <c r="Y9" s="235" t="s">
        <v>11</v>
      </c>
      <c r="Z9" s="235" t="s">
        <v>12</v>
      </c>
      <c r="AA9" s="235" t="s">
        <v>13</v>
      </c>
      <c r="AB9" s="235" t="s">
        <v>14</v>
      </c>
      <c r="AC9" s="235" t="s">
        <v>15</v>
      </c>
      <c r="AD9" s="235" t="s">
        <v>16</v>
      </c>
      <c r="AE9" s="235" t="s">
        <v>17</v>
      </c>
      <c r="AF9" s="518" t="s">
        <v>67</v>
      </c>
      <c r="AG9" s="519" t="s">
        <v>105</v>
      </c>
      <c r="AH9" s="518" t="s">
        <v>106</v>
      </c>
      <c r="AI9" s="518" t="s">
        <v>107</v>
      </c>
      <c r="AJ9" s="518" t="s">
        <v>108</v>
      </c>
      <c r="AK9" s="518" t="s">
        <v>109</v>
      </c>
      <c r="AL9" s="518" t="s">
        <v>111</v>
      </c>
      <c r="AM9" s="518" t="s">
        <v>112</v>
      </c>
      <c r="AN9" s="520" t="s">
        <v>113</v>
      </c>
      <c r="AO9" s="520" t="s">
        <v>114</v>
      </c>
      <c r="AP9" s="520" t="s">
        <v>115</v>
      </c>
      <c r="AQ9" s="520" t="s">
        <v>116</v>
      </c>
      <c r="AR9" s="520" t="s">
        <v>117</v>
      </c>
      <c r="AS9" s="520" t="s">
        <v>118</v>
      </c>
      <c r="AT9" s="520" t="s">
        <v>119</v>
      </c>
      <c r="AU9" s="520" t="s">
        <v>120</v>
      </c>
      <c r="AV9" s="520" t="s">
        <v>496</v>
      </c>
      <c r="AW9" s="520" t="s">
        <v>393</v>
      </c>
      <c r="AX9" s="521" t="s">
        <v>121</v>
      </c>
      <c r="AY9" s="1106"/>
      <c r="BB9" s="608" t="s">
        <v>654</v>
      </c>
      <c r="BC9" s="608" t="s">
        <v>655</v>
      </c>
      <c r="BD9" s="608" t="s">
        <v>656</v>
      </c>
      <c r="BE9" s="608" t="s">
        <v>657</v>
      </c>
      <c r="BF9" s="608" t="s">
        <v>658</v>
      </c>
    </row>
    <row r="10" spans="1:58" ht="18" customHeight="1" x14ac:dyDescent="0.25">
      <c r="A10" s="1107">
        <v>1</v>
      </c>
      <c r="B10" s="1107" t="s">
        <v>382</v>
      </c>
      <c r="C10" s="1109" t="s">
        <v>497</v>
      </c>
      <c r="D10" s="504" t="s">
        <v>41</v>
      </c>
      <c r="E10" s="585">
        <v>0.05</v>
      </c>
      <c r="F10" s="585">
        <v>0.05</v>
      </c>
      <c r="G10" s="778">
        <v>0.05</v>
      </c>
      <c r="H10" s="779">
        <f>1/20</f>
        <v>0.05</v>
      </c>
      <c r="I10" s="779">
        <f>1/20</f>
        <v>0.05</v>
      </c>
      <c r="J10" s="779"/>
      <c r="K10" s="779"/>
      <c r="L10" s="779"/>
      <c r="M10" s="779"/>
      <c r="N10" s="779"/>
      <c r="O10" s="779"/>
      <c r="P10" s="779"/>
      <c r="Q10" s="779"/>
      <c r="R10" s="779"/>
      <c r="S10" s="780"/>
      <c r="T10" s="781">
        <v>3.7499999999999999E-3</v>
      </c>
      <c r="U10" s="781">
        <f>0.23/20</f>
        <v>1.15E-2</v>
      </c>
      <c r="V10" s="781">
        <f>0.46/20</f>
        <v>2.3E-2</v>
      </c>
      <c r="W10" s="781"/>
      <c r="X10" s="781"/>
      <c r="Y10" s="781"/>
      <c r="Z10" s="781"/>
      <c r="AA10" s="781"/>
      <c r="AB10" s="781"/>
      <c r="AC10" s="781"/>
      <c r="AD10" s="781"/>
      <c r="AE10" s="781"/>
      <c r="AF10" s="1110" t="s">
        <v>737</v>
      </c>
      <c r="AG10" s="1111" t="s">
        <v>453</v>
      </c>
      <c r="AH10" s="1059" t="s">
        <v>672</v>
      </c>
      <c r="AI10" s="1112" t="s">
        <v>712</v>
      </c>
      <c r="AJ10" s="1059" t="s">
        <v>713</v>
      </c>
      <c r="AK10" s="1059" t="s">
        <v>435</v>
      </c>
      <c r="AL10" s="1059">
        <v>2</v>
      </c>
      <c r="AM10" s="1059" t="s">
        <v>71</v>
      </c>
      <c r="AN10" s="1114">
        <f>SUM(AO10:AP15)</f>
        <v>593978</v>
      </c>
      <c r="AO10" s="1115">
        <v>272693</v>
      </c>
      <c r="AP10" s="1115">
        <v>321285</v>
      </c>
      <c r="AQ10" s="1059" t="s">
        <v>71</v>
      </c>
      <c r="AR10" s="1059" t="s">
        <v>71</v>
      </c>
      <c r="AS10" s="1059" t="s">
        <v>71</v>
      </c>
      <c r="AT10" s="1059" t="s">
        <v>71</v>
      </c>
      <c r="AU10" s="1059" t="s">
        <v>71</v>
      </c>
      <c r="AV10" s="1059" t="s">
        <v>71</v>
      </c>
      <c r="AW10" s="1059" t="s">
        <v>71</v>
      </c>
      <c r="AX10" s="1059" t="s">
        <v>71</v>
      </c>
      <c r="AY10" s="1059"/>
      <c r="BB10" s="609">
        <f>V10-I10</f>
        <v>-2.7000000000000003E-2</v>
      </c>
      <c r="BC10" s="610">
        <f>U10-V10</f>
        <v>-1.15E-2</v>
      </c>
      <c r="BD10" s="610">
        <f>U10-V10</f>
        <v>-1.15E-2</v>
      </c>
    </row>
    <row r="11" spans="1:58" ht="18" x14ac:dyDescent="0.25">
      <c r="A11" s="1107"/>
      <c r="B11" s="1107"/>
      <c r="C11" s="1109"/>
      <c r="D11" s="503" t="s">
        <v>3</v>
      </c>
      <c r="E11" s="585">
        <v>7482679.0483119423</v>
      </c>
      <c r="F11" s="585">
        <v>7482679.0483119423</v>
      </c>
      <c r="G11" s="778">
        <v>7482679.0483119423</v>
      </c>
      <c r="H11" s="779">
        <v>41755821.79119844</v>
      </c>
      <c r="I11" s="779">
        <v>58071730.747451298</v>
      </c>
      <c r="J11" s="779"/>
      <c r="K11" s="779"/>
      <c r="L11" s="779"/>
      <c r="M11" s="779"/>
      <c r="N11" s="779"/>
      <c r="O11" s="779"/>
      <c r="P11" s="779"/>
      <c r="Q11" s="779"/>
      <c r="R11" s="779"/>
      <c r="S11" s="509"/>
      <c r="T11" s="509">
        <v>7482679.0483119423</v>
      </c>
      <c r="U11" s="510">
        <v>41755821.79119844</v>
      </c>
      <c r="V11" s="510">
        <v>58071730.74745129</v>
      </c>
      <c r="W11" s="510"/>
      <c r="X11" s="510"/>
      <c r="Y11" s="510"/>
      <c r="Z11" s="510"/>
      <c r="AA11" s="510"/>
      <c r="AB11" s="510"/>
      <c r="AC11" s="510"/>
      <c r="AD11" s="510"/>
      <c r="AE11" s="510"/>
      <c r="AF11" s="1110"/>
      <c r="AG11" s="1111"/>
      <c r="AH11" s="1059"/>
      <c r="AI11" s="1113"/>
      <c r="AJ11" s="1059"/>
      <c r="AK11" s="1059"/>
      <c r="AL11" s="1059"/>
      <c r="AM11" s="1059"/>
      <c r="AN11" s="1114"/>
      <c r="AO11" s="1116"/>
      <c r="AP11" s="1116"/>
      <c r="AQ11" s="1059"/>
      <c r="AR11" s="1059"/>
      <c r="AS11" s="1059"/>
      <c r="AT11" s="1059"/>
      <c r="AU11" s="1059"/>
      <c r="AV11" s="1059"/>
      <c r="AW11" s="1059"/>
      <c r="AX11" s="1059"/>
      <c r="AY11" s="1059"/>
      <c r="BB11" s="609">
        <f t="shared" ref="BB11:BB74" si="1">V11-I11</f>
        <v>0</v>
      </c>
      <c r="BC11" s="610">
        <f t="shared" ref="BC11:BC74" si="2">U11-V11</f>
        <v>-16315908.956252851</v>
      </c>
      <c r="BD11" s="610">
        <f t="shared" ref="BD11:BD74" si="3">U11-V11</f>
        <v>-16315908.956252851</v>
      </c>
    </row>
    <row r="12" spans="1:58" ht="18" x14ac:dyDescent="0.25">
      <c r="A12" s="1107"/>
      <c r="B12" s="1107"/>
      <c r="C12" s="1109"/>
      <c r="D12" s="502" t="s">
        <v>42</v>
      </c>
      <c r="E12" s="585">
        <v>0</v>
      </c>
      <c r="F12" s="585">
        <v>0</v>
      </c>
      <c r="G12" s="778">
        <v>0</v>
      </c>
      <c r="H12" s="779">
        <v>0</v>
      </c>
      <c r="I12" s="779">
        <v>0</v>
      </c>
      <c r="J12" s="779"/>
      <c r="K12" s="779"/>
      <c r="L12" s="779"/>
      <c r="M12" s="779"/>
      <c r="N12" s="779"/>
      <c r="O12" s="779"/>
      <c r="P12" s="779"/>
      <c r="Q12" s="779"/>
      <c r="R12" s="779"/>
      <c r="S12" s="782"/>
      <c r="T12" s="782">
        <v>0</v>
      </c>
      <c r="U12" s="783">
        <v>0</v>
      </c>
      <c r="V12" s="783">
        <v>0</v>
      </c>
      <c r="W12" s="783"/>
      <c r="X12" s="783"/>
      <c r="Y12" s="783"/>
      <c r="Z12" s="783"/>
      <c r="AA12" s="783"/>
      <c r="AB12" s="783"/>
      <c r="AC12" s="783"/>
      <c r="AD12" s="783"/>
      <c r="AE12" s="783"/>
      <c r="AF12" s="1110"/>
      <c r="AG12" s="1111"/>
      <c r="AH12" s="1059"/>
      <c r="AI12" s="1113"/>
      <c r="AJ12" s="1059"/>
      <c r="AK12" s="1059"/>
      <c r="AL12" s="1059"/>
      <c r="AM12" s="1059"/>
      <c r="AN12" s="1114"/>
      <c r="AO12" s="1116"/>
      <c r="AP12" s="1116"/>
      <c r="AQ12" s="1059"/>
      <c r="AR12" s="1059"/>
      <c r="AS12" s="1059"/>
      <c r="AT12" s="1059"/>
      <c r="AU12" s="1059"/>
      <c r="AV12" s="1059"/>
      <c r="AW12" s="1059"/>
      <c r="AX12" s="1059"/>
      <c r="AY12" s="1059"/>
      <c r="BB12" s="609">
        <f t="shared" si="1"/>
        <v>0</v>
      </c>
      <c r="BC12" s="610">
        <f t="shared" si="2"/>
        <v>0</v>
      </c>
      <c r="BD12" s="610">
        <f t="shared" si="3"/>
        <v>0</v>
      </c>
    </row>
    <row r="13" spans="1:58" ht="18" x14ac:dyDescent="0.25">
      <c r="A13" s="1107"/>
      <c r="B13" s="1107"/>
      <c r="C13" s="1109"/>
      <c r="D13" s="503" t="s">
        <v>4</v>
      </c>
      <c r="E13" s="585">
        <v>6383293.4552051648</v>
      </c>
      <c r="F13" s="585">
        <v>6383293.4552051648</v>
      </c>
      <c r="G13" s="778">
        <v>6383293.4552051648</v>
      </c>
      <c r="H13" s="779">
        <v>6383293.4552051648</v>
      </c>
      <c r="I13" s="779">
        <v>6383293.4552051648</v>
      </c>
      <c r="J13" s="779"/>
      <c r="K13" s="779"/>
      <c r="L13" s="779"/>
      <c r="M13" s="779"/>
      <c r="N13" s="779"/>
      <c r="O13" s="779"/>
      <c r="P13" s="779"/>
      <c r="Q13" s="779"/>
      <c r="R13" s="779"/>
      <c r="S13" s="782"/>
      <c r="T13" s="509">
        <v>6383293.4552051648</v>
      </c>
      <c r="U13" s="783">
        <v>6383293.4552051648</v>
      </c>
      <c r="V13" s="783">
        <v>6383293.4552051648</v>
      </c>
      <c r="W13" s="783"/>
      <c r="X13" s="783"/>
      <c r="Y13" s="783"/>
      <c r="Z13" s="783"/>
      <c r="AA13" s="783"/>
      <c r="AB13" s="783"/>
      <c r="AC13" s="783"/>
      <c r="AD13" s="783"/>
      <c r="AE13" s="783"/>
      <c r="AF13" s="1110"/>
      <c r="AG13" s="1111"/>
      <c r="AH13" s="1059"/>
      <c r="AI13" s="1113"/>
      <c r="AJ13" s="1059"/>
      <c r="AK13" s="1059"/>
      <c r="AL13" s="1059"/>
      <c r="AM13" s="1059"/>
      <c r="AN13" s="1114"/>
      <c r="AO13" s="1116"/>
      <c r="AP13" s="1116"/>
      <c r="AQ13" s="1059"/>
      <c r="AR13" s="1059"/>
      <c r="AS13" s="1059"/>
      <c r="AT13" s="1059"/>
      <c r="AU13" s="1059"/>
      <c r="AV13" s="1059"/>
      <c r="AW13" s="1059"/>
      <c r="AX13" s="1059"/>
      <c r="AY13" s="1059"/>
      <c r="BB13" s="609">
        <f t="shared" si="1"/>
        <v>0</v>
      </c>
      <c r="BC13" s="610">
        <f t="shared" si="2"/>
        <v>0</v>
      </c>
      <c r="BD13" s="610">
        <f t="shared" si="3"/>
        <v>0</v>
      </c>
    </row>
    <row r="14" spans="1:58" ht="18" x14ac:dyDescent="0.25">
      <c r="A14" s="1107"/>
      <c r="B14" s="1107"/>
      <c r="C14" s="1109"/>
      <c r="D14" s="502" t="s">
        <v>43</v>
      </c>
      <c r="E14" s="585">
        <f t="shared" ref="E14:F14" si="4">E10+E12</f>
        <v>0.05</v>
      </c>
      <c r="F14" s="585">
        <f t="shared" si="4"/>
        <v>0.05</v>
      </c>
      <c r="G14" s="778">
        <f t="shared" ref="G14:I15" si="5">G10+G12</f>
        <v>0.05</v>
      </c>
      <c r="H14" s="779">
        <f t="shared" si="5"/>
        <v>0.05</v>
      </c>
      <c r="I14" s="779">
        <f t="shared" si="5"/>
        <v>0.05</v>
      </c>
      <c r="J14" s="779"/>
      <c r="K14" s="779"/>
      <c r="L14" s="779"/>
      <c r="M14" s="779"/>
      <c r="N14" s="779"/>
      <c r="O14" s="779"/>
      <c r="P14" s="779"/>
      <c r="Q14" s="779"/>
      <c r="R14" s="779"/>
      <c r="S14" s="782"/>
      <c r="T14" s="782">
        <f t="shared" ref="T14:T15" si="6">T10+T12</f>
        <v>3.7499999999999999E-3</v>
      </c>
      <c r="U14" s="784">
        <f t="shared" ref="U14" si="7">U10+U12</f>
        <v>1.15E-2</v>
      </c>
      <c r="V14" s="784">
        <f t="shared" ref="V14" si="8">V10+V12</f>
        <v>2.3E-2</v>
      </c>
      <c r="W14" s="784"/>
      <c r="X14" s="784"/>
      <c r="Y14" s="784"/>
      <c r="Z14" s="784"/>
      <c r="AA14" s="784"/>
      <c r="AB14" s="784"/>
      <c r="AC14" s="784"/>
      <c r="AD14" s="784"/>
      <c r="AE14" s="784"/>
      <c r="AF14" s="1110"/>
      <c r="AG14" s="1111"/>
      <c r="AH14" s="1059"/>
      <c r="AI14" s="1113"/>
      <c r="AJ14" s="1059"/>
      <c r="AK14" s="1059"/>
      <c r="AL14" s="1059"/>
      <c r="AM14" s="1059"/>
      <c r="AN14" s="1114"/>
      <c r="AO14" s="1116"/>
      <c r="AP14" s="1116"/>
      <c r="AQ14" s="1059"/>
      <c r="AR14" s="1059"/>
      <c r="AS14" s="1059"/>
      <c r="AT14" s="1059"/>
      <c r="AU14" s="1059"/>
      <c r="AV14" s="1059"/>
      <c r="AW14" s="1059"/>
      <c r="AX14" s="1059"/>
      <c r="AY14" s="1059"/>
      <c r="BB14" s="609">
        <f t="shared" si="1"/>
        <v>-2.7000000000000003E-2</v>
      </c>
      <c r="BC14" s="610">
        <f t="shared" si="2"/>
        <v>-1.15E-2</v>
      </c>
      <c r="BD14" s="610">
        <f t="shared" si="3"/>
        <v>-1.15E-2</v>
      </c>
    </row>
    <row r="15" spans="1:58" ht="27" x14ac:dyDescent="0.25">
      <c r="A15" s="1107"/>
      <c r="B15" s="1107"/>
      <c r="C15" s="1109"/>
      <c r="D15" s="503" t="s">
        <v>45</v>
      </c>
      <c r="E15" s="585">
        <f t="shared" ref="E15:F15" si="9">E11+E13</f>
        <v>13865972.503517106</v>
      </c>
      <c r="F15" s="585">
        <f t="shared" si="9"/>
        <v>13865972.503517106</v>
      </c>
      <c r="G15" s="778">
        <f t="shared" si="5"/>
        <v>13865972.503517106</v>
      </c>
      <c r="H15" s="779">
        <f t="shared" si="5"/>
        <v>48139115.246403605</v>
      </c>
      <c r="I15" s="779">
        <f t="shared" si="5"/>
        <v>64455024.202656463</v>
      </c>
      <c r="J15" s="779"/>
      <c r="K15" s="779"/>
      <c r="L15" s="779"/>
      <c r="M15" s="779"/>
      <c r="N15" s="779"/>
      <c r="O15" s="779"/>
      <c r="P15" s="779"/>
      <c r="Q15" s="779"/>
      <c r="R15" s="779"/>
      <c r="S15" s="785"/>
      <c r="T15" s="509">
        <f t="shared" si="6"/>
        <v>13865972.503517106</v>
      </c>
      <c r="U15" s="779">
        <f t="shared" ref="U15" si="10">U11+U13</f>
        <v>48139115.246403605</v>
      </c>
      <c r="V15" s="783">
        <f t="shared" ref="V15" si="11">V11+V13</f>
        <v>64455024.202656455</v>
      </c>
      <c r="W15" s="779"/>
      <c r="X15" s="779"/>
      <c r="Y15" s="779"/>
      <c r="Z15" s="779"/>
      <c r="AA15" s="779"/>
      <c r="AB15" s="779"/>
      <c r="AC15" s="779"/>
      <c r="AD15" s="779"/>
      <c r="AE15" s="779"/>
      <c r="AF15" s="1110"/>
      <c r="AG15" s="1111"/>
      <c r="AH15" s="1059"/>
      <c r="AI15" s="1113"/>
      <c r="AJ15" s="1059"/>
      <c r="AK15" s="1059"/>
      <c r="AL15" s="1059"/>
      <c r="AM15" s="1059"/>
      <c r="AN15" s="1114"/>
      <c r="AO15" s="1117"/>
      <c r="AP15" s="1117"/>
      <c r="AQ15" s="1059"/>
      <c r="AR15" s="1059"/>
      <c r="AS15" s="1059"/>
      <c r="AT15" s="1059"/>
      <c r="AU15" s="1059"/>
      <c r="AV15" s="1059"/>
      <c r="AW15" s="1059"/>
      <c r="AX15" s="1059"/>
      <c r="AY15" s="1059"/>
      <c r="BB15" s="609">
        <f t="shared" si="1"/>
        <v>0</v>
      </c>
      <c r="BC15" s="610">
        <f t="shared" si="2"/>
        <v>-16315908.956252851</v>
      </c>
      <c r="BD15" s="610">
        <f t="shared" si="3"/>
        <v>-16315908.956252851</v>
      </c>
    </row>
    <row r="16" spans="1:58" ht="18" customHeight="1" x14ac:dyDescent="0.25">
      <c r="A16" s="1107"/>
      <c r="B16" s="1107"/>
      <c r="C16" s="1109" t="s">
        <v>498</v>
      </c>
      <c r="D16" s="504" t="s">
        <v>41</v>
      </c>
      <c r="E16" s="585">
        <v>0.05</v>
      </c>
      <c r="F16" s="585">
        <v>0.05</v>
      </c>
      <c r="G16" s="778">
        <v>0.05</v>
      </c>
      <c r="H16" s="779">
        <f>1/20</f>
        <v>0.05</v>
      </c>
      <c r="I16" s="779">
        <f>1/20</f>
        <v>0.05</v>
      </c>
      <c r="J16" s="779"/>
      <c r="K16" s="779"/>
      <c r="L16" s="779"/>
      <c r="M16" s="779"/>
      <c r="N16" s="779"/>
      <c r="O16" s="779"/>
      <c r="P16" s="779"/>
      <c r="Q16" s="779"/>
      <c r="R16" s="779"/>
      <c r="S16" s="780"/>
      <c r="T16" s="781">
        <v>3.7499999999999999E-3</v>
      </c>
      <c r="U16" s="781">
        <f>0.23/20</f>
        <v>1.15E-2</v>
      </c>
      <c r="V16" s="781">
        <f>0.46/20</f>
        <v>2.3E-2</v>
      </c>
      <c r="W16" s="781"/>
      <c r="X16" s="781"/>
      <c r="Y16" s="781"/>
      <c r="Z16" s="781"/>
      <c r="AA16" s="781"/>
      <c r="AB16" s="781"/>
      <c r="AC16" s="781"/>
      <c r="AD16" s="781"/>
      <c r="AE16" s="781"/>
      <c r="AF16" s="1110" t="s">
        <v>738</v>
      </c>
      <c r="AG16" s="1111" t="s">
        <v>442</v>
      </c>
      <c r="AH16" s="1059" t="s">
        <v>673</v>
      </c>
      <c r="AI16" s="1059" t="s">
        <v>714</v>
      </c>
      <c r="AJ16" s="1059" t="s">
        <v>713</v>
      </c>
      <c r="AK16" s="1059" t="s">
        <v>435</v>
      </c>
      <c r="AL16" s="1059" t="s">
        <v>553</v>
      </c>
      <c r="AM16" s="1059" t="s">
        <v>71</v>
      </c>
      <c r="AN16" s="1114">
        <f t="shared" ref="AN16" si="12">SUM(AO16:AP21)</f>
        <v>180974</v>
      </c>
      <c r="AO16" s="1114">
        <v>86932</v>
      </c>
      <c r="AP16" s="1114">
        <v>94042</v>
      </c>
      <c r="AQ16" s="1059" t="s">
        <v>71</v>
      </c>
      <c r="AR16" s="1059" t="s">
        <v>71</v>
      </c>
      <c r="AS16" s="1059" t="s">
        <v>71</v>
      </c>
      <c r="AT16" s="1059" t="s">
        <v>71</v>
      </c>
      <c r="AU16" s="1059" t="s">
        <v>71</v>
      </c>
      <c r="AV16" s="1059" t="s">
        <v>71</v>
      </c>
      <c r="AW16" s="1059" t="s">
        <v>71</v>
      </c>
      <c r="AX16" s="1059" t="s">
        <v>71</v>
      </c>
      <c r="AY16" s="1059"/>
      <c r="BB16" s="609">
        <f t="shared" si="1"/>
        <v>-2.7000000000000003E-2</v>
      </c>
      <c r="BC16" s="610">
        <f t="shared" si="2"/>
        <v>-1.15E-2</v>
      </c>
      <c r="BD16" s="610">
        <f t="shared" si="3"/>
        <v>-1.15E-2</v>
      </c>
    </row>
    <row r="17" spans="1:56" ht="18" x14ac:dyDescent="0.25">
      <c r="A17" s="1107"/>
      <c r="B17" s="1107"/>
      <c r="C17" s="1109"/>
      <c r="D17" s="503" t="s">
        <v>3</v>
      </c>
      <c r="E17" s="585">
        <v>0</v>
      </c>
      <c r="F17" s="585">
        <v>0</v>
      </c>
      <c r="G17" s="778">
        <v>0</v>
      </c>
      <c r="H17" s="779">
        <v>42844910.50174617</v>
      </c>
      <c r="I17" s="779">
        <v>53155161.799999997</v>
      </c>
      <c r="J17" s="779"/>
      <c r="K17" s="779"/>
      <c r="L17" s="779"/>
      <c r="M17" s="779"/>
      <c r="N17" s="779"/>
      <c r="O17" s="779"/>
      <c r="P17" s="779"/>
      <c r="Q17" s="779"/>
      <c r="R17" s="779"/>
      <c r="S17" s="509"/>
      <c r="T17" s="509">
        <v>0</v>
      </c>
      <c r="U17" s="510">
        <v>42844910.50174617</v>
      </c>
      <c r="V17" s="510">
        <v>53155161.834099732</v>
      </c>
      <c r="W17" s="510"/>
      <c r="X17" s="510"/>
      <c r="Y17" s="510"/>
      <c r="Z17" s="510"/>
      <c r="AA17" s="510"/>
      <c r="AB17" s="510"/>
      <c r="AC17" s="510"/>
      <c r="AD17" s="510"/>
      <c r="AE17" s="510"/>
      <c r="AF17" s="1110"/>
      <c r="AG17" s="1111"/>
      <c r="AH17" s="1059"/>
      <c r="AI17" s="1059"/>
      <c r="AJ17" s="1059"/>
      <c r="AK17" s="1059"/>
      <c r="AL17" s="1059"/>
      <c r="AM17" s="1059"/>
      <c r="AN17" s="1114"/>
      <c r="AO17" s="1114"/>
      <c r="AP17" s="1114"/>
      <c r="AQ17" s="1059"/>
      <c r="AR17" s="1059"/>
      <c r="AS17" s="1059"/>
      <c r="AT17" s="1059"/>
      <c r="AU17" s="1059"/>
      <c r="AV17" s="1059"/>
      <c r="AW17" s="1059"/>
      <c r="AX17" s="1059"/>
      <c r="AY17" s="1059"/>
      <c r="BB17" s="609">
        <f t="shared" si="1"/>
        <v>3.409973531961441E-2</v>
      </c>
      <c r="BC17" s="610">
        <f t="shared" si="2"/>
        <v>-10310251.332353562</v>
      </c>
      <c r="BD17" s="610">
        <f t="shared" si="3"/>
        <v>-10310251.332353562</v>
      </c>
    </row>
    <row r="18" spans="1:56" ht="18" x14ac:dyDescent="0.25">
      <c r="A18" s="1107"/>
      <c r="B18" s="1107"/>
      <c r="C18" s="1109"/>
      <c r="D18" s="502" t="s">
        <v>42</v>
      </c>
      <c r="E18" s="585">
        <v>0</v>
      </c>
      <c r="F18" s="585">
        <v>0</v>
      </c>
      <c r="G18" s="778">
        <v>0</v>
      </c>
      <c r="H18" s="779">
        <v>0</v>
      </c>
      <c r="I18" s="779">
        <v>0</v>
      </c>
      <c r="J18" s="779"/>
      <c r="K18" s="779"/>
      <c r="L18" s="779"/>
      <c r="M18" s="779"/>
      <c r="N18" s="779"/>
      <c r="O18" s="779"/>
      <c r="P18" s="779"/>
      <c r="Q18" s="779"/>
      <c r="R18" s="779"/>
      <c r="S18" s="782"/>
      <c r="T18" s="782">
        <v>0</v>
      </c>
      <c r="U18" s="783">
        <v>0</v>
      </c>
      <c r="V18" s="783">
        <v>0</v>
      </c>
      <c r="W18" s="783"/>
      <c r="X18" s="783"/>
      <c r="Y18" s="783"/>
      <c r="Z18" s="783"/>
      <c r="AA18" s="783"/>
      <c r="AB18" s="783"/>
      <c r="AC18" s="783"/>
      <c r="AD18" s="783"/>
      <c r="AE18" s="783"/>
      <c r="AF18" s="1110"/>
      <c r="AG18" s="1111"/>
      <c r="AH18" s="1059"/>
      <c r="AI18" s="1059"/>
      <c r="AJ18" s="1059"/>
      <c r="AK18" s="1059"/>
      <c r="AL18" s="1059"/>
      <c r="AM18" s="1059"/>
      <c r="AN18" s="1114"/>
      <c r="AO18" s="1114"/>
      <c r="AP18" s="1114"/>
      <c r="AQ18" s="1059"/>
      <c r="AR18" s="1059"/>
      <c r="AS18" s="1059"/>
      <c r="AT18" s="1059"/>
      <c r="AU18" s="1059"/>
      <c r="AV18" s="1059"/>
      <c r="AW18" s="1059"/>
      <c r="AX18" s="1059"/>
      <c r="AY18" s="1059"/>
      <c r="BB18" s="609">
        <f t="shared" si="1"/>
        <v>0</v>
      </c>
      <c r="BC18" s="610">
        <f t="shared" si="2"/>
        <v>0</v>
      </c>
      <c r="BD18" s="610">
        <f t="shared" si="3"/>
        <v>0</v>
      </c>
    </row>
    <row r="19" spans="1:56" ht="18" x14ac:dyDescent="0.25">
      <c r="A19" s="1107"/>
      <c r="B19" s="1107"/>
      <c r="C19" s="1109"/>
      <c r="D19" s="503" t="s">
        <v>4</v>
      </c>
      <c r="E19" s="585">
        <v>4625685.0279382393</v>
      </c>
      <c r="F19" s="585">
        <v>4625685.0279382393</v>
      </c>
      <c r="G19" s="778">
        <v>4625685.0279382393</v>
      </c>
      <c r="H19" s="779">
        <v>4625685.0279382393</v>
      </c>
      <c r="I19" s="779">
        <v>4625685.0279382393</v>
      </c>
      <c r="J19" s="779"/>
      <c r="K19" s="779"/>
      <c r="L19" s="779"/>
      <c r="M19" s="779"/>
      <c r="N19" s="779"/>
      <c r="O19" s="779"/>
      <c r="P19" s="779"/>
      <c r="Q19" s="779"/>
      <c r="R19" s="779"/>
      <c r="S19" s="782"/>
      <c r="T19" s="509">
        <v>4625685.0279382393</v>
      </c>
      <c r="U19" s="783">
        <v>4625685.0279382393</v>
      </c>
      <c r="V19" s="783">
        <v>4625685.0279382393</v>
      </c>
      <c r="W19" s="783"/>
      <c r="X19" s="783"/>
      <c r="Y19" s="783"/>
      <c r="Z19" s="783"/>
      <c r="AA19" s="783"/>
      <c r="AB19" s="783"/>
      <c r="AC19" s="783"/>
      <c r="AD19" s="783"/>
      <c r="AE19" s="783"/>
      <c r="AF19" s="1110"/>
      <c r="AG19" s="1111"/>
      <c r="AH19" s="1059"/>
      <c r="AI19" s="1059"/>
      <c r="AJ19" s="1059"/>
      <c r="AK19" s="1059"/>
      <c r="AL19" s="1059"/>
      <c r="AM19" s="1059"/>
      <c r="AN19" s="1114"/>
      <c r="AO19" s="1114"/>
      <c r="AP19" s="1114"/>
      <c r="AQ19" s="1059"/>
      <c r="AR19" s="1059"/>
      <c r="AS19" s="1059"/>
      <c r="AT19" s="1059"/>
      <c r="AU19" s="1059"/>
      <c r="AV19" s="1059"/>
      <c r="AW19" s="1059"/>
      <c r="AX19" s="1059"/>
      <c r="AY19" s="1059"/>
      <c r="BB19" s="609">
        <f t="shared" si="1"/>
        <v>0</v>
      </c>
      <c r="BC19" s="610">
        <f t="shared" si="2"/>
        <v>0</v>
      </c>
      <c r="BD19" s="610">
        <f t="shared" si="3"/>
        <v>0</v>
      </c>
    </row>
    <row r="20" spans="1:56" ht="18" x14ac:dyDescent="0.25">
      <c r="A20" s="1107"/>
      <c r="B20" s="1107"/>
      <c r="C20" s="1109"/>
      <c r="D20" s="502" t="s">
        <v>43</v>
      </c>
      <c r="E20" s="585">
        <v>0.05</v>
      </c>
      <c r="F20" s="585">
        <v>0.05</v>
      </c>
      <c r="G20" s="778">
        <v>0.05</v>
      </c>
      <c r="H20" s="779">
        <v>0.05</v>
      </c>
      <c r="I20" s="779">
        <v>0.05</v>
      </c>
      <c r="J20" s="779"/>
      <c r="K20" s="779"/>
      <c r="L20" s="779"/>
      <c r="M20" s="779"/>
      <c r="N20" s="779"/>
      <c r="O20" s="779"/>
      <c r="P20" s="779"/>
      <c r="Q20" s="779"/>
      <c r="R20" s="779"/>
      <c r="S20" s="782"/>
      <c r="T20" s="782">
        <v>0.05</v>
      </c>
      <c r="U20" s="784">
        <v>0.05</v>
      </c>
      <c r="V20" s="784">
        <v>0.05</v>
      </c>
      <c r="W20" s="783"/>
      <c r="X20" s="783"/>
      <c r="Y20" s="783"/>
      <c r="Z20" s="783"/>
      <c r="AA20" s="783"/>
      <c r="AB20" s="783"/>
      <c r="AC20" s="783"/>
      <c r="AD20" s="783"/>
      <c r="AE20" s="783"/>
      <c r="AF20" s="1110"/>
      <c r="AG20" s="1111"/>
      <c r="AH20" s="1059"/>
      <c r="AI20" s="1059"/>
      <c r="AJ20" s="1059"/>
      <c r="AK20" s="1059"/>
      <c r="AL20" s="1059"/>
      <c r="AM20" s="1059"/>
      <c r="AN20" s="1114"/>
      <c r="AO20" s="1114"/>
      <c r="AP20" s="1114"/>
      <c r="AQ20" s="1059"/>
      <c r="AR20" s="1059"/>
      <c r="AS20" s="1059"/>
      <c r="AT20" s="1059"/>
      <c r="AU20" s="1059"/>
      <c r="AV20" s="1059"/>
      <c r="AW20" s="1059"/>
      <c r="AX20" s="1059"/>
      <c r="AY20" s="1059"/>
      <c r="BB20" s="609">
        <f t="shared" si="1"/>
        <v>0</v>
      </c>
      <c r="BC20" s="610">
        <f t="shared" si="2"/>
        <v>0</v>
      </c>
      <c r="BD20" s="610">
        <f t="shared" si="3"/>
        <v>0</v>
      </c>
    </row>
    <row r="21" spans="1:56" ht="27" x14ac:dyDescent="0.25">
      <c r="A21" s="1107"/>
      <c r="B21" s="1107"/>
      <c r="C21" s="1109"/>
      <c r="D21" s="503" t="s">
        <v>45</v>
      </c>
      <c r="E21" s="585">
        <f t="shared" ref="E21:F21" si="13">E17+E19</f>
        <v>4625685.0279382393</v>
      </c>
      <c r="F21" s="585">
        <f t="shared" si="13"/>
        <v>4625685.0279382393</v>
      </c>
      <c r="G21" s="778">
        <f t="shared" ref="G21:I21" si="14">G17+G19</f>
        <v>4625685.0279382393</v>
      </c>
      <c r="H21" s="779">
        <f t="shared" si="14"/>
        <v>47470595.529684409</v>
      </c>
      <c r="I21" s="779">
        <f t="shared" si="14"/>
        <v>57780846.827938236</v>
      </c>
      <c r="J21" s="779"/>
      <c r="K21" s="779"/>
      <c r="L21" s="779"/>
      <c r="M21" s="779"/>
      <c r="N21" s="779"/>
      <c r="O21" s="779"/>
      <c r="P21" s="779"/>
      <c r="Q21" s="779"/>
      <c r="R21" s="779"/>
      <c r="S21" s="785"/>
      <c r="T21" s="509">
        <f t="shared" ref="T21" si="15">T17+T19</f>
        <v>4625685.0279382393</v>
      </c>
      <c r="U21" s="779">
        <f t="shared" ref="U21" si="16">U17+U19</f>
        <v>47470595.529684409</v>
      </c>
      <c r="V21" s="783">
        <f t="shared" ref="V21" si="17">V17+V19</f>
        <v>57780846.862037972</v>
      </c>
      <c r="W21" s="779"/>
      <c r="X21" s="779"/>
      <c r="Y21" s="779"/>
      <c r="Z21" s="779"/>
      <c r="AA21" s="779"/>
      <c r="AB21" s="779"/>
      <c r="AC21" s="779"/>
      <c r="AD21" s="779"/>
      <c r="AE21" s="779"/>
      <c r="AF21" s="1110"/>
      <c r="AG21" s="1111"/>
      <c r="AH21" s="1059"/>
      <c r="AI21" s="1059"/>
      <c r="AJ21" s="1059"/>
      <c r="AK21" s="1059"/>
      <c r="AL21" s="1059"/>
      <c r="AM21" s="1059"/>
      <c r="AN21" s="1114"/>
      <c r="AO21" s="1114"/>
      <c r="AP21" s="1114"/>
      <c r="AQ21" s="1059"/>
      <c r="AR21" s="1059"/>
      <c r="AS21" s="1059"/>
      <c r="AT21" s="1059"/>
      <c r="AU21" s="1059"/>
      <c r="AV21" s="1059"/>
      <c r="AW21" s="1059"/>
      <c r="AX21" s="1059"/>
      <c r="AY21" s="1059"/>
      <c r="BB21" s="609">
        <f t="shared" si="1"/>
        <v>3.409973531961441E-2</v>
      </c>
      <c r="BC21" s="610">
        <f t="shared" si="2"/>
        <v>-10310251.332353562</v>
      </c>
      <c r="BD21" s="610">
        <f t="shared" si="3"/>
        <v>-10310251.332353562</v>
      </c>
    </row>
    <row r="22" spans="1:56" ht="18" customHeight="1" x14ac:dyDescent="0.25">
      <c r="A22" s="1107"/>
      <c r="B22" s="1107"/>
      <c r="C22" s="1109" t="s">
        <v>499</v>
      </c>
      <c r="D22" s="504" t="s">
        <v>41</v>
      </c>
      <c r="E22" s="585">
        <v>0.05</v>
      </c>
      <c r="F22" s="585">
        <v>0.05</v>
      </c>
      <c r="G22" s="778">
        <v>0.05</v>
      </c>
      <c r="H22" s="779">
        <f>1/20</f>
        <v>0.05</v>
      </c>
      <c r="I22" s="779">
        <f>1/20</f>
        <v>0.05</v>
      </c>
      <c r="J22" s="779"/>
      <c r="K22" s="779"/>
      <c r="L22" s="779"/>
      <c r="M22" s="779"/>
      <c r="N22" s="779"/>
      <c r="O22" s="779"/>
      <c r="P22" s="779"/>
      <c r="Q22" s="779"/>
      <c r="R22" s="779"/>
      <c r="S22" s="780"/>
      <c r="T22" s="781">
        <v>3.7499999999999999E-3</v>
      </c>
      <c r="U22" s="781">
        <f>0.23/20</f>
        <v>1.15E-2</v>
      </c>
      <c r="V22" s="781">
        <f>0.46/20</f>
        <v>2.3E-2</v>
      </c>
      <c r="W22" s="781"/>
      <c r="X22" s="781"/>
      <c r="Y22" s="781"/>
      <c r="Z22" s="781"/>
      <c r="AA22" s="781"/>
      <c r="AB22" s="781"/>
      <c r="AC22" s="781"/>
      <c r="AD22" s="781"/>
      <c r="AE22" s="781"/>
      <c r="AF22" s="1110" t="s">
        <v>739</v>
      </c>
      <c r="AG22" s="1111" t="s">
        <v>450</v>
      </c>
      <c r="AH22" s="1059" t="s">
        <v>715</v>
      </c>
      <c r="AI22" s="1059" t="s">
        <v>716</v>
      </c>
      <c r="AJ22" s="1059" t="s">
        <v>713</v>
      </c>
      <c r="AK22" s="1059" t="s">
        <v>435</v>
      </c>
      <c r="AL22" s="1059">
        <v>5</v>
      </c>
      <c r="AM22" s="1059" t="s">
        <v>71</v>
      </c>
      <c r="AN22" s="1114">
        <f t="shared" ref="AN22" si="18">SUM(AO22:AP27)</f>
        <v>106783</v>
      </c>
      <c r="AO22" s="1114">
        <v>52269</v>
      </c>
      <c r="AP22" s="1114">
        <v>54514</v>
      </c>
      <c r="AQ22" s="1059" t="s">
        <v>71</v>
      </c>
      <c r="AR22" s="1059" t="s">
        <v>71</v>
      </c>
      <c r="AS22" s="1059" t="s">
        <v>71</v>
      </c>
      <c r="AT22" s="1059" t="s">
        <v>71</v>
      </c>
      <c r="AU22" s="1059" t="s">
        <v>71</v>
      </c>
      <c r="AV22" s="1059" t="s">
        <v>71</v>
      </c>
      <c r="AW22" s="1059" t="s">
        <v>71</v>
      </c>
      <c r="AX22" s="1059" t="s">
        <v>71</v>
      </c>
      <c r="AY22" s="1059"/>
      <c r="BB22" s="609">
        <f t="shared" si="1"/>
        <v>-2.7000000000000003E-2</v>
      </c>
      <c r="BC22" s="610">
        <f t="shared" si="2"/>
        <v>-1.15E-2</v>
      </c>
      <c r="BD22" s="610">
        <f t="shared" si="3"/>
        <v>-1.15E-2</v>
      </c>
    </row>
    <row r="23" spans="1:56" ht="18" x14ac:dyDescent="0.25">
      <c r="A23" s="1107"/>
      <c r="B23" s="1107"/>
      <c r="C23" s="1109"/>
      <c r="D23" s="503" t="s">
        <v>3</v>
      </c>
      <c r="E23" s="585">
        <v>253990.14601080539</v>
      </c>
      <c r="F23" s="585">
        <v>253990.14601080539</v>
      </c>
      <c r="G23" s="778">
        <v>253990.14601080539</v>
      </c>
      <c r="H23" s="779">
        <v>2999618.0955630462</v>
      </c>
      <c r="I23" s="779">
        <v>23596032.899999999</v>
      </c>
      <c r="J23" s="779"/>
      <c r="K23" s="779"/>
      <c r="L23" s="779"/>
      <c r="M23" s="779"/>
      <c r="N23" s="779"/>
      <c r="O23" s="779"/>
      <c r="P23" s="779"/>
      <c r="Q23" s="779"/>
      <c r="R23" s="779"/>
      <c r="S23" s="509"/>
      <c r="T23" s="509">
        <v>253990.14601080539</v>
      </c>
      <c r="U23" s="510">
        <v>2999618.0955630462</v>
      </c>
      <c r="V23" s="786">
        <v>23596032.941375114</v>
      </c>
      <c r="W23" s="510"/>
      <c r="X23" s="510"/>
      <c r="Y23" s="510"/>
      <c r="Z23" s="510"/>
      <c r="AA23" s="510"/>
      <c r="AB23" s="510"/>
      <c r="AC23" s="510"/>
      <c r="AD23" s="510"/>
      <c r="AE23" s="510"/>
      <c r="AF23" s="1110"/>
      <c r="AG23" s="1111"/>
      <c r="AH23" s="1059"/>
      <c r="AI23" s="1059"/>
      <c r="AJ23" s="1059"/>
      <c r="AK23" s="1059"/>
      <c r="AL23" s="1059"/>
      <c r="AM23" s="1059"/>
      <c r="AN23" s="1114"/>
      <c r="AO23" s="1114"/>
      <c r="AP23" s="1114"/>
      <c r="AQ23" s="1059"/>
      <c r="AR23" s="1059"/>
      <c r="AS23" s="1059"/>
      <c r="AT23" s="1059"/>
      <c r="AU23" s="1059"/>
      <c r="AV23" s="1059"/>
      <c r="AW23" s="1059"/>
      <c r="AX23" s="1059"/>
      <c r="AY23" s="1059"/>
      <c r="BB23" s="609">
        <f t="shared" si="1"/>
        <v>4.1375115513801575E-2</v>
      </c>
      <c r="BC23" s="610">
        <f t="shared" si="2"/>
        <v>-20596414.845812067</v>
      </c>
      <c r="BD23" s="610">
        <f t="shared" si="3"/>
        <v>-20596414.845812067</v>
      </c>
    </row>
    <row r="24" spans="1:56" ht="18" x14ac:dyDescent="0.25">
      <c r="A24" s="1107"/>
      <c r="B24" s="1107"/>
      <c r="C24" s="1109"/>
      <c r="D24" s="502" t="s">
        <v>42</v>
      </c>
      <c r="E24" s="585">
        <v>0</v>
      </c>
      <c r="F24" s="585">
        <v>0</v>
      </c>
      <c r="G24" s="778">
        <v>0</v>
      </c>
      <c r="H24" s="779">
        <v>0</v>
      </c>
      <c r="I24" s="779">
        <v>0</v>
      </c>
      <c r="J24" s="779"/>
      <c r="K24" s="779"/>
      <c r="L24" s="779"/>
      <c r="M24" s="779"/>
      <c r="N24" s="779"/>
      <c r="O24" s="779"/>
      <c r="P24" s="779"/>
      <c r="Q24" s="779"/>
      <c r="R24" s="779"/>
      <c r="S24" s="782"/>
      <c r="T24" s="782">
        <v>0</v>
      </c>
      <c r="U24" s="783">
        <v>0</v>
      </c>
      <c r="V24" s="783">
        <v>0</v>
      </c>
      <c r="W24" s="783"/>
      <c r="X24" s="783"/>
      <c r="Y24" s="783"/>
      <c r="Z24" s="783"/>
      <c r="AA24" s="783"/>
      <c r="AB24" s="783"/>
      <c r="AC24" s="783"/>
      <c r="AD24" s="783"/>
      <c r="AE24" s="783"/>
      <c r="AF24" s="1110"/>
      <c r="AG24" s="1111"/>
      <c r="AH24" s="1059"/>
      <c r="AI24" s="1059"/>
      <c r="AJ24" s="1059"/>
      <c r="AK24" s="1059"/>
      <c r="AL24" s="1059"/>
      <c r="AM24" s="1059"/>
      <c r="AN24" s="1114"/>
      <c r="AO24" s="1114"/>
      <c r="AP24" s="1114"/>
      <c r="AQ24" s="1059"/>
      <c r="AR24" s="1059"/>
      <c r="AS24" s="1059"/>
      <c r="AT24" s="1059"/>
      <c r="AU24" s="1059"/>
      <c r="AV24" s="1059"/>
      <c r="AW24" s="1059"/>
      <c r="AX24" s="1059"/>
      <c r="AY24" s="1059"/>
      <c r="BB24" s="609">
        <f t="shared" si="1"/>
        <v>0</v>
      </c>
      <c r="BC24" s="610">
        <f t="shared" si="2"/>
        <v>0</v>
      </c>
      <c r="BD24" s="610">
        <f t="shared" si="3"/>
        <v>0</v>
      </c>
    </row>
    <row r="25" spans="1:56" ht="18" x14ac:dyDescent="0.25">
      <c r="A25" s="1107"/>
      <c r="B25" s="1107"/>
      <c r="C25" s="1109"/>
      <c r="D25" s="503" t="s">
        <v>4</v>
      </c>
      <c r="E25" s="585">
        <v>712388.83863304823</v>
      </c>
      <c r="F25" s="585">
        <v>712388.83863304823</v>
      </c>
      <c r="G25" s="778">
        <v>712388.83863304823</v>
      </c>
      <c r="H25" s="779">
        <v>712388.83863304823</v>
      </c>
      <c r="I25" s="779">
        <v>712388.83863304823</v>
      </c>
      <c r="J25" s="779"/>
      <c r="K25" s="779"/>
      <c r="L25" s="779"/>
      <c r="M25" s="779"/>
      <c r="N25" s="779"/>
      <c r="O25" s="779"/>
      <c r="P25" s="779"/>
      <c r="Q25" s="779"/>
      <c r="R25" s="779"/>
      <c r="S25" s="782"/>
      <c r="T25" s="509">
        <v>712388.83863304823</v>
      </c>
      <c r="U25" s="783">
        <v>712388.83863304823</v>
      </c>
      <c r="V25" s="783">
        <v>712388.83863304823</v>
      </c>
      <c r="W25" s="783"/>
      <c r="X25" s="783"/>
      <c r="Y25" s="783"/>
      <c r="Z25" s="783"/>
      <c r="AA25" s="783"/>
      <c r="AB25" s="783"/>
      <c r="AC25" s="783"/>
      <c r="AD25" s="783"/>
      <c r="AE25" s="783"/>
      <c r="AF25" s="1110"/>
      <c r="AG25" s="1111"/>
      <c r="AH25" s="1059"/>
      <c r="AI25" s="1059"/>
      <c r="AJ25" s="1059"/>
      <c r="AK25" s="1059"/>
      <c r="AL25" s="1059"/>
      <c r="AM25" s="1059"/>
      <c r="AN25" s="1114"/>
      <c r="AO25" s="1114"/>
      <c r="AP25" s="1114"/>
      <c r="AQ25" s="1059"/>
      <c r="AR25" s="1059"/>
      <c r="AS25" s="1059"/>
      <c r="AT25" s="1059"/>
      <c r="AU25" s="1059"/>
      <c r="AV25" s="1059"/>
      <c r="AW25" s="1059"/>
      <c r="AX25" s="1059"/>
      <c r="AY25" s="1059"/>
      <c r="BB25" s="609">
        <f t="shared" si="1"/>
        <v>0</v>
      </c>
      <c r="BC25" s="610">
        <f t="shared" si="2"/>
        <v>0</v>
      </c>
      <c r="BD25" s="610">
        <f t="shared" si="3"/>
        <v>0</v>
      </c>
    </row>
    <row r="26" spans="1:56" ht="18" x14ac:dyDescent="0.25">
      <c r="A26" s="1107"/>
      <c r="B26" s="1107"/>
      <c r="C26" s="1109"/>
      <c r="D26" s="502" t="s">
        <v>43</v>
      </c>
      <c r="E26" s="585">
        <f t="shared" ref="E26:F26" si="19">E22+E24</f>
        <v>0.05</v>
      </c>
      <c r="F26" s="585">
        <f t="shared" si="19"/>
        <v>0.05</v>
      </c>
      <c r="G26" s="778">
        <f t="shared" ref="G26:I27" si="20">G22+G24</f>
        <v>0.05</v>
      </c>
      <c r="H26" s="779">
        <f t="shared" si="20"/>
        <v>0.05</v>
      </c>
      <c r="I26" s="779">
        <f t="shared" si="20"/>
        <v>0.05</v>
      </c>
      <c r="J26" s="779"/>
      <c r="K26" s="779"/>
      <c r="L26" s="779"/>
      <c r="M26" s="779"/>
      <c r="N26" s="779"/>
      <c r="O26" s="779"/>
      <c r="P26" s="779"/>
      <c r="Q26" s="779"/>
      <c r="R26" s="779"/>
      <c r="S26" s="782"/>
      <c r="T26" s="782">
        <f t="shared" ref="T26:T27" si="21">T22+T24</f>
        <v>3.7499999999999999E-3</v>
      </c>
      <c r="U26" s="784">
        <f t="shared" ref="U26" si="22">U22+U24</f>
        <v>1.15E-2</v>
      </c>
      <c r="V26" s="784">
        <f t="shared" ref="V26" si="23">V22+V24</f>
        <v>2.3E-2</v>
      </c>
      <c r="W26" s="783"/>
      <c r="X26" s="783"/>
      <c r="Y26" s="783"/>
      <c r="Z26" s="783"/>
      <c r="AA26" s="783"/>
      <c r="AB26" s="783"/>
      <c r="AC26" s="783"/>
      <c r="AD26" s="783"/>
      <c r="AE26" s="783"/>
      <c r="AF26" s="1110"/>
      <c r="AG26" s="1111"/>
      <c r="AH26" s="1059"/>
      <c r="AI26" s="1059"/>
      <c r="AJ26" s="1059"/>
      <c r="AK26" s="1059"/>
      <c r="AL26" s="1059"/>
      <c r="AM26" s="1059"/>
      <c r="AN26" s="1114"/>
      <c r="AO26" s="1114"/>
      <c r="AP26" s="1114"/>
      <c r="AQ26" s="1059"/>
      <c r="AR26" s="1059"/>
      <c r="AS26" s="1059"/>
      <c r="AT26" s="1059"/>
      <c r="AU26" s="1059"/>
      <c r="AV26" s="1059"/>
      <c r="AW26" s="1059"/>
      <c r="AX26" s="1059"/>
      <c r="AY26" s="1059"/>
      <c r="BB26" s="609">
        <f t="shared" si="1"/>
        <v>-2.7000000000000003E-2</v>
      </c>
      <c r="BC26" s="610">
        <f t="shared" si="2"/>
        <v>-1.15E-2</v>
      </c>
      <c r="BD26" s="610">
        <f t="shared" si="3"/>
        <v>-1.15E-2</v>
      </c>
    </row>
    <row r="27" spans="1:56" ht="27" x14ac:dyDescent="0.25">
      <c r="A27" s="1107"/>
      <c r="B27" s="1107"/>
      <c r="C27" s="1109"/>
      <c r="D27" s="503" t="s">
        <v>45</v>
      </c>
      <c r="E27" s="585">
        <f t="shared" ref="E27:F27" si="24">E23+E25</f>
        <v>966378.98464385362</v>
      </c>
      <c r="F27" s="585">
        <f t="shared" si="24"/>
        <v>966378.98464385362</v>
      </c>
      <c r="G27" s="778">
        <f t="shared" si="20"/>
        <v>966378.98464385362</v>
      </c>
      <c r="H27" s="779">
        <f t="shared" si="20"/>
        <v>3712006.9341960945</v>
      </c>
      <c r="I27" s="779">
        <f t="shared" si="20"/>
        <v>24308421.738633048</v>
      </c>
      <c r="J27" s="779"/>
      <c r="K27" s="779"/>
      <c r="L27" s="779"/>
      <c r="M27" s="779"/>
      <c r="N27" s="779"/>
      <c r="O27" s="779"/>
      <c r="P27" s="779"/>
      <c r="Q27" s="779"/>
      <c r="R27" s="779"/>
      <c r="S27" s="785"/>
      <c r="T27" s="509">
        <f t="shared" si="21"/>
        <v>966378.98464385362</v>
      </c>
      <c r="U27" s="779">
        <f t="shared" ref="U27" si="25">U23+U25</f>
        <v>3712006.9341960945</v>
      </c>
      <c r="V27" s="783">
        <f t="shared" ref="V27" si="26">V23+V25</f>
        <v>24308421.780008163</v>
      </c>
      <c r="W27" s="779"/>
      <c r="X27" s="779"/>
      <c r="Y27" s="779"/>
      <c r="Z27" s="779"/>
      <c r="AA27" s="779"/>
      <c r="AB27" s="779"/>
      <c r="AC27" s="779"/>
      <c r="AD27" s="779"/>
      <c r="AE27" s="779"/>
      <c r="AF27" s="1110"/>
      <c r="AG27" s="1111"/>
      <c r="AH27" s="1059"/>
      <c r="AI27" s="1059"/>
      <c r="AJ27" s="1059"/>
      <c r="AK27" s="1059"/>
      <c r="AL27" s="1059"/>
      <c r="AM27" s="1059"/>
      <c r="AN27" s="1114"/>
      <c r="AO27" s="1114"/>
      <c r="AP27" s="1114"/>
      <c r="AQ27" s="1059"/>
      <c r="AR27" s="1059"/>
      <c r="AS27" s="1059"/>
      <c r="AT27" s="1059"/>
      <c r="AU27" s="1059"/>
      <c r="AV27" s="1059"/>
      <c r="AW27" s="1059"/>
      <c r="AX27" s="1059"/>
      <c r="AY27" s="1059"/>
      <c r="BB27" s="609">
        <f t="shared" si="1"/>
        <v>4.1375115513801575E-2</v>
      </c>
      <c r="BC27" s="610">
        <f t="shared" si="2"/>
        <v>-20596414.845812067</v>
      </c>
      <c r="BD27" s="610">
        <f t="shared" si="3"/>
        <v>-20596414.845812067</v>
      </c>
    </row>
    <row r="28" spans="1:56" ht="18" customHeight="1" x14ac:dyDescent="0.25">
      <c r="A28" s="1107"/>
      <c r="B28" s="1107"/>
      <c r="C28" s="1109" t="s">
        <v>500</v>
      </c>
      <c r="D28" s="504" t="s">
        <v>41</v>
      </c>
      <c r="E28" s="585">
        <v>0.05</v>
      </c>
      <c r="F28" s="585">
        <v>0.05</v>
      </c>
      <c r="G28" s="778">
        <v>0.05</v>
      </c>
      <c r="H28" s="779">
        <f>1/20</f>
        <v>0.05</v>
      </c>
      <c r="I28" s="779">
        <f>1/20</f>
        <v>0.05</v>
      </c>
      <c r="J28" s="779"/>
      <c r="K28" s="779"/>
      <c r="L28" s="779"/>
      <c r="M28" s="779"/>
      <c r="N28" s="779"/>
      <c r="O28" s="779"/>
      <c r="P28" s="779"/>
      <c r="Q28" s="779"/>
      <c r="R28" s="779"/>
      <c r="S28" s="780"/>
      <c r="T28" s="781">
        <v>3.7499999999999999E-3</v>
      </c>
      <c r="U28" s="781">
        <v>1.15E-2</v>
      </c>
      <c r="V28" s="781">
        <f>0.46/20</f>
        <v>2.3E-2</v>
      </c>
      <c r="W28" s="781"/>
      <c r="X28" s="781"/>
      <c r="Y28" s="781"/>
      <c r="Z28" s="781"/>
      <c r="AA28" s="781"/>
      <c r="AB28" s="781"/>
      <c r="AC28" s="781"/>
      <c r="AD28" s="781"/>
      <c r="AE28" s="781"/>
      <c r="AF28" s="1110" t="s">
        <v>740</v>
      </c>
      <c r="AG28" s="1111" t="s">
        <v>449</v>
      </c>
      <c r="AH28" s="1059" t="s">
        <v>674</v>
      </c>
      <c r="AI28" s="1059" t="s">
        <v>717</v>
      </c>
      <c r="AJ28" s="1059" t="s">
        <v>713</v>
      </c>
      <c r="AK28" s="1059" t="s">
        <v>435</v>
      </c>
      <c r="AL28" s="1118" t="s">
        <v>555</v>
      </c>
      <c r="AM28" s="1059" t="s">
        <v>71</v>
      </c>
      <c r="AN28" s="1114">
        <f>SUM(AO28:AP33)</f>
        <v>409033</v>
      </c>
      <c r="AO28" s="1114">
        <v>196875</v>
      </c>
      <c r="AP28" s="1114">
        <v>212158</v>
      </c>
      <c r="AQ28" s="1059" t="s">
        <v>71</v>
      </c>
      <c r="AR28" s="1059" t="s">
        <v>71</v>
      </c>
      <c r="AS28" s="1059" t="s">
        <v>71</v>
      </c>
      <c r="AT28" s="1059" t="s">
        <v>71</v>
      </c>
      <c r="AU28" s="1059" t="s">
        <v>71</v>
      </c>
      <c r="AV28" s="1059" t="s">
        <v>71</v>
      </c>
      <c r="AW28" s="1059" t="s">
        <v>71</v>
      </c>
      <c r="AX28" s="1059" t="s">
        <v>71</v>
      </c>
      <c r="AY28" s="1059"/>
      <c r="BB28" s="609">
        <f t="shared" si="1"/>
        <v>-2.7000000000000003E-2</v>
      </c>
      <c r="BC28" s="610">
        <f t="shared" si="2"/>
        <v>-1.15E-2</v>
      </c>
      <c r="BD28" s="610">
        <f t="shared" si="3"/>
        <v>-1.15E-2</v>
      </c>
    </row>
    <row r="29" spans="1:56" ht="18" x14ac:dyDescent="0.25">
      <c r="A29" s="1107"/>
      <c r="B29" s="1107"/>
      <c r="C29" s="1109"/>
      <c r="D29" s="503" t="s">
        <v>3</v>
      </c>
      <c r="E29" s="585">
        <v>143066252.45902419</v>
      </c>
      <c r="F29" s="585">
        <v>143066252.45902419</v>
      </c>
      <c r="G29" s="778">
        <v>143066252.45902419</v>
      </c>
      <c r="H29" s="779">
        <v>66285862.708126895</v>
      </c>
      <c r="I29" s="779">
        <v>70508860.299999997</v>
      </c>
      <c r="J29" s="779"/>
      <c r="K29" s="779"/>
      <c r="L29" s="779"/>
      <c r="M29" s="779"/>
      <c r="N29" s="779"/>
      <c r="O29" s="779"/>
      <c r="P29" s="779"/>
      <c r="Q29" s="779"/>
      <c r="R29" s="779"/>
      <c r="S29" s="509"/>
      <c r="T29" s="509">
        <v>143066252.45902419</v>
      </c>
      <c r="U29" s="510">
        <v>66285862.708126895</v>
      </c>
      <c r="V29" s="786">
        <v>70508860.347834066</v>
      </c>
      <c r="W29" s="510"/>
      <c r="X29" s="510"/>
      <c r="Y29" s="510"/>
      <c r="Z29" s="510"/>
      <c r="AA29" s="510"/>
      <c r="AB29" s="510"/>
      <c r="AC29" s="510"/>
      <c r="AD29" s="510"/>
      <c r="AE29" s="510"/>
      <c r="AF29" s="1110"/>
      <c r="AG29" s="1111"/>
      <c r="AH29" s="1059"/>
      <c r="AI29" s="1059"/>
      <c r="AJ29" s="1059"/>
      <c r="AK29" s="1059"/>
      <c r="AL29" s="1118"/>
      <c r="AM29" s="1059"/>
      <c r="AN29" s="1114"/>
      <c r="AO29" s="1114"/>
      <c r="AP29" s="1114"/>
      <c r="AQ29" s="1059"/>
      <c r="AR29" s="1059"/>
      <c r="AS29" s="1059"/>
      <c r="AT29" s="1059"/>
      <c r="AU29" s="1059"/>
      <c r="AV29" s="1059"/>
      <c r="AW29" s="1059"/>
      <c r="AX29" s="1059"/>
      <c r="AY29" s="1059"/>
      <c r="BB29" s="609">
        <f t="shared" si="1"/>
        <v>4.7834068536758423E-2</v>
      </c>
      <c r="BC29" s="610">
        <f t="shared" si="2"/>
        <v>-4222997.6397071704</v>
      </c>
      <c r="BD29" s="610">
        <f t="shared" si="3"/>
        <v>-4222997.6397071704</v>
      </c>
    </row>
    <row r="30" spans="1:56" ht="18" x14ac:dyDescent="0.25">
      <c r="A30" s="1107"/>
      <c r="B30" s="1107"/>
      <c r="C30" s="1109"/>
      <c r="D30" s="502" t="s">
        <v>42</v>
      </c>
      <c r="E30" s="585">
        <v>0</v>
      </c>
      <c r="F30" s="585">
        <v>0</v>
      </c>
      <c r="G30" s="778">
        <v>0</v>
      </c>
      <c r="H30" s="779">
        <v>0</v>
      </c>
      <c r="I30" s="779">
        <v>0</v>
      </c>
      <c r="J30" s="779"/>
      <c r="K30" s="779"/>
      <c r="L30" s="779"/>
      <c r="M30" s="779"/>
      <c r="N30" s="779"/>
      <c r="O30" s="779"/>
      <c r="P30" s="779"/>
      <c r="Q30" s="779"/>
      <c r="R30" s="779"/>
      <c r="S30" s="782"/>
      <c r="T30" s="782">
        <v>0</v>
      </c>
      <c r="U30" s="783">
        <v>0</v>
      </c>
      <c r="V30" s="783">
        <v>0</v>
      </c>
      <c r="W30" s="783"/>
      <c r="X30" s="783"/>
      <c r="Y30" s="783"/>
      <c r="Z30" s="783"/>
      <c r="AA30" s="783"/>
      <c r="AB30" s="783"/>
      <c r="AC30" s="783"/>
      <c r="AD30" s="783"/>
      <c r="AE30" s="783"/>
      <c r="AF30" s="1110"/>
      <c r="AG30" s="1111"/>
      <c r="AH30" s="1059"/>
      <c r="AI30" s="1059"/>
      <c r="AJ30" s="1059"/>
      <c r="AK30" s="1059"/>
      <c r="AL30" s="1118"/>
      <c r="AM30" s="1059"/>
      <c r="AN30" s="1114"/>
      <c r="AO30" s="1114"/>
      <c r="AP30" s="1114"/>
      <c r="AQ30" s="1059"/>
      <c r="AR30" s="1059"/>
      <c r="AS30" s="1059"/>
      <c r="AT30" s="1059"/>
      <c r="AU30" s="1059"/>
      <c r="AV30" s="1059"/>
      <c r="AW30" s="1059"/>
      <c r="AX30" s="1059"/>
      <c r="AY30" s="1059"/>
      <c r="BB30" s="609">
        <f t="shared" si="1"/>
        <v>0</v>
      </c>
      <c r="BC30" s="610">
        <f t="shared" si="2"/>
        <v>0</v>
      </c>
      <c r="BD30" s="610">
        <f t="shared" si="3"/>
        <v>0</v>
      </c>
    </row>
    <row r="31" spans="1:56" ht="18" x14ac:dyDescent="0.25">
      <c r="A31" s="1107"/>
      <c r="B31" s="1107"/>
      <c r="C31" s="1109"/>
      <c r="D31" s="503" t="s">
        <v>4</v>
      </c>
      <c r="E31" s="585">
        <v>10766006.02422766</v>
      </c>
      <c r="F31" s="585">
        <v>10766006.02422766</v>
      </c>
      <c r="G31" s="778">
        <v>10766006.02422766</v>
      </c>
      <c r="H31" s="779">
        <v>10766006.02422766</v>
      </c>
      <c r="I31" s="779">
        <v>10766006.02422766</v>
      </c>
      <c r="J31" s="779"/>
      <c r="K31" s="779"/>
      <c r="L31" s="779"/>
      <c r="M31" s="779"/>
      <c r="N31" s="779"/>
      <c r="O31" s="779"/>
      <c r="P31" s="779"/>
      <c r="Q31" s="779"/>
      <c r="R31" s="779"/>
      <c r="S31" s="782"/>
      <c r="T31" s="509">
        <v>10766006.02422766</v>
      </c>
      <c r="U31" s="783">
        <v>10766006.02422766</v>
      </c>
      <c r="V31" s="783">
        <v>10766006.02422766</v>
      </c>
      <c r="W31" s="783"/>
      <c r="X31" s="783"/>
      <c r="Y31" s="783"/>
      <c r="Z31" s="783"/>
      <c r="AA31" s="783"/>
      <c r="AB31" s="783"/>
      <c r="AC31" s="783"/>
      <c r="AD31" s="783"/>
      <c r="AE31" s="783"/>
      <c r="AF31" s="1110"/>
      <c r="AG31" s="1111"/>
      <c r="AH31" s="1059"/>
      <c r="AI31" s="1059"/>
      <c r="AJ31" s="1059"/>
      <c r="AK31" s="1059"/>
      <c r="AL31" s="1118"/>
      <c r="AM31" s="1059"/>
      <c r="AN31" s="1114"/>
      <c r="AO31" s="1114"/>
      <c r="AP31" s="1114"/>
      <c r="AQ31" s="1059"/>
      <c r="AR31" s="1059"/>
      <c r="AS31" s="1059"/>
      <c r="AT31" s="1059"/>
      <c r="AU31" s="1059"/>
      <c r="AV31" s="1059"/>
      <c r="AW31" s="1059"/>
      <c r="AX31" s="1059"/>
      <c r="AY31" s="1059"/>
      <c r="BB31" s="609">
        <f t="shared" si="1"/>
        <v>0</v>
      </c>
      <c r="BC31" s="610">
        <f t="shared" si="2"/>
        <v>0</v>
      </c>
      <c r="BD31" s="610">
        <f t="shared" si="3"/>
        <v>0</v>
      </c>
    </row>
    <row r="32" spans="1:56" ht="18" x14ac:dyDescent="0.25">
      <c r="A32" s="1107"/>
      <c r="B32" s="1107"/>
      <c r="C32" s="1109"/>
      <c r="D32" s="502" t="s">
        <v>43</v>
      </c>
      <c r="E32" s="585">
        <f t="shared" ref="E32:F32" si="27">E28+E30</f>
        <v>0.05</v>
      </c>
      <c r="F32" s="585">
        <f t="shared" si="27"/>
        <v>0.05</v>
      </c>
      <c r="G32" s="778">
        <f t="shared" ref="G32:I33" si="28">G28+G30</f>
        <v>0.05</v>
      </c>
      <c r="H32" s="779">
        <f t="shared" si="28"/>
        <v>0.05</v>
      </c>
      <c r="I32" s="779">
        <f t="shared" si="28"/>
        <v>0.05</v>
      </c>
      <c r="J32" s="779"/>
      <c r="K32" s="779"/>
      <c r="L32" s="779"/>
      <c r="M32" s="779"/>
      <c r="N32" s="779"/>
      <c r="O32" s="779"/>
      <c r="P32" s="779"/>
      <c r="Q32" s="779"/>
      <c r="R32" s="779"/>
      <c r="S32" s="782"/>
      <c r="T32" s="782">
        <f t="shared" ref="T32:T33" si="29">T28+T30</f>
        <v>3.7499999999999999E-3</v>
      </c>
      <c r="U32" s="784">
        <f t="shared" ref="U32" si="30">U28+U30</f>
        <v>1.15E-2</v>
      </c>
      <c r="V32" s="784">
        <f t="shared" ref="V32" si="31">V28+V30</f>
        <v>2.3E-2</v>
      </c>
      <c r="W32" s="783"/>
      <c r="X32" s="783"/>
      <c r="Y32" s="783"/>
      <c r="Z32" s="783"/>
      <c r="AA32" s="783"/>
      <c r="AB32" s="783"/>
      <c r="AC32" s="783"/>
      <c r="AD32" s="783"/>
      <c r="AE32" s="783"/>
      <c r="AF32" s="1110"/>
      <c r="AG32" s="1111"/>
      <c r="AH32" s="1059"/>
      <c r="AI32" s="1059"/>
      <c r="AJ32" s="1059"/>
      <c r="AK32" s="1059"/>
      <c r="AL32" s="1118"/>
      <c r="AM32" s="1059"/>
      <c r="AN32" s="1114"/>
      <c r="AO32" s="1114"/>
      <c r="AP32" s="1114"/>
      <c r="AQ32" s="1059"/>
      <c r="AR32" s="1059"/>
      <c r="AS32" s="1059"/>
      <c r="AT32" s="1059"/>
      <c r="AU32" s="1059"/>
      <c r="AV32" s="1059"/>
      <c r="AW32" s="1059"/>
      <c r="AX32" s="1059"/>
      <c r="AY32" s="1059"/>
      <c r="BB32" s="609">
        <f t="shared" si="1"/>
        <v>-2.7000000000000003E-2</v>
      </c>
      <c r="BC32" s="610">
        <f t="shared" si="2"/>
        <v>-1.15E-2</v>
      </c>
      <c r="BD32" s="610">
        <f t="shared" si="3"/>
        <v>-1.15E-2</v>
      </c>
    </row>
    <row r="33" spans="1:56" ht="27" x14ac:dyDescent="0.25">
      <c r="A33" s="1107"/>
      <c r="B33" s="1107"/>
      <c r="C33" s="1109"/>
      <c r="D33" s="503" t="s">
        <v>45</v>
      </c>
      <c r="E33" s="585">
        <f t="shared" ref="E33:F33" si="32">E29+E31</f>
        <v>153832258.48325184</v>
      </c>
      <c r="F33" s="585">
        <f t="shared" si="32"/>
        <v>153832258.48325184</v>
      </c>
      <c r="G33" s="778">
        <f t="shared" si="28"/>
        <v>153832258.48325184</v>
      </c>
      <c r="H33" s="779">
        <f t="shared" si="28"/>
        <v>77051868.732354552</v>
      </c>
      <c r="I33" s="779">
        <f t="shared" si="28"/>
        <v>81274866.324227661</v>
      </c>
      <c r="J33" s="779"/>
      <c r="K33" s="779"/>
      <c r="L33" s="779"/>
      <c r="M33" s="779"/>
      <c r="N33" s="779"/>
      <c r="O33" s="779"/>
      <c r="P33" s="779"/>
      <c r="Q33" s="779"/>
      <c r="R33" s="779"/>
      <c r="S33" s="785"/>
      <c r="T33" s="509">
        <f t="shared" si="29"/>
        <v>153832258.48325184</v>
      </c>
      <c r="U33" s="779">
        <f t="shared" ref="U33" si="33">U29+U31</f>
        <v>77051868.732354552</v>
      </c>
      <c r="V33" s="783">
        <f t="shared" ref="V33" si="34">V29+V31</f>
        <v>81274866.372061729</v>
      </c>
      <c r="W33" s="779"/>
      <c r="X33" s="779"/>
      <c r="Y33" s="779"/>
      <c r="Z33" s="779"/>
      <c r="AA33" s="779"/>
      <c r="AB33" s="779"/>
      <c r="AC33" s="779"/>
      <c r="AD33" s="779"/>
      <c r="AE33" s="779"/>
      <c r="AF33" s="1110"/>
      <c r="AG33" s="1111"/>
      <c r="AH33" s="1059"/>
      <c r="AI33" s="1059"/>
      <c r="AJ33" s="1059"/>
      <c r="AK33" s="1059"/>
      <c r="AL33" s="1118"/>
      <c r="AM33" s="1059"/>
      <c r="AN33" s="1114"/>
      <c r="AO33" s="1114"/>
      <c r="AP33" s="1114"/>
      <c r="AQ33" s="1059"/>
      <c r="AR33" s="1059"/>
      <c r="AS33" s="1059"/>
      <c r="AT33" s="1059"/>
      <c r="AU33" s="1059"/>
      <c r="AV33" s="1059"/>
      <c r="AW33" s="1059"/>
      <c r="AX33" s="1059"/>
      <c r="AY33" s="1059"/>
      <c r="BB33" s="609">
        <f t="shared" si="1"/>
        <v>4.7834068536758423E-2</v>
      </c>
      <c r="BC33" s="610">
        <f t="shared" si="2"/>
        <v>-4222997.6397071779</v>
      </c>
      <c r="BD33" s="610">
        <f t="shared" si="3"/>
        <v>-4222997.6397071779</v>
      </c>
    </row>
    <row r="34" spans="1:56" ht="18" customHeight="1" x14ac:dyDescent="0.25">
      <c r="A34" s="1107"/>
      <c r="B34" s="1107"/>
      <c r="C34" s="1109" t="s">
        <v>501</v>
      </c>
      <c r="D34" s="504" t="s">
        <v>41</v>
      </c>
      <c r="E34" s="585">
        <v>0.05</v>
      </c>
      <c r="F34" s="585">
        <v>0.05</v>
      </c>
      <c r="G34" s="778">
        <v>0.05</v>
      </c>
      <c r="H34" s="779">
        <f>1/20</f>
        <v>0.05</v>
      </c>
      <c r="I34" s="779">
        <f>1/20</f>
        <v>0.05</v>
      </c>
      <c r="J34" s="779"/>
      <c r="K34" s="779"/>
      <c r="L34" s="779"/>
      <c r="M34" s="779"/>
      <c r="N34" s="779"/>
      <c r="O34" s="779"/>
      <c r="P34" s="779"/>
      <c r="Q34" s="779"/>
      <c r="R34" s="779"/>
      <c r="S34" s="780"/>
      <c r="T34" s="781">
        <v>3.7499999999999999E-3</v>
      </c>
      <c r="U34" s="781">
        <v>1.15E-2</v>
      </c>
      <c r="V34" s="781">
        <f>0.46/20</f>
        <v>2.3E-2</v>
      </c>
      <c r="W34" s="781"/>
      <c r="X34" s="781"/>
      <c r="Y34" s="781"/>
      <c r="Z34" s="781"/>
      <c r="AA34" s="781"/>
      <c r="AB34" s="781"/>
      <c r="AC34" s="781"/>
      <c r="AD34" s="781"/>
      <c r="AE34" s="781"/>
      <c r="AF34" s="1110" t="s">
        <v>741</v>
      </c>
      <c r="AG34" s="1111" t="s">
        <v>454</v>
      </c>
      <c r="AH34" s="1059" t="s">
        <v>659</v>
      </c>
      <c r="AI34" s="1119" t="s">
        <v>675</v>
      </c>
      <c r="AJ34" s="1059" t="s">
        <v>713</v>
      </c>
      <c r="AK34" s="1059" t="s">
        <v>435</v>
      </c>
      <c r="AL34" s="1059">
        <v>8</v>
      </c>
      <c r="AM34" s="1059" t="s">
        <v>71</v>
      </c>
      <c r="AN34" s="1114">
        <f>SUM(AO34:AP39)</f>
        <v>404676</v>
      </c>
      <c r="AO34" s="1114">
        <v>200538</v>
      </c>
      <c r="AP34" s="1114">
        <v>204138</v>
      </c>
      <c r="AQ34" s="1059" t="s">
        <v>71</v>
      </c>
      <c r="AR34" s="1059" t="s">
        <v>71</v>
      </c>
      <c r="AS34" s="1059" t="s">
        <v>71</v>
      </c>
      <c r="AT34" s="1059" t="s">
        <v>71</v>
      </c>
      <c r="AU34" s="1059" t="s">
        <v>71</v>
      </c>
      <c r="AV34" s="1059" t="s">
        <v>71</v>
      </c>
      <c r="AW34" s="1059" t="s">
        <v>71</v>
      </c>
      <c r="AX34" s="1059" t="s">
        <v>71</v>
      </c>
      <c r="AY34" s="1059"/>
      <c r="BB34" s="609">
        <f t="shared" si="1"/>
        <v>-2.7000000000000003E-2</v>
      </c>
      <c r="BC34" s="610">
        <f t="shared" si="2"/>
        <v>-1.15E-2</v>
      </c>
      <c r="BD34" s="610">
        <f t="shared" si="3"/>
        <v>-1.15E-2</v>
      </c>
    </row>
    <row r="35" spans="1:56" ht="18" x14ac:dyDescent="0.25">
      <c r="A35" s="1107"/>
      <c r="B35" s="1107"/>
      <c r="C35" s="1109"/>
      <c r="D35" s="503" t="s">
        <v>3</v>
      </c>
      <c r="E35" s="585">
        <v>15286.443972872548</v>
      </c>
      <c r="F35" s="585">
        <v>15286.443972872548</v>
      </c>
      <c r="G35" s="778">
        <v>15286.443972872548</v>
      </c>
      <c r="H35" s="779">
        <v>3398425.6793776331</v>
      </c>
      <c r="I35" s="779">
        <v>3346454.32</v>
      </c>
      <c r="J35" s="779"/>
      <c r="K35" s="779"/>
      <c r="L35" s="779"/>
      <c r="M35" s="779"/>
      <c r="N35" s="779"/>
      <c r="O35" s="779"/>
      <c r="P35" s="779"/>
      <c r="Q35" s="779"/>
      <c r="R35" s="779"/>
      <c r="S35" s="509"/>
      <c r="T35" s="509">
        <v>15286.443972872548</v>
      </c>
      <c r="U35" s="510">
        <v>3398425.6793776331</v>
      </c>
      <c r="V35" s="786">
        <v>3346454.3204177427</v>
      </c>
      <c r="W35" s="510"/>
      <c r="X35" s="510"/>
      <c r="Y35" s="510"/>
      <c r="Z35" s="510"/>
      <c r="AA35" s="510"/>
      <c r="AB35" s="510"/>
      <c r="AC35" s="510"/>
      <c r="AD35" s="510"/>
      <c r="AE35" s="510"/>
      <c r="AF35" s="1110"/>
      <c r="AG35" s="1111"/>
      <c r="AH35" s="1059"/>
      <c r="AI35" s="1120"/>
      <c r="AJ35" s="1059"/>
      <c r="AK35" s="1059"/>
      <c r="AL35" s="1059"/>
      <c r="AM35" s="1059"/>
      <c r="AN35" s="1114"/>
      <c r="AO35" s="1114"/>
      <c r="AP35" s="1114"/>
      <c r="AQ35" s="1059"/>
      <c r="AR35" s="1059"/>
      <c r="AS35" s="1059"/>
      <c r="AT35" s="1059"/>
      <c r="AU35" s="1059"/>
      <c r="AV35" s="1059"/>
      <c r="AW35" s="1059"/>
      <c r="AX35" s="1059"/>
      <c r="AY35" s="1059"/>
      <c r="BB35" s="609">
        <f t="shared" si="1"/>
        <v>4.1774287819862366E-4</v>
      </c>
      <c r="BC35" s="610">
        <f>U35-V35</f>
        <v>51971.358959890436</v>
      </c>
      <c r="BD35" s="610">
        <f t="shared" si="3"/>
        <v>51971.358959890436</v>
      </c>
    </row>
    <row r="36" spans="1:56" ht="18" x14ac:dyDescent="0.25">
      <c r="A36" s="1107"/>
      <c r="B36" s="1107"/>
      <c r="C36" s="1109"/>
      <c r="D36" s="502" t="s">
        <v>42</v>
      </c>
      <c r="E36" s="585">
        <v>0</v>
      </c>
      <c r="F36" s="585">
        <v>0</v>
      </c>
      <c r="G36" s="778">
        <v>0</v>
      </c>
      <c r="H36" s="779">
        <v>0</v>
      </c>
      <c r="I36" s="779">
        <v>0</v>
      </c>
      <c r="J36" s="779"/>
      <c r="K36" s="779"/>
      <c r="L36" s="779"/>
      <c r="M36" s="779"/>
      <c r="N36" s="779"/>
      <c r="O36" s="779"/>
      <c r="P36" s="779"/>
      <c r="Q36" s="779"/>
      <c r="R36" s="779"/>
      <c r="S36" s="782"/>
      <c r="T36" s="782">
        <v>0</v>
      </c>
      <c r="U36" s="783">
        <v>0</v>
      </c>
      <c r="V36" s="783">
        <v>0</v>
      </c>
      <c r="W36" s="783"/>
      <c r="X36" s="783"/>
      <c r="Y36" s="783"/>
      <c r="Z36" s="783"/>
      <c r="AA36" s="783"/>
      <c r="AB36" s="783"/>
      <c r="AC36" s="783"/>
      <c r="AD36" s="783"/>
      <c r="AE36" s="783"/>
      <c r="AF36" s="1110"/>
      <c r="AG36" s="1111"/>
      <c r="AH36" s="1059"/>
      <c r="AI36" s="1120"/>
      <c r="AJ36" s="1059"/>
      <c r="AK36" s="1059"/>
      <c r="AL36" s="1059"/>
      <c r="AM36" s="1059"/>
      <c r="AN36" s="1114"/>
      <c r="AO36" s="1114"/>
      <c r="AP36" s="1114"/>
      <c r="AQ36" s="1059"/>
      <c r="AR36" s="1059"/>
      <c r="AS36" s="1059"/>
      <c r="AT36" s="1059"/>
      <c r="AU36" s="1059"/>
      <c r="AV36" s="1059"/>
      <c r="AW36" s="1059"/>
      <c r="AX36" s="1059"/>
      <c r="AY36" s="1059"/>
      <c r="BB36" s="609">
        <f t="shared" si="1"/>
        <v>0</v>
      </c>
      <c r="BC36" s="610">
        <f t="shared" si="2"/>
        <v>0</v>
      </c>
      <c r="BD36" s="610">
        <f t="shared" si="3"/>
        <v>0</v>
      </c>
    </row>
    <row r="37" spans="1:56" ht="18" x14ac:dyDescent="0.25">
      <c r="A37" s="1107"/>
      <c r="B37" s="1107"/>
      <c r="C37" s="1109"/>
      <c r="D37" s="503" t="s">
        <v>4</v>
      </c>
      <c r="E37" s="585">
        <v>830944.97879698325</v>
      </c>
      <c r="F37" s="585">
        <v>830944.97879698325</v>
      </c>
      <c r="G37" s="778">
        <v>830944.97879698325</v>
      </c>
      <c r="H37" s="779">
        <v>830944.97879698325</v>
      </c>
      <c r="I37" s="779">
        <v>830944.97879698325</v>
      </c>
      <c r="J37" s="779"/>
      <c r="K37" s="779"/>
      <c r="L37" s="779"/>
      <c r="M37" s="779"/>
      <c r="N37" s="779"/>
      <c r="O37" s="779"/>
      <c r="P37" s="779"/>
      <c r="Q37" s="779"/>
      <c r="R37" s="779"/>
      <c r="S37" s="782"/>
      <c r="T37" s="509">
        <v>830944.97879698325</v>
      </c>
      <c r="U37" s="783">
        <v>830944.97879698325</v>
      </c>
      <c r="V37" s="783">
        <v>830944.97879698325</v>
      </c>
      <c r="W37" s="783"/>
      <c r="X37" s="783"/>
      <c r="Y37" s="783"/>
      <c r="Z37" s="783"/>
      <c r="AA37" s="783"/>
      <c r="AB37" s="783"/>
      <c r="AC37" s="783"/>
      <c r="AD37" s="783"/>
      <c r="AE37" s="783"/>
      <c r="AF37" s="1110"/>
      <c r="AG37" s="1111"/>
      <c r="AH37" s="1059"/>
      <c r="AI37" s="1120"/>
      <c r="AJ37" s="1059"/>
      <c r="AK37" s="1059"/>
      <c r="AL37" s="1059"/>
      <c r="AM37" s="1059"/>
      <c r="AN37" s="1114"/>
      <c r="AO37" s="1114"/>
      <c r="AP37" s="1114"/>
      <c r="AQ37" s="1059"/>
      <c r="AR37" s="1059"/>
      <c r="AS37" s="1059"/>
      <c r="AT37" s="1059"/>
      <c r="AU37" s="1059"/>
      <c r="AV37" s="1059"/>
      <c r="AW37" s="1059"/>
      <c r="AX37" s="1059"/>
      <c r="AY37" s="1059"/>
      <c r="BB37" s="609">
        <f t="shared" si="1"/>
        <v>0</v>
      </c>
      <c r="BC37" s="610">
        <f t="shared" si="2"/>
        <v>0</v>
      </c>
      <c r="BD37" s="610">
        <f t="shared" si="3"/>
        <v>0</v>
      </c>
    </row>
    <row r="38" spans="1:56" ht="18" x14ac:dyDescent="0.25">
      <c r="A38" s="1107"/>
      <c r="B38" s="1107"/>
      <c r="C38" s="1109"/>
      <c r="D38" s="502" t="s">
        <v>43</v>
      </c>
      <c r="E38" s="585">
        <f t="shared" ref="E38:F38" si="35">E34+E36</f>
        <v>0.05</v>
      </c>
      <c r="F38" s="585">
        <f t="shared" si="35"/>
        <v>0.05</v>
      </c>
      <c r="G38" s="778">
        <f t="shared" ref="G38:I39" si="36">G34+G36</f>
        <v>0.05</v>
      </c>
      <c r="H38" s="779">
        <f t="shared" si="36"/>
        <v>0.05</v>
      </c>
      <c r="I38" s="779">
        <f t="shared" si="36"/>
        <v>0.05</v>
      </c>
      <c r="J38" s="779"/>
      <c r="K38" s="779"/>
      <c r="L38" s="779"/>
      <c r="M38" s="779"/>
      <c r="N38" s="779"/>
      <c r="O38" s="779"/>
      <c r="P38" s="779"/>
      <c r="Q38" s="779"/>
      <c r="R38" s="779"/>
      <c r="S38" s="782"/>
      <c r="T38" s="782">
        <f t="shared" ref="T38:T39" si="37">T34+T36</f>
        <v>3.7499999999999999E-3</v>
      </c>
      <c r="U38" s="784">
        <f t="shared" ref="U38" si="38">U34+U36</f>
        <v>1.15E-2</v>
      </c>
      <c r="V38" s="784">
        <f t="shared" ref="V38" si="39">V34+V36</f>
        <v>2.3E-2</v>
      </c>
      <c r="W38" s="783"/>
      <c r="X38" s="783"/>
      <c r="Y38" s="783"/>
      <c r="Z38" s="783"/>
      <c r="AA38" s="783"/>
      <c r="AB38" s="783"/>
      <c r="AC38" s="783"/>
      <c r="AD38" s="783"/>
      <c r="AE38" s="783"/>
      <c r="AF38" s="1110"/>
      <c r="AG38" s="1111"/>
      <c r="AH38" s="1059"/>
      <c r="AI38" s="1120"/>
      <c r="AJ38" s="1059"/>
      <c r="AK38" s="1059"/>
      <c r="AL38" s="1059"/>
      <c r="AM38" s="1059"/>
      <c r="AN38" s="1114"/>
      <c r="AO38" s="1114"/>
      <c r="AP38" s="1114"/>
      <c r="AQ38" s="1059"/>
      <c r="AR38" s="1059"/>
      <c r="AS38" s="1059"/>
      <c r="AT38" s="1059"/>
      <c r="AU38" s="1059"/>
      <c r="AV38" s="1059"/>
      <c r="AW38" s="1059"/>
      <c r="AX38" s="1059"/>
      <c r="AY38" s="1059"/>
      <c r="BB38" s="609">
        <f t="shared" si="1"/>
        <v>-2.7000000000000003E-2</v>
      </c>
      <c r="BC38" s="610">
        <f t="shared" si="2"/>
        <v>-1.15E-2</v>
      </c>
      <c r="BD38" s="610">
        <f t="shared" si="3"/>
        <v>-1.15E-2</v>
      </c>
    </row>
    <row r="39" spans="1:56" ht="27" x14ac:dyDescent="0.25">
      <c r="A39" s="1107"/>
      <c r="B39" s="1107"/>
      <c r="C39" s="1109"/>
      <c r="D39" s="503" t="s">
        <v>45</v>
      </c>
      <c r="E39" s="585">
        <f t="shared" ref="E39:F39" si="40">E35+E37</f>
        <v>846231.42276985582</v>
      </c>
      <c r="F39" s="585">
        <f t="shared" si="40"/>
        <v>846231.42276985582</v>
      </c>
      <c r="G39" s="778">
        <f t="shared" si="36"/>
        <v>846231.42276985582</v>
      </c>
      <c r="H39" s="779">
        <f t="shared" si="36"/>
        <v>4229370.6581746163</v>
      </c>
      <c r="I39" s="779">
        <f t="shared" si="36"/>
        <v>4177399.298796983</v>
      </c>
      <c r="J39" s="779"/>
      <c r="K39" s="779"/>
      <c r="L39" s="779"/>
      <c r="M39" s="779"/>
      <c r="N39" s="779"/>
      <c r="O39" s="779"/>
      <c r="P39" s="779"/>
      <c r="Q39" s="779"/>
      <c r="R39" s="779"/>
      <c r="S39" s="785"/>
      <c r="T39" s="509">
        <f t="shared" si="37"/>
        <v>846231.42276985582</v>
      </c>
      <c r="U39" s="779">
        <f t="shared" ref="U39" si="41">U35+U37</f>
        <v>4229370.6581746163</v>
      </c>
      <c r="V39" s="783">
        <f t="shared" ref="V39" si="42">V35+V37</f>
        <v>4177399.2992147258</v>
      </c>
      <c r="W39" s="779"/>
      <c r="X39" s="779"/>
      <c r="Y39" s="779"/>
      <c r="Z39" s="779"/>
      <c r="AA39" s="779"/>
      <c r="AB39" s="779"/>
      <c r="AC39" s="779"/>
      <c r="AD39" s="779"/>
      <c r="AE39" s="779"/>
      <c r="AF39" s="1110"/>
      <c r="AG39" s="1111"/>
      <c r="AH39" s="1059"/>
      <c r="AI39" s="1121"/>
      <c r="AJ39" s="1059"/>
      <c r="AK39" s="1059"/>
      <c r="AL39" s="1059"/>
      <c r="AM39" s="1059"/>
      <c r="AN39" s="1114"/>
      <c r="AO39" s="1114"/>
      <c r="AP39" s="1114"/>
      <c r="AQ39" s="1059"/>
      <c r="AR39" s="1059"/>
      <c r="AS39" s="1059"/>
      <c r="AT39" s="1059"/>
      <c r="AU39" s="1059"/>
      <c r="AV39" s="1059"/>
      <c r="AW39" s="1059"/>
      <c r="AX39" s="1059"/>
      <c r="AY39" s="1059"/>
      <c r="BB39" s="609">
        <f t="shared" si="1"/>
        <v>4.1774287819862366E-4</v>
      </c>
      <c r="BC39" s="610">
        <f t="shared" si="2"/>
        <v>51971.358959890436</v>
      </c>
      <c r="BD39" s="610">
        <f t="shared" si="3"/>
        <v>51971.358959890436</v>
      </c>
    </row>
    <row r="40" spans="1:56" ht="18" customHeight="1" x14ac:dyDescent="0.25">
      <c r="A40" s="1107"/>
      <c r="B40" s="1107"/>
      <c r="C40" s="1109" t="s">
        <v>502</v>
      </c>
      <c r="D40" s="504" t="s">
        <v>41</v>
      </c>
      <c r="E40" s="585">
        <v>0.05</v>
      </c>
      <c r="F40" s="585">
        <v>0.05</v>
      </c>
      <c r="G40" s="778">
        <v>0.05</v>
      </c>
      <c r="H40" s="779">
        <f>1/20</f>
        <v>0.05</v>
      </c>
      <c r="I40" s="779">
        <f>1/20</f>
        <v>0.05</v>
      </c>
      <c r="J40" s="779"/>
      <c r="K40" s="779"/>
      <c r="L40" s="779"/>
      <c r="M40" s="779"/>
      <c r="N40" s="779"/>
      <c r="O40" s="779"/>
      <c r="P40" s="779"/>
      <c r="Q40" s="779"/>
      <c r="R40" s="779"/>
      <c r="S40" s="780"/>
      <c r="T40" s="781">
        <v>3.7499999999999999E-3</v>
      </c>
      <c r="U40" s="781">
        <v>1.15E-2</v>
      </c>
      <c r="V40" s="781">
        <f>0.46/20</f>
        <v>2.3E-2</v>
      </c>
      <c r="W40" s="781"/>
      <c r="X40" s="781"/>
      <c r="Y40" s="781"/>
      <c r="Z40" s="781"/>
      <c r="AA40" s="781"/>
      <c r="AB40" s="781"/>
      <c r="AC40" s="781"/>
      <c r="AD40" s="781"/>
      <c r="AE40" s="781"/>
      <c r="AF40" s="1110" t="s">
        <v>742</v>
      </c>
      <c r="AG40" s="1111" t="s">
        <v>437</v>
      </c>
      <c r="AH40" s="1059" t="s">
        <v>676</v>
      </c>
      <c r="AI40" s="1059" t="s">
        <v>718</v>
      </c>
      <c r="AJ40" s="1059" t="s">
        <v>713</v>
      </c>
      <c r="AK40" s="1059" t="s">
        <v>435</v>
      </c>
      <c r="AL40" s="1059">
        <v>6</v>
      </c>
      <c r="AM40" s="1059" t="s">
        <v>71</v>
      </c>
      <c r="AN40" s="1114">
        <f>SUM(AO40:AP45)</f>
        <v>184492</v>
      </c>
      <c r="AO40" s="1114">
        <v>91914</v>
      </c>
      <c r="AP40" s="1114">
        <v>92578</v>
      </c>
      <c r="AQ40" s="1059" t="s">
        <v>71</v>
      </c>
      <c r="AR40" s="1059" t="s">
        <v>71</v>
      </c>
      <c r="AS40" s="1059" t="s">
        <v>71</v>
      </c>
      <c r="AT40" s="1059" t="s">
        <v>71</v>
      </c>
      <c r="AU40" s="1059" t="s">
        <v>71</v>
      </c>
      <c r="AV40" s="1059" t="s">
        <v>71</v>
      </c>
      <c r="AW40" s="1059" t="s">
        <v>71</v>
      </c>
      <c r="AX40" s="1059" t="s">
        <v>71</v>
      </c>
      <c r="AY40" s="1059"/>
      <c r="BB40" s="609">
        <f t="shared" si="1"/>
        <v>-2.7000000000000003E-2</v>
      </c>
      <c r="BC40" s="610">
        <f t="shared" si="2"/>
        <v>-1.15E-2</v>
      </c>
      <c r="BD40" s="610">
        <f t="shared" si="3"/>
        <v>-1.15E-2</v>
      </c>
    </row>
    <row r="41" spans="1:56" ht="18" x14ac:dyDescent="0.25">
      <c r="A41" s="1107"/>
      <c r="B41" s="1107"/>
      <c r="C41" s="1109"/>
      <c r="D41" s="503" t="s">
        <v>3</v>
      </c>
      <c r="E41" s="585">
        <v>66654.77512325233</v>
      </c>
      <c r="F41" s="585">
        <v>66654.77512325233</v>
      </c>
      <c r="G41" s="778">
        <v>66654.77512325233</v>
      </c>
      <c r="H41" s="779">
        <v>23644642.966294996</v>
      </c>
      <c r="I41" s="779">
        <v>23283050.800000001</v>
      </c>
      <c r="J41" s="779"/>
      <c r="K41" s="779"/>
      <c r="L41" s="779"/>
      <c r="M41" s="779"/>
      <c r="N41" s="779"/>
      <c r="O41" s="779"/>
      <c r="P41" s="779"/>
      <c r="Q41" s="779"/>
      <c r="R41" s="779"/>
      <c r="S41" s="509"/>
      <c r="T41" s="509">
        <v>66654.77512325233</v>
      </c>
      <c r="U41" s="510">
        <v>23644642.966294996</v>
      </c>
      <c r="V41" s="786">
        <v>23283050.763606366</v>
      </c>
      <c r="W41" s="510"/>
      <c r="X41" s="510"/>
      <c r="Y41" s="510"/>
      <c r="Z41" s="510"/>
      <c r="AA41" s="510"/>
      <c r="AB41" s="510"/>
      <c r="AC41" s="510"/>
      <c r="AD41" s="510"/>
      <c r="AE41" s="510"/>
      <c r="AF41" s="1110"/>
      <c r="AG41" s="1111"/>
      <c r="AH41" s="1059"/>
      <c r="AI41" s="1059"/>
      <c r="AJ41" s="1059"/>
      <c r="AK41" s="1059"/>
      <c r="AL41" s="1059"/>
      <c r="AM41" s="1059"/>
      <c r="AN41" s="1114"/>
      <c r="AO41" s="1114"/>
      <c r="AP41" s="1114"/>
      <c r="AQ41" s="1059"/>
      <c r="AR41" s="1059"/>
      <c r="AS41" s="1059"/>
      <c r="AT41" s="1059"/>
      <c r="AU41" s="1059"/>
      <c r="AV41" s="1059"/>
      <c r="AW41" s="1059"/>
      <c r="AX41" s="1059"/>
      <c r="AY41" s="1059"/>
      <c r="BB41" s="609">
        <f t="shared" si="1"/>
        <v>-3.6393634974956512E-2</v>
      </c>
      <c r="BC41" s="610">
        <f t="shared" si="2"/>
        <v>361592.20268863067</v>
      </c>
      <c r="BD41" s="610">
        <f t="shared" si="3"/>
        <v>361592.20268863067</v>
      </c>
    </row>
    <row r="42" spans="1:56" ht="18" x14ac:dyDescent="0.25">
      <c r="A42" s="1107"/>
      <c r="B42" s="1107"/>
      <c r="C42" s="1109"/>
      <c r="D42" s="502" t="s">
        <v>42</v>
      </c>
      <c r="E42" s="585">
        <v>0</v>
      </c>
      <c r="F42" s="585">
        <v>0</v>
      </c>
      <c r="G42" s="778">
        <v>0</v>
      </c>
      <c r="H42" s="779">
        <v>0</v>
      </c>
      <c r="I42" s="779">
        <v>0</v>
      </c>
      <c r="J42" s="779"/>
      <c r="K42" s="779"/>
      <c r="L42" s="779"/>
      <c r="M42" s="779"/>
      <c r="N42" s="779"/>
      <c r="O42" s="779"/>
      <c r="P42" s="779"/>
      <c r="Q42" s="779"/>
      <c r="R42" s="779"/>
      <c r="S42" s="782"/>
      <c r="T42" s="782">
        <v>0</v>
      </c>
      <c r="U42" s="783">
        <v>0</v>
      </c>
      <c r="V42" s="783">
        <v>0</v>
      </c>
      <c r="W42" s="783"/>
      <c r="X42" s="783"/>
      <c r="Y42" s="783"/>
      <c r="Z42" s="783"/>
      <c r="AA42" s="783"/>
      <c r="AB42" s="783"/>
      <c r="AC42" s="783"/>
      <c r="AD42" s="783"/>
      <c r="AE42" s="783"/>
      <c r="AF42" s="1110"/>
      <c r="AG42" s="1111"/>
      <c r="AH42" s="1059"/>
      <c r="AI42" s="1059"/>
      <c r="AJ42" s="1059"/>
      <c r="AK42" s="1059"/>
      <c r="AL42" s="1059"/>
      <c r="AM42" s="1059"/>
      <c r="AN42" s="1114"/>
      <c r="AO42" s="1114"/>
      <c r="AP42" s="1114"/>
      <c r="AQ42" s="1059"/>
      <c r="AR42" s="1059"/>
      <c r="AS42" s="1059"/>
      <c r="AT42" s="1059"/>
      <c r="AU42" s="1059"/>
      <c r="AV42" s="1059"/>
      <c r="AW42" s="1059"/>
      <c r="AX42" s="1059"/>
      <c r="AY42" s="1059"/>
      <c r="BB42" s="609">
        <f t="shared" si="1"/>
        <v>0</v>
      </c>
      <c r="BC42" s="610">
        <f t="shared" si="2"/>
        <v>0</v>
      </c>
      <c r="BD42" s="610">
        <f t="shared" si="3"/>
        <v>0</v>
      </c>
    </row>
    <row r="43" spans="1:56" ht="18" x14ac:dyDescent="0.25">
      <c r="A43" s="1107"/>
      <c r="B43" s="1107"/>
      <c r="C43" s="1109"/>
      <c r="D43" s="503" t="s">
        <v>4</v>
      </c>
      <c r="E43" s="585">
        <v>5286803.7243470261</v>
      </c>
      <c r="F43" s="585">
        <v>5286803.7243470261</v>
      </c>
      <c r="G43" s="778">
        <v>5286803.7243470261</v>
      </c>
      <c r="H43" s="779">
        <v>5286803.7243470261</v>
      </c>
      <c r="I43" s="779">
        <v>5286803.7243470261</v>
      </c>
      <c r="J43" s="779"/>
      <c r="K43" s="779"/>
      <c r="L43" s="779"/>
      <c r="M43" s="779"/>
      <c r="N43" s="779"/>
      <c r="O43" s="779"/>
      <c r="P43" s="779"/>
      <c r="Q43" s="779"/>
      <c r="R43" s="779"/>
      <c r="S43" s="782"/>
      <c r="T43" s="509">
        <v>5286803.7243470261</v>
      </c>
      <c r="U43" s="783">
        <v>5286803.7243470261</v>
      </c>
      <c r="V43" s="783">
        <v>5286803.7243470261</v>
      </c>
      <c r="W43" s="783"/>
      <c r="X43" s="783"/>
      <c r="Y43" s="783"/>
      <c r="Z43" s="783"/>
      <c r="AA43" s="783"/>
      <c r="AB43" s="783"/>
      <c r="AC43" s="783"/>
      <c r="AD43" s="783"/>
      <c r="AE43" s="783"/>
      <c r="AF43" s="1110"/>
      <c r="AG43" s="1111"/>
      <c r="AH43" s="1059"/>
      <c r="AI43" s="1059"/>
      <c r="AJ43" s="1059"/>
      <c r="AK43" s="1059"/>
      <c r="AL43" s="1059"/>
      <c r="AM43" s="1059"/>
      <c r="AN43" s="1114"/>
      <c r="AO43" s="1114"/>
      <c r="AP43" s="1114"/>
      <c r="AQ43" s="1059"/>
      <c r="AR43" s="1059"/>
      <c r="AS43" s="1059"/>
      <c r="AT43" s="1059"/>
      <c r="AU43" s="1059"/>
      <c r="AV43" s="1059"/>
      <c r="AW43" s="1059"/>
      <c r="AX43" s="1059"/>
      <c r="AY43" s="1059"/>
      <c r="BB43" s="609">
        <f t="shared" si="1"/>
        <v>0</v>
      </c>
      <c r="BC43" s="610">
        <f t="shared" si="2"/>
        <v>0</v>
      </c>
      <c r="BD43" s="610">
        <f t="shared" si="3"/>
        <v>0</v>
      </c>
    </row>
    <row r="44" spans="1:56" ht="18" x14ac:dyDescent="0.25">
      <c r="A44" s="1107"/>
      <c r="B44" s="1107"/>
      <c r="C44" s="1109"/>
      <c r="D44" s="502" t="s">
        <v>43</v>
      </c>
      <c r="E44" s="585">
        <f t="shared" ref="E44:F44" si="43">E40+E42</f>
        <v>0.05</v>
      </c>
      <c r="F44" s="585">
        <f t="shared" si="43"/>
        <v>0.05</v>
      </c>
      <c r="G44" s="778">
        <f t="shared" ref="G44:I45" si="44">G40+G42</f>
        <v>0.05</v>
      </c>
      <c r="H44" s="779">
        <f t="shared" si="44"/>
        <v>0.05</v>
      </c>
      <c r="I44" s="779">
        <f t="shared" si="44"/>
        <v>0.05</v>
      </c>
      <c r="J44" s="779"/>
      <c r="K44" s="779"/>
      <c r="L44" s="779"/>
      <c r="M44" s="779"/>
      <c r="N44" s="779"/>
      <c r="O44" s="779"/>
      <c r="P44" s="779"/>
      <c r="Q44" s="779"/>
      <c r="R44" s="779"/>
      <c r="S44" s="782"/>
      <c r="T44" s="782">
        <f t="shared" ref="T44:T45" si="45">T40+T42</f>
        <v>3.7499999999999999E-3</v>
      </c>
      <c r="U44" s="784">
        <f t="shared" ref="U44" si="46">U40+U42</f>
        <v>1.15E-2</v>
      </c>
      <c r="V44" s="784">
        <f t="shared" ref="V44" si="47">V40+V42</f>
        <v>2.3E-2</v>
      </c>
      <c r="W44" s="783"/>
      <c r="X44" s="783"/>
      <c r="Y44" s="783"/>
      <c r="Z44" s="783"/>
      <c r="AA44" s="783"/>
      <c r="AB44" s="783"/>
      <c r="AC44" s="783"/>
      <c r="AD44" s="783"/>
      <c r="AE44" s="783"/>
      <c r="AF44" s="1110"/>
      <c r="AG44" s="1111"/>
      <c r="AH44" s="1059"/>
      <c r="AI44" s="1059"/>
      <c r="AJ44" s="1059"/>
      <c r="AK44" s="1059"/>
      <c r="AL44" s="1059"/>
      <c r="AM44" s="1059"/>
      <c r="AN44" s="1114"/>
      <c r="AO44" s="1114"/>
      <c r="AP44" s="1114"/>
      <c r="AQ44" s="1059"/>
      <c r="AR44" s="1059"/>
      <c r="AS44" s="1059"/>
      <c r="AT44" s="1059"/>
      <c r="AU44" s="1059"/>
      <c r="AV44" s="1059"/>
      <c r="AW44" s="1059"/>
      <c r="AX44" s="1059"/>
      <c r="AY44" s="1059"/>
      <c r="BB44" s="609">
        <f t="shared" si="1"/>
        <v>-2.7000000000000003E-2</v>
      </c>
      <c r="BC44" s="610">
        <f t="shared" si="2"/>
        <v>-1.15E-2</v>
      </c>
      <c r="BD44" s="610">
        <f t="shared" si="3"/>
        <v>-1.15E-2</v>
      </c>
    </row>
    <row r="45" spans="1:56" ht="27" x14ac:dyDescent="0.25">
      <c r="A45" s="1107"/>
      <c r="B45" s="1107"/>
      <c r="C45" s="1109"/>
      <c r="D45" s="503" t="s">
        <v>45</v>
      </c>
      <c r="E45" s="585">
        <f t="shared" ref="E45:F45" si="48">E41+E43</f>
        <v>5353458.4994702786</v>
      </c>
      <c r="F45" s="585">
        <f t="shared" si="48"/>
        <v>5353458.4994702786</v>
      </c>
      <c r="G45" s="778">
        <f t="shared" si="44"/>
        <v>5353458.4994702786</v>
      </c>
      <c r="H45" s="779">
        <f t="shared" si="44"/>
        <v>28931446.690642022</v>
      </c>
      <c r="I45" s="779">
        <f t="shared" si="44"/>
        <v>28569854.524347026</v>
      </c>
      <c r="J45" s="779"/>
      <c r="K45" s="779"/>
      <c r="L45" s="779"/>
      <c r="M45" s="779"/>
      <c r="N45" s="779"/>
      <c r="O45" s="779"/>
      <c r="P45" s="779"/>
      <c r="Q45" s="779"/>
      <c r="R45" s="779"/>
      <c r="S45" s="785"/>
      <c r="T45" s="509">
        <f t="shared" si="45"/>
        <v>5353458.4994702786</v>
      </c>
      <c r="U45" s="779">
        <f t="shared" ref="U45" si="49">U41+U43</f>
        <v>28931446.690642022</v>
      </c>
      <c r="V45" s="783">
        <f t="shared" ref="V45" si="50">V41+V43</f>
        <v>28569854.487953391</v>
      </c>
      <c r="W45" s="779"/>
      <c r="X45" s="779"/>
      <c r="Y45" s="779"/>
      <c r="Z45" s="779"/>
      <c r="AA45" s="779"/>
      <c r="AB45" s="779"/>
      <c r="AC45" s="779"/>
      <c r="AD45" s="779"/>
      <c r="AE45" s="779"/>
      <c r="AF45" s="1110"/>
      <c r="AG45" s="1111"/>
      <c r="AH45" s="1059"/>
      <c r="AI45" s="1059"/>
      <c r="AJ45" s="1059"/>
      <c r="AK45" s="1059"/>
      <c r="AL45" s="1059"/>
      <c r="AM45" s="1059"/>
      <c r="AN45" s="1114"/>
      <c r="AO45" s="1114"/>
      <c r="AP45" s="1114"/>
      <c r="AQ45" s="1059"/>
      <c r="AR45" s="1059"/>
      <c r="AS45" s="1059"/>
      <c r="AT45" s="1059"/>
      <c r="AU45" s="1059"/>
      <c r="AV45" s="1059"/>
      <c r="AW45" s="1059"/>
      <c r="AX45" s="1059"/>
      <c r="AY45" s="1059"/>
      <c r="BB45" s="609">
        <f t="shared" si="1"/>
        <v>-3.6393634974956512E-2</v>
      </c>
      <c r="BC45" s="610">
        <f t="shared" si="2"/>
        <v>361592.20268863067</v>
      </c>
      <c r="BD45" s="610">
        <f t="shared" si="3"/>
        <v>361592.20268863067</v>
      </c>
    </row>
    <row r="46" spans="1:56" ht="18" customHeight="1" x14ac:dyDescent="0.25">
      <c r="A46" s="1107"/>
      <c r="B46" s="1107"/>
      <c r="C46" s="1109" t="s">
        <v>503</v>
      </c>
      <c r="D46" s="504" t="s">
        <v>41</v>
      </c>
      <c r="E46" s="585">
        <v>0.05</v>
      </c>
      <c r="F46" s="585">
        <v>0.05</v>
      </c>
      <c r="G46" s="778">
        <v>0.05</v>
      </c>
      <c r="H46" s="779">
        <f>1/20</f>
        <v>0.05</v>
      </c>
      <c r="I46" s="779">
        <f>1/20</f>
        <v>0.05</v>
      </c>
      <c r="J46" s="779"/>
      <c r="K46" s="779"/>
      <c r="L46" s="779"/>
      <c r="M46" s="779"/>
      <c r="N46" s="779"/>
      <c r="O46" s="779"/>
      <c r="P46" s="779"/>
      <c r="Q46" s="779"/>
      <c r="R46" s="779"/>
      <c r="S46" s="780"/>
      <c r="T46" s="780">
        <v>3.7499999999999999E-3</v>
      </c>
      <c r="U46" s="781">
        <v>1.15E-2</v>
      </c>
      <c r="V46" s="781">
        <f>0.46/20</f>
        <v>2.3E-2</v>
      </c>
      <c r="W46" s="781"/>
      <c r="X46" s="781"/>
      <c r="Y46" s="781"/>
      <c r="Z46" s="781"/>
      <c r="AA46" s="781"/>
      <c r="AB46" s="781"/>
      <c r="AC46" s="781"/>
      <c r="AD46" s="781"/>
      <c r="AE46" s="781"/>
      <c r="AF46" s="1110" t="s">
        <v>743</v>
      </c>
      <c r="AG46" s="1111" t="s">
        <v>440</v>
      </c>
      <c r="AH46" s="1059" t="s">
        <v>660</v>
      </c>
      <c r="AI46" s="1059" t="s">
        <v>661</v>
      </c>
      <c r="AJ46" s="1059" t="s">
        <v>713</v>
      </c>
      <c r="AK46" s="1059" t="s">
        <v>435</v>
      </c>
      <c r="AL46" s="1059">
        <v>4</v>
      </c>
      <c r="AM46" s="1059" t="s">
        <v>71</v>
      </c>
      <c r="AN46" s="1114">
        <f>SUM(AO46:AP51)</f>
        <v>733740</v>
      </c>
      <c r="AO46" s="1114">
        <v>353078</v>
      </c>
      <c r="AP46" s="1114">
        <v>380662</v>
      </c>
      <c r="AQ46" s="1059" t="s">
        <v>71</v>
      </c>
      <c r="AR46" s="1059" t="s">
        <v>71</v>
      </c>
      <c r="AS46" s="1059" t="s">
        <v>71</v>
      </c>
      <c r="AT46" s="1059" t="s">
        <v>71</v>
      </c>
      <c r="AU46" s="1059" t="s">
        <v>71</v>
      </c>
      <c r="AV46" s="1059" t="s">
        <v>71</v>
      </c>
      <c r="AW46" s="1059" t="s">
        <v>71</v>
      </c>
      <c r="AX46" s="1059" t="s">
        <v>71</v>
      </c>
      <c r="AY46" s="1059"/>
      <c r="BB46" s="609">
        <f t="shared" si="1"/>
        <v>-2.7000000000000003E-2</v>
      </c>
      <c r="BC46" s="610">
        <f t="shared" si="2"/>
        <v>-1.15E-2</v>
      </c>
      <c r="BD46" s="610">
        <f t="shared" si="3"/>
        <v>-1.15E-2</v>
      </c>
    </row>
    <row r="47" spans="1:56" ht="18" x14ac:dyDescent="0.25">
      <c r="A47" s="1107"/>
      <c r="B47" s="1107"/>
      <c r="C47" s="1109"/>
      <c r="D47" s="503" t="s">
        <v>3</v>
      </c>
      <c r="E47" s="585">
        <v>23317.706460158661</v>
      </c>
      <c r="F47" s="585">
        <v>23317.706460158661</v>
      </c>
      <c r="G47" s="778">
        <v>23317.706460158661</v>
      </c>
      <c r="H47" s="779">
        <v>46841295.385455362</v>
      </c>
      <c r="I47" s="779">
        <v>57274175.399999999</v>
      </c>
      <c r="J47" s="779"/>
      <c r="K47" s="779"/>
      <c r="L47" s="779"/>
      <c r="M47" s="779"/>
      <c r="N47" s="779"/>
      <c r="O47" s="779"/>
      <c r="P47" s="779"/>
      <c r="Q47" s="779"/>
      <c r="R47" s="779"/>
      <c r="S47" s="509"/>
      <c r="T47" s="509">
        <v>23317.706460158661</v>
      </c>
      <c r="U47" s="510">
        <v>46841295.385455362</v>
      </c>
      <c r="V47" s="786">
        <v>57274175.406582184</v>
      </c>
      <c r="W47" s="510"/>
      <c r="X47" s="510"/>
      <c r="Y47" s="510"/>
      <c r="Z47" s="510"/>
      <c r="AA47" s="510"/>
      <c r="AB47" s="510"/>
      <c r="AC47" s="510"/>
      <c r="AD47" s="510"/>
      <c r="AE47" s="510"/>
      <c r="AF47" s="1110"/>
      <c r="AG47" s="1111"/>
      <c r="AH47" s="1059"/>
      <c r="AI47" s="1059"/>
      <c r="AJ47" s="1059"/>
      <c r="AK47" s="1059"/>
      <c r="AL47" s="1059"/>
      <c r="AM47" s="1059"/>
      <c r="AN47" s="1114"/>
      <c r="AO47" s="1114"/>
      <c r="AP47" s="1114"/>
      <c r="AQ47" s="1059"/>
      <c r="AR47" s="1059"/>
      <c r="AS47" s="1059"/>
      <c r="AT47" s="1059"/>
      <c r="AU47" s="1059"/>
      <c r="AV47" s="1059"/>
      <c r="AW47" s="1059"/>
      <c r="AX47" s="1059"/>
      <c r="AY47" s="1059"/>
      <c r="BB47" s="609">
        <f t="shared" si="1"/>
        <v>6.5821856260299683E-3</v>
      </c>
      <c r="BC47" s="610">
        <f t="shared" si="2"/>
        <v>-10432880.021126822</v>
      </c>
      <c r="BD47" s="610">
        <f t="shared" si="3"/>
        <v>-10432880.021126822</v>
      </c>
    </row>
    <row r="48" spans="1:56" ht="18" x14ac:dyDescent="0.25">
      <c r="A48" s="1107"/>
      <c r="B48" s="1107"/>
      <c r="C48" s="1109"/>
      <c r="D48" s="502" t="s">
        <v>42</v>
      </c>
      <c r="E48" s="585">
        <v>0</v>
      </c>
      <c r="F48" s="585">
        <v>0</v>
      </c>
      <c r="G48" s="778">
        <v>0</v>
      </c>
      <c r="H48" s="779">
        <v>0</v>
      </c>
      <c r="I48" s="779">
        <v>0</v>
      </c>
      <c r="J48" s="779"/>
      <c r="K48" s="779"/>
      <c r="L48" s="779"/>
      <c r="M48" s="779"/>
      <c r="N48" s="779"/>
      <c r="O48" s="779"/>
      <c r="P48" s="779"/>
      <c r="Q48" s="779"/>
      <c r="R48" s="779"/>
      <c r="S48" s="782"/>
      <c r="T48" s="782">
        <v>0</v>
      </c>
      <c r="U48" s="783">
        <v>0</v>
      </c>
      <c r="V48" s="783">
        <v>0</v>
      </c>
      <c r="W48" s="783"/>
      <c r="X48" s="783"/>
      <c r="Y48" s="783"/>
      <c r="Z48" s="783"/>
      <c r="AA48" s="783"/>
      <c r="AB48" s="783"/>
      <c r="AC48" s="783"/>
      <c r="AD48" s="783"/>
      <c r="AE48" s="783"/>
      <c r="AF48" s="1110"/>
      <c r="AG48" s="1111"/>
      <c r="AH48" s="1059"/>
      <c r="AI48" s="1059"/>
      <c r="AJ48" s="1059"/>
      <c r="AK48" s="1059"/>
      <c r="AL48" s="1059"/>
      <c r="AM48" s="1059"/>
      <c r="AN48" s="1114"/>
      <c r="AO48" s="1114"/>
      <c r="AP48" s="1114"/>
      <c r="AQ48" s="1059"/>
      <c r="AR48" s="1059"/>
      <c r="AS48" s="1059"/>
      <c r="AT48" s="1059"/>
      <c r="AU48" s="1059"/>
      <c r="AV48" s="1059"/>
      <c r="AW48" s="1059"/>
      <c r="AX48" s="1059"/>
      <c r="AY48" s="1059"/>
      <c r="BB48" s="609">
        <f t="shared" si="1"/>
        <v>0</v>
      </c>
      <c r="BC48" s="610">
        <f t="shared" si="2"/>
        <v>0</v>
      </c>
      <c r="BD48" s="610">
        <f t="shared" si="3"/>
        <v>0</v>
      </c>
    </row>
    <row r="49" spans="1:56" ht="18" x14ac:dyDescent="0.25">
      <c r="A49" s="1107"/>
      <c r="B49" s="1107"/>
      <c r="C49" s="1109"/>
      <c r="D49" s="503" t="s">
        <v>4</v>
      </c>
      <c r="E49" s="585">
        <v>1126535.3924770036</v>
      </c>
      <c r="F49" s="585">
        <v>1126535.3924770036</v>
      </c>
      <c r="G49" s="778">
        <v>1126535.3924770036</v>
      </c>
      <c r="H49" s="779">
        <v>1126535.3924770036</v>
      </c>
      <c r="I49" s="779">
        <v>1126535.3924770036</v>
      </c>
      <c r="J49" s="779"/>
      <c r="K49" s="779"/>
      <c r="L49" s="779"/>
      <c r="M49" s="779"/>
      <c r="N49" s="779"/>
      <c r="O49" s="779"/>
      <c r="P49" s="779"/>
      <c r="Q49" s="779"/>
      <c r="R49" s="779"/>
      <c r="S49" s="782"/>
      <c r="T49" s="509">
        <v>1126535.3924770036</v>
      </c>
      <c r="U49" s="783">
        <v>1126535.3924770036</v>
      </c>
      <c r="V49" s="783">
        <v>1126535.3924770036</v>
      </c>
      <c r="W49" s="783"/>
      <c r="X49" s="783"/>
      <c r="Y49" s="783"/>
      <c r="Z49" s="783"/>
      <c r="AA49" s="783"/>
      <c r="AB49" s="783"/>
      <c r="AC49" s="783"/>
      <c r="AD49" s="783"/>
      <c r="AE49" s="783"/>
      <c r="AF49" s="1110"/>
      <c r="AG49" s="1111"/>
      <c r="AH49" s="1059"/>
      <c r="AI49" s="1059"/>
      <c r="AJ49" s="1059"/>
      <c r="AK49" s="1059"/>
      <c r="AL49" s="1059"/>
      <c r="AM49" s="1059"/>
      <c r="AN49" s="1114"/>
      <c r="AO49" s="1114"/>
      <c r="AP49" s="1114"/>
      <c r="AQ49" s="1059"/>
      <c r="AR49" s="1059"/>
      <c r="AS49" s="1059"/>
      <c r="AT49" s="1059"/>
      <c r="AU49" s="1059"/>
      <c r="AV49" s="1059"/>
      <c r="AW49" s="1059"/>
      <c r="AX49" s="1059"/>
      <c r="AY49" s="1059"/>
      <c r="BB49" s="609">
        <f t="shared" si="1"/>
        <v>0</v>
      </c>
      <c r="BC49" s="610">
        <f t="shared" si="2"/>
        <v>0</v>
      </c>
      <c r="BD49" s="610">
        <f t="shared" si="3"/>
        <v>0</v>
      </c>
    </row>
    <row r="50" spans="1:56" ht="18" x14ac:dyDescent="0.25">
      <c r="A50" s="1107"/>
      <c r="B50" s="1107"/>
      <c r="C50" s="1109"/>
      <c r="D50" s="502" t="s">
        <v>43</v>
      </c>
      <c r="E50" s="585">
        <f t="shared" ref="E50:F50" si="51">E46+E48</f>
        <v>0.05</v>
      </c>
      <c r="F50" s="585">
        <f t="shared" si="51"/>
        <v>0.05</v>
      </c>
      <c r="G50" s="778">
        <f t="shared" ref="G50:I51" si="52">G46+G48</f>
        <v>0.05</v>
      </c>
      <c r="H50" s="779">
        <f t="shared" si="52"/>
        <v>0.05</v>
      </c>
      <c r="I50" s="779">
        <f t="shared" si="52"/>
        <v>0.05</v>
      </c>
      <c r="J50" s="779"/>
      <c r="K50" s="779"/>
      <c r="L50" s="779"/>
      <c r="M50" s="779"/>
      <c r="N50" s="779"/>
      <c r="O50" s="779"/>
      <c r="P50" s="779"/>
      <c r="Q50" s="779"/>
      <c r="R50" s="779"/>
      <c r="S50" s="782"/>
      <c r="T50" s="782">
        <f t="shared" ref="T50:T51" si="53">T46+T48</f>
        <v>3.7499999999999999E-3</v>
      </c>
      <c r="U50" s="783">
        <f t="shared" ref="U50" si="54">U46+U48</f>
        <v>1.15E-2</v>
      </c>
      <c r="V50" s="783">
        <f t="shared" ref="V50" si="55">V46+V48</f>
        <v>2.3E-2</v>
      </c>
      <c r="W50" s="783"/>
      <c r="X50" s="783"/>
      <c r="Y50" s="783"/>
      <c r="Z50" s="783"/>
      <c r="AA50" s="783"/>
      <c r="AB50" s="783"/>
      <c r="AC50" s="783"/>
      <c r="AD50" s="783"/>
      <c r="AE50" s="783"/>
      <c r="AF50" s="1110"/>
      <c r="AG50" s="1111"/>
      <c r="AH50" s="1059"/>
      <c r="AI50" s="1059"/>
      <c r="AJ50" s="1059"/>
      <c r="AK50" s="1059"/>
      <c r="AL50" s="1059"/>
      <c r="AM50" s="1059"/>
      <c r="AN50" s="1114"/>
      <c r="AO50" s="1114"/>
      <c r="AP50" s="1114"/>
      <c r="AQ50" s="1059"/>
      <c r="AR50" s="1059"/>
      <c r="AS50" s="1059"/>
      <c r="AT50" s="1059"/>
      <c r="AU50" s="1059"/>
      <c r="AV50" s="1059"/>
      <c r="AW50" s="1059"/>
      <c r="AX50" s="1059"/>
      <c r="AY50" s="1059"/>
      <c r="BB50" s="609">
        <f t="shared" si="1"/>
        <v>-2.7000000000000003E-2</v>
      </c>
      <c r="BC50" s="610">
        <f t="shared" si="2"/>
        <v>-1.15E-2</v>
      </c>
      <c r="BD50" s="610">
        <f t="shared" si="3"/>
        <v>-1.15E-2</v>
      </c>
    </row>
    <row r="51" spans="1:56" ht="27" x14ac:dyDescent="0.25">
      <c r="A51" s="1107"/>
      <c r="B51" s="1107"/>
      <c r="C51" s="1109"/>
      <c r="D51" s="503" t="s">
        <v>45</v>
      </c>
      <c r="E51" s="585">
        <f t="shared" ref="E51:F51" si="56">E47+E49</f>
        <v>1149853.0989371622</v>
      </c>
      <c r="F51" s="585">
        <f t="shared" si="56"/>
        <v>1149853.0989371622</v>
      </c>
      <c r="G51" s="778">
        <f t="shared" si="52"/>
        <v>1149853.0989371622</v>
      </c>
      <c r="H51" s="779">
        <f t="shared" si="52"/>
        <v>47967830.777932368</v>
      </c>
      <c r="I51" s="779">
        <f t="shared" si="52"/>
        <v>58400710.792477004</v>
      </c>
      <c r="J51" s="779"/>
      <c r="K51" s="779"/>
      <c r="L51" s="779"/>
      <c r="M51" s="779"/>
      <c r="N51" s="779"/>
      <c r="O51" s="779"/>
      <c r="P51" s="779"/>
      <c r="Q51" s="779"/>
      <c r="R51" s="779"/>
      <c r="S51" s="785"/>
      <c r="T51" s="509">
        <f t="shared" si="53"/>
        <v>1149853.0989371622</v>
      </c>
      <c r="U51" s="779">
        <f t="shared" ref="U51" si="57">U47+U49</f>
        <v>47967830.777932368</v>
      </c>
      <c r="V51" s="783">
        <f t="shared" ref="V51" si="58">V47+V49</f>
        <v>58400710.79905919</v>
      </c>
      <c r="W51" s="779"/>
      <c r="X51" s="779"/>
      <c r="Y51" s="779"/>
      <c r="Z51" s="779"/>
      <c r="AA51" s="779"/>
      <c r="AB51" s="779"/>
      <c r="AC51" s="779"/>
      <c r="AD51" s="779"/>
      <c r="AE51" s="779"/>
      <c r="AF51" s="1110"/>
      <c r="AG51" s="1111"/>
      <c r="AH51" s="1059"/>
      <c r="AI51" s="1059"/>
      <c r="AJ51" s="1059"/>
      <c r="AK51" s="1059"/>
      <c r="AL51" s="1059"/>
      <c r="AM51" s="1059"/>
      <c r="AN51" s="1114"/>
      <c r="AO51" s="1114"/>
      <c r="AP51" s="1114"/>
      <c r="AQ51" s="1059"/>
      <c r="AR51" s="1059"/>
      <c r="AS51" s="1059"/>
      <c r="AT51" s="1059"/>
      <c r="AU51" s="1059"/>
      <c r="AV51" s="1059"/>
      <c r="AW51" s="1059"/>
      <c r="AX51" s="1059"/>
      <c r="AY51" s="1059"/>
      <c r="BB51" s="609">
        <f t="shared" si="1"/>
        <v>6.5821856260299683E-3</v>
      </c>
      <c r="BC51" s="610">
        <f t="shared" si="2"/>
        <v>-10432880.021126822</v>
      </c>
      <c r="BD51" s="610">
        <f t="shared" si="3"/>
        <v>-10432880.021126822</v>
      </c>
    </row>
    <row r="52" spans="1:56" ht="18" customHeight="1" x14ac:dyDescent="0.25">
      <c r="A52" s="1107"/>
      <c r="B52" s="1107"/>
      <c r="C52" s="1109" t="s">
        <v>504</v>
      </c>
      <c r="D52" s="504" t="s">
        <v>41</v>
      </c>
      <c r="E52" s="585">
        <v>0.05</v>
      </c>
      <c r="F52" s="585">
        <v>0.05</v>
      </c>
      <c r="G52" s="778">
        <v>0.05</v>
      </c>
      <c r="H52" s="779">
        <f>1/20</f>
        <v>0.05</v>
      </c>
      <c r="I52" s="779">
        <f>1/20</f>
        <v>0.05</v>
      </c>
      <c r="J52" s="779"/>
      <c r="K52" s="779"/>
      <c r="L52" s="779"/>
      <c r="M52" s="779"/>
      <c r="N52" s="779"/>
      <c r="O52" s="779"/>
      <c r="P52" s="779"/>
      <c r="Q52" s="779"/>
      <c r="R52" s="779"/>
      <c r="S52" s="780"/>
      <c r="T52" s="780">
        <v>3.7499999999999999E-3</v>
      </c>
      <c r="U52" s="781">
        <f>0.23/20</f>
        <v>1.15E-2</v>
      </c>
      <c r="V52" s="781">
        <f>0.46/20</f>
        <v>2.3E-2</v>
      </c>
      <c r="W52" s="781"/>
      <c r="X52" s="781"/>
      <c r="Y52" s="781"/>
      <c r="Z52" s="781"/>
      <c r="AA52" s="781"/>
      <c r="AB52" s="781"/>
      <c r="AC52" s="781"/>
      <c r="AD52" s="781"/>
      <c r="AE52" s="781"/>
      <c r="AF52" s="1110" t="s">
        <v>744</v>
      </c>
      <c r="AG52" s="1111" t="s">
        <v>445</v>
      </c>
      <c r="AH52" s="1059" t="s">
        <v>677</v>
      </c>
      <c r="AI52" s="1059" t="s">
        <v>719</v>
      </c>
      <c r="AJ52" s="1059" t="s">
        <v>713</v>
      </c>
      <c r="AK52" s="1059" t="s">
        <v>435</v>
      </c>
      <c r="AL52" s="1059">
        <v>4</v>
      </c>
      <c r="AM52" s="1059" t="s">
        <v>71</v>
      </c>
      <c r="AN52" s="1114">
        <f t="shared" ref="AN52" si="59">SUM(AO52:AP57)</f>
        <v>1037929</v>
      </c>
      <c r="AO52" s="1114">
        <v>503962</v>
      </c>
      <c r="AP52" s="1114">
        <v>533967</v>
      </c>
      <c r="AQ52" s="1059" t="s">
        <v>71</v>
      </c>
      <c r="AR52" s="1059" t="s">
        <v>71</v>
      </c>
      <c r="AS52" s="1059" t="s">
        <v>71</v>
      </c>
      <c r="AT52" s="1059" t="s">
        <v>71</v>
      </c>
      <c r="AU52" s="1059" t="s">
        <v>71</v>
      </c>
      <c r="AV52" s="1059" t="s">
        <v>71</v>
      </c>
      <c r="AW52" s="1059" t="s">
        <v>71</v>
      </c>
      <c r="AX52" s="1059" t="s">
        <v>71</v>
      </c>
      <c r="AY52" s="1059"/>
      <c r="BB52" s="609">
        <f t="shared" si="1"/>
        <v>-2.7000000000000003E-2</v>
      </c>
      <c r="BC52" s="610">
        <f t="shared" si="2"/>
        <v>-1.15E-2</v>
      </c>
      <c r="BD52" s="610">
        <f t="shared" si="3"/>
        <v>-1.15E-2</v>
      </c>
    </row>
    <row r="53" spans="1:56" ht="18" x14ac:dyDescent="0.25">
      <c r="A53" s="1107"/>
      <c r="B53" s="1107"/>
      <c r="C53" s="1109"/>
      <c r="D53" s="503" t="s">
        <v>3</v>
      </c>
      <c r="E53" s="585">
        <v>365257.81992873346</v>
      </c>
      <c r="F53" s="585">
        <v>365257.81992873346</v>
      </c>
      <c r="G53" s="778">
        <v>365257.81992873346</v>
      </c>
      <c r="H53" s="779">
        <v>71703201.976706579</v>
      </c>
      <c r="I53" s="779">
        <v>195396206</v>
      </c>
      <c r="J53" s="779"/>
      <c r="K53" s="779"/>
      <c r="L53" s="779"/>
      <c r="M53" s="779"/>
      <c r="N53" s="779"/>
      <c r="O53" s="779"/>
      <c r="P53" s="779"/>
      <c r="Q53" s="779"/>
      <c r="R53" s="779"/>
      <c r="S53" s="509"/>
      <c r="T53" s="509">
        <v>365257.81992873346</v>
      </c>
      <c r="U53" s="510">
        <v>71703201.976706579</v>
      </c>
      <c r="V53" s="786">
        <v>195396206.13873827</v>
      </c>
      <c r="W53" s="510"/>
      <c r="X53" s="510"/>
      <c r="Y53" s="510"/>
      <c r="Z53" s="510"/>
      <c r="AA53" s="510"/>
      <c r="AB53" s="510"/>
      <c r="AC53" s="510"/>
      <c r="AD53" s="510"/>
      <c r="AE53" s="510"/>
      <c r="AF53" s="1110"/>
      <c r="AG53" s="1111"/>
      <c r="AH53" s="1059"/>
      <c r="AI53" s="1059"/>
      <c r="AJ53" s="1059"/>
      <c r="AK53" s="1059"/>
      <c r="AL53" s="1059"/>
      <c r="AM53" s="1059"/>
      <c r="AN53" s="1114"/>
      <c r="AO53" s="1114"/>
      <c r="AP53" s="1114"/>
      <c r="AQ53" s="1059"/>
      <c r="AR53" s="1059"/>
      <c r="AS53" s="1059"/>
      <c r="AT53" s="1059"/>
      <c r="AU53" s="1059"/>
      <c r="AV53" s="1059"/>
      <c r="AW53" s="1059"/>
      <c r="AX53" s="1059"/>
      <c r="AY53" s="1059"/>
      <c r="BB53" s="609">
        <f t="shared" si="1"/>
        <v>0.13873827457427979</v>
      </c>
      <c r="BC53" s="610">
        <f t="shared" si="2"/>
        <v>-123693004.1620317</v>
      </c>
      <c r="BD53" s="610">
        <f t="shared" si="3"/>
        <v>-123693004.1620317</v>
      </c>
    </row>
    <row r="54" spans="1:56" ht="18" x14ac:dyDescent="0.25">
      <c r="A54" s="1107"/>
      <c r="B54" s="1107"/>
      <c r="C54" s="1109"/>
      <c r="D54" s="502" t="s">
        <v>42</v>
      </c>
      <c r="E54" s="585">
        <v>0</v>
      </c>
      <c r="F54" s="585">
        <v>0</v>
      </c>
      <c r="G54" s="778">
        <v>0</v>
      </c>
      <c r="H54" s="779">
        <v>0</v>
      </c>
      <c r="I54" s="779">
        <v>0</v>
      </c>
      <c r="J54" s="779"/>
      <c r="K54" s="779"/>
      <c r="L54" s="779"/>
      <c r="M54" s="779"/>
      <c r="N54" s="779"/>
      <c r="O54" s="779"/>
      <c r="P54" s="779"/>
      <c r="Q54" s="779"/>
      <c r="R54" s="779"/>
      <c r="S54" s="782"/>
      <c r="T54" s="782">
        <v>0</v>
      </c>
      <c r="U54" s="783">
        <v>0</v>
      </c>
      <c r="V54" s="783">
        <v>0</v>
      </c>
      <c r="W54" s="783"/>
      <c r="X54" s="783"/>
      <c r="Y54" s="783"/>
      <c r="Z54" s="783"/>
      <c r="AA54" s="783"/>
      <c r="AB54" s="783"/>
      <c r="AC54" s="783"/>
      <c r="AD54" s="783"/>
      <c r="AE54" s="783"/>
      <c r="AF54" s="1110"/>
      <c r="AG54" s="1111"/>
      <c r="AH54" s="1059"/>
      <c r="AI54" s="1059"/>
      <c r="AJ54" s="1059"/>
      <c r="AK54" s="1059"/>
      <c r="AL54" s="1059"/>
      <c r="AM54" s="1059"/>
      <c r="AN54" s="1114"/>
      <c r="AO54" s="1114"/>
      <c r="AP54" s="1114"/>
      <c r="AQ54" s="1059"/>
      <c r="AR54" s="1059"/>
      <c r="AS54" s="1059"/>
      <c r="AT54" s="1059"/>
      <c r="AU54" s="1059"/>
      <c r="AV54" s="1059"/>
      <c r="AW54" s="1059"/>
      <c r="AX54" s="1059"/>
      <c r="AY54" s="1059"/>
      <c r="BB54" s="609">
        <f t="shared" si="1"/>
        <v>0</v>
      </c>
      <c r="BC54" s="610">
        <f t="shared" si="2"/>
        <v>0</v>
      </c>
      <c r="BD54" s="610">
        <f t="shared" si="3"/>
        <v>0</v>
      </c>
    </row>
    <row r="55" spans="1:56" ht="18" x14ac:dyDescent="0.25">
      <c r="A55" s="1107"/>
      <c r="B55" s="1107"/>
      <c r="C55" s="1109"/>
      <c r="D55" s="503" t="s">
        <v>4</v>
      </c>
      <c r="E55" s="585">
        <v>1209293.175015019</v>
      </c>
      <c r="F55" s="585">
        <v>1209293.175015019</v>
      </c>
      <c r="G55" s="778">
        <v>1209293.175015019</v>
      </c>
      <c r="H55" s="779">
        <v>1209293.175015019</v>
      </c>
      <c r="I55" s="779">
        <v>1209293.175015019</v>
      </c>
      <c r="J55" s="779"/>
      <c r="K55" s="779"/>
      <c r="L55" s="779"/>
      <c r="M55" s="779"/>
      <c r="N55" s="779"/>
      <c r="O55" s="779"/>
      <c r="P55" s="779"/>
      <c r="Q55" s="779"/>
      <c r="R55" s="779"/>
      <c r="S55" s="782"/>
      <c r="T55" s="509">
        <v>1209293.175015019</v>
      </c>
      <c r="U55" s="783">
        <v>1209293.175015019</v>
      </c>
      <c r="V55" s="783">
        <v>1209293.175015019</v>
      </c>
      <c r="W55" s="783"/>
      <c r="X55" s="783"/>
      <c r="Y55" s="783"/>
      <c r="Z55" s="783"/>
      <c r="AA55" s="783"/>
      <c r="AB55" s="783"/>
      <c r="AC55" s="783"/>
      <c r="AD55" s="783"/>
      <c r="AE55" s="783"/>
      <c r="AF55" s="1110"/>
      <c r="AG55" s="1111"/>
      <c r="AH55" s="1059"/>
      <c r="AI55" s="1059"/>
      <c r="AJ55" s="1059"/>
      <c r="AK55" s="1059"/>
      <c r="AL55" s="1059"/>
      <c r="AM55" s="1059"/>
      <c r="AN55" s="1114"/>
      <c r="AO55" s="1114"/>
      <c r="AP55" s="1114"/>
      <c r="AQ55" s="1059"/>
      <c r="AR55" s="1059"/>
      <c r="AS55" s="1059"/>
      <c r="AT55" s="1059"/>
      <c r="AU55" s="1059"/>
      <c r="AV55" s="1059"/>
      <c r="AW55" s="1059"/>
      <c r="AX55" s="1059"/>
      <c r="AY55" s="1059"/>
      <c r="BB55" s="609">
        <f t="shared" si="1"/>
        <v>0</v>
      </c>
      <c r="BC55" s="610">
        <f t="shared" si="2"/>
        <v>0</v>
      </c>
      <c r="BD55" s="610">
        <f t="shared" si="3"/>
        <v>0</v>
      </c>
    </row>
    <row r="56" spans="1:56" ht="18" x14ac:dyDescent="0.25">
      <c r="A56" s="1107"/>
      <c r="B56" s="1107"/>
      <c r="C56" s="1109"/>
      <c r="D56" s="502" t="s">
        <v>43</v>
      </c>
      <c r="E56" s="585">
        <f t="shared" ref="E56:F56" si="60">E52+E54</f>
        <v>0.05</v>
      </c>
      <c r="F56" s="585">
        <f t="shared" si="60"/>
        <v>0.05</v>
      </c>
      <c r="G56" s="778">
        <f t="shared" ref="G56:I57" si="61">G52+G54</f>
        <v>0.05</v>
      </c>
      <c r="H56" s="779">
        <v>3.7499999999999999E-3</v>
      </c>
      <c r="I56" s="779">
        <v>3.7499999999999999E-3</v>
      </c>
      <c r="J56" s="779"/>
      <c r="K56" s="779"/>
      <c r="L56" s="779"/>
      <c r="M56" s="779"/>
      <c r="N56" s="779"/>
      <c r="O56" s="779"/>
      <c r="P56" s="779"/>
      <c r="Q56" s="779"/>
      <c r="R56" s="779"/>
      <c r="S56" s="782"/>
      <c r="T56" s="784">
        <v>3.7499999999999999E-3</v>
      </c>
      <c r="U56" s="784">
        <v>3.7499999999999999E-3</v>
      </c>
      <c r="V56" s="784">
        <v>3.7499999999999999E-3</v>
      </c>
      <c r="W56" s="783"/>
      <c r="X56" s="783"/>
      <c r="Y56" s="783"/>
      <c r="Z56" s="783"/>
      <c r="AA56" s="783"/>
      <c r="AB56" s="783"/>
      <c r="AC56" s="783"/>
      <c r="AD56" s="783"/>
      <c r="AE56" s="783"/>
      <c r="AF56" s="1110"/>
      <c r="AG56" s="1111"/>
      <c r="AH56" s="1059"/>
      <c r="AI56" s="1059"/>
      <c r="AJ56" s="1059"/>
      <c r="AK56" s="1059"/>
      <c r="AL56" s="1059"/>
      <c r="AM56" s="1059"/>
      <c r="AN56" s="1114"/>
      <c r="AO56" s="1114"/>
      <c r="AP56" s="1114"/>
      <c r="AQ56" s="1059"/>
      <c r="AR56" s="1059"/>
      <c r="AS56" s="1059"/>
      <c r="AT56" s="1059"/>
      <c r="AU56" s="1059"/>
      <c r="AV56" s="1059"/>
      <c r="AW56" s="1059"/>
      <c r="AX56" s="1059"/>
      <c r="AY56" s="1059"/>
      <c r="BB56" s="609">
        <f t="shared" si="1"/>
        <v>0</v>
      </c>
      <c r="BC56" s="610">
        <f t="shared" si="2"/>
        <v>0</v>
      </c>
      <c r="BD56" s="610">
        <f t="shared" si="3"/>
        <v>0</v>
      </c>
    </row>
    <row r="57" spans="1:56" ht="27" x14ac:dyDescent="0.25">
      <c r="A57" s="1107"/>
      <c r="B57" s="1107"/>
      <c r="C57" s="1109"/>
      <c r="D57" s="503" t="s">
        <v>45</v>
      </c>
      <c r="E57" s="585">
        <f t="shared" ref="E57:F57" si="62">E53+E55</f>
        <v>1574550.9949437524</v>
      </c>
      <c r="F57" s="585">
        <f t="shared" si="62"/>
        <v>1574550.9949437524</v>
      </c>
      <c r="G57" s="778">
        <f t="shared" si="61"/>
        <v>1574550.9949437524</v>
      </c>
      <c r="H57" s="779">
        <f t="shared" si="61"/>
        <v>72912495.151721597</v>
      </c>
      <c r="I57" s="779">
        <f t="shared" si="61"/>
        <v>196605499.17501503</v>
      </c>
      <c r="J57" s="779"/>
      <c r="K57" s="779"/>
      <c r="L57" s="779"/>
      <c r="M57" s="779"/>
      <c r="N57" s="779"/>
      <c r="O57" s="779"/>
      <c r="P57" s="779"/>
      <c r="Q57" s="779"/>
      <c r="R57" s="779"/>
      <c r="S57" s="785"/>
      <c r="T57" s="509">
        <f t="shared" ref="T57" si="63">T53+T55</f>
        <v>1574550.9949437524</v>
      </c>
      <c r="U57" s="779">
        <f t="shared" ref="U57" si="64">U53+U55</f>
        <v>72912495.151721597</v>
      </c>
      <c r="V57" s="783">
        <f t="shared" ref="V57" si="65">V53+V55</f>
        <v>196605499.31375331</v>
      </c>
      <c r="W57" s="779"/>
      <c r="X57" s="779"/>
      <c r="Y57" s="779"/>
      <c r="Z57" s="779"/>
      <c r="AA57" s="779"/>
      <c r="AB57" s="779"/>
      <c r="AC57" s="779"/>
      <c r="AD57" s="779"/>
      <c r="AE57" s="779"/>
      <c r="AF57" s="1110"/>
      <c r="AG57" s="1111"/>
      <c r="AH57" s="1059"/>
      <c r="AI57" s="1059"/>
      <c r="AJ57" s="1059"/>
      <c r="AK57" s="1059"/>
      <c r="AL57" s="1059"/>
      <c r="AM57" s="1059"/>
      <c r="AN57" s="1114"/>
      <c r="AO57" s="1114"/>
      <c r="AP57" s="1114"/>
      <c r="AQ57" s="1059"/>
      <c r="AR57" s="1059"/>
      <c r="AS57" s="1059"/>
      <c r="AT57" s="1059"/>
      <c r="AU57" s="1059"/>
      <c r="AV57" s="1059"/>
      <c r="AW57" s="1059"/>
      <c r="AX57" s="1059"/>
      <c r="AY57" s="1059"/>
      <c r="BB57" s="609">
        <f t="shared" si="1"/>
        <v>0.13873827457427979</v>
      </c>
      <c r="BC57" s="610">
        <f t="shared" si="2"/>
        <v>-123693004.16203171</v>
      </c>
      <c r="BD57" s="610">
        <f t="shared" si="3"/>
        <v>-123693004.16203171</v>
      </c>
    </row>
    <row r="58" spans="1:56" ht="18" customHeight="1" x14ac:dyDescent="0.25">
      <c r="A58" s="1107"/>
      <c r="B58" s="1107"/>
      <c r="C58" s="1109" t="s">
        <v>505</v>
      </c>
      <c r="D58" s="504" t="s">
        <v>41</v>
      </c>
      <c r="E58" s="585">
        <v>0.05</v>
      </c>
      <c r="F58" s="585">
        <v>0.05</v>
      </c>
      <c r="G58" s="778">
        <v>0.05</v>
      </c>
      <c r="H58" s="779">
        <f>1/20</f>
        <v>0.05</v>
      </c>
      <c r="I58" s="779">
        <f>1/20</f>
        <v>0.05</v>
      </c>
      <c r="J58" s="779"/>
      <c r="K58" s="779"/>
      <c r="L58" s="779"/>
      <c r="M58" s="779"/>
      <c r="N58" s="779"/>
      <c r="O58" s="779"/>
      <c r="P58" s="779"/>
      <c r="Q58" s="779"/>
      <c r="R58" s="779"/>
      <c r="S58" s="780"/>
      <c r="T58" s="781">
        <v>3.7499999999999999E-3</v>
      </c>
      <c r="U58" s="781">
        <f>0.23/20</f>
        <v>1.15E-2</v>
      </c>
      <c r="V58" s="781">
        <f>0.46/20</f>
        <v>2.3E-2</v>
      </c>
      <c r="W58" s="781"/>
      <c r="X58" s="781"/>
      <c r="Y58" s="781"/>
      <c r="Z58" s="781"/>
      <c r="AA58" s="781"/>
      <c r="AB58" s="781"/>
      <c r="AC58" s="781"/>
      <c r="AD58" s="781"/>
      <c r="AE58" s="781"/>
      <c r="AF58" s="1110" t="s">
        <v>745</v>
      </c>
      <c r="AG58" s="1111" t="s">
        <v>444</v>
      </c>
      <c r="AH58" s="1059" t="s">
        <v>678</v>
      </c>
      <c r="AI58" s="1059" t="s">
        <v>720</v>
      </c>
      <c r="AJ58" s="1059" t="s">
        <v>713</v>
      </c>
      <c r="AK58" s="1059" t="s">
        <v>435</v>
      </c>
      <c r="AL58" s="1059"/>
      <c r="AM58" s="1059" t="s">
        <v>71</v>
      </c>
      <c r="AN58" s="1114">
        <f t="shared" ref="AN58:AN100" si="66">SUM(AO58:AP63)</f>
        <v>408155</v>
      </c>
      <c r="AO58" s="1114">
        <v>189984</v>
      </c>
      <c r="AP58" s="1114">
        <v>218171</v>
      </c>
      <c r="AQ58" s="1059" t="s">
        <v>71</v>
      </c>
      <c r="AR58" s="1059" t="s">
        <v>71</v>
      </c>
      <c r="AS58" s="1059" t="s">
        <v>71</v>
      </c>
      <c r="AT58" s="1059" t="s">
        <v>71</v>
      </c>
      <c r="AU58" s="1059" t="s">
        <v>71</v>
      </c>
      <c r="AV58" s="1059" t="s">
        <v>71</v>
      </c>
      <c r="AW58" s="1059" t="s">
        <v>71</v>
      </c>
      <c r="AX58" s="1059" t="s">
        <v>71</v>
      </c>
      <c r="AY58" s="1059"/>
      <c r="BB58" s="609">
        <f t="shared" si="1"/>
        <v>-2.7000000000000003E-2</v>
      </c>
      <c r="BC58" s="610">
        <f t="shared" si="2"/>
        <v>-1.15E-2</v>
      </c>
      <c r="BD58" s="610">
        <f t="shared" si="3"/>
        <v>-1.15E-2</v>
      </c>
    </row>
    <row r="59" spans="1:56" ht="18" x14ac:dyDescent="0.25">
      <c r="A59" s="1107"/>
      <c r="B59" s="1107"/>
      <c r="C59" s="1109"/>
      <c r="D59" s="503" t="s">
        <v>3</v>
      </c>
      <c r="E59" s="585">
        <v>35076.509516214464</v>
      </c>
      <c r="F59" s="585">
        <v>35076.509516214464</v>
      </c>
      <c r="G59" s="778">
        <v>35076.509516214464</v>
      </c>
      <c r="H59" s="779">
        <v>42286592.285780802</v>
      </c>
      <c r="I59" s="779">
        <v>104503467</v>
      </c>
      <c r="J59" s="779"/>
      <c r="K59" s="779"/>
      <c r="L59" s="779"/>
      <c r="M59" s="779"/>
      <c r="N59" s="779"/>
      <c r="O59" s="779"/>
      <c r="P59" s="779"/>
      <c r="Q59" s="779"/>
      <c r="R59" s="779"/>
      <c r="S59" s="509"/>
      <c r="T59" s="509">
        <v>35076.509516214464</v>
      </c>
      <c r="U59" s="510">
        <v>42286592.285780802</v>
      </c>
      <c r="V59" s="786">
        <v>104503466.83881071</v>
      </c>
      <c r="W59" s="510"/>
      <c r="X59" s="510"/>
      <c r="Y59" s="510"/>
      <c r="Z59" s="510"/>
      <c r="AA59" s="510"/>
      <c r="AB59" s="510"/>
      <c r="AC59" s="510"/>
      <c r="AD59" s="510"/>
      <c r="AE59" s="510"/>
      <c r="AF59" s="1110"/>
      <c r="AG59" s="1111"/>
      <c r="AH59" s="1059"/>
      <c r="AI59" s="1059"/>
      <c r="AJ59" s="1059"/>
      <c r="AK59" s="1059"/>
      <c r="AL59" s="1059"/>
      <c r="AM59" s="1059"/>
      <c r="AN59" s="1114"/>
      <c r="AO59" s="1114"/>
      <c r="AP59" s="1114"/>
      <c r="AQ59" s="1059"/>
      <c r="AR59" s="1059"/>
      <c r="AS59" s="1059"/>
      <c r="AT59" s="1059"/>
      <c r="AU59" s="1059"/>
      <c r="AV59" s="1059"/>
      <c r="AW59" s="1059"/>
      <c r="AX59" s="1059"/>
      <c r="AY59" s="1059"/>
      <c r="BB59" s="609">
        <f t="shared" si="1"/>
        <v>-0.16118928790092468</v>
      </c>
      <c r="BC59" s="610">
        <f t="shared" si="2"/>
        <v>-62216874.55302991</v>
      </c>
      <c r="BD59" s="610">
        <f t="shared" si="3"/>
        <v>-62216874.55302991</v>
      </c>
    </row>
    <row r="60" spans="1:56" ht="18" x14ac:dyDescent="0.25">
      <c r="A60" s="1107"/>
      <c r="B60" s="1107"/>
      <c r="C60" s="1109"/>
      <c r="D60" s="502" t="s">
        <v>42</v>
      </c>
      <c r="E60" s="585">
        <v>0</v>
      </c>
      <c r="F60" s="585">
        <v>0</v>
      </c>
      <c r="G60" s="778">
        <v>0</v>
      </c>
      <c r="H60" s="779">
        <v>0</v>
      </c>
      <c r="I60" s="779">
        <v>0</v>
      </c>
      <c r="J60" s="779"/>
      <c r="K60" s="779"/>
      <c r="L60" s="779"/>
      <c r="M60" s="779"/>
      <c r="N60" s="779"/>
      <c r="O60" s="779"/>
      <c r="P60" s="779"/>
      <c r="Q60" s="779"/>
      <c r="R60" s="779"/>
      <c r="S60" s="782"/>
      <c r="T60" s="782">
        <v>0</v>
      </c>
      <c r="U60" s="783">
        <v>0</v>
      </c>
      <c r="V60" s="783">
        <v>0</v>
      </c>
      <c r="W60" s="783"/>
      <c r="X60" s="783"/>
      <c r="Y60" s="783"/>
      <c r="Z60" s="783"/>
      <c r="AA60" s="783"/>
      <c r="AB60" s="783"/>
      <c r="AC60" s="783"/>
      <c r="AD60" s="783"/>
      <c r="AE60" s="783"/>
      <c r="AF60" s="1110"/>
      <c r="AG60" s="1111"/>
      <c r="AH60" s="1059"/>
      <c r="AI60" s="1059"/>
      <c r="AJ60" s="1059"/>
      <c r="AK60" s="1059"/>
      <c r="AL60" s="1059"/>
      <c r="AM60" s="1059"/>
      <c r="AN60" s="1114"/>
      <c r="AO60" s="1114"/>
      <c r="AP60" s="1114"/>
      <c r="AQ60" s="1059"/>
      <c r="AR60" s="1059"/>
      <c r="AS60" s="1059"/>
      <c r="AT60" s="1059"/>
      <c r="AU60" s="1059"/>
      <c r="AV60" s="1059"/>
      <c r="AW60" s="1059"/>
      <c r="AX60" s="1059"/>
      <c r="AY60" s="1059"/>
      <c r="BB60" s="609">
        <f t="shared" si="1"/>
        <v>0</v>
      </c>
      <c r="BC60" s="610">
        <f t="shared" si="2"/>
        <v>0</v>
      </c>
      <c r="BD60" s="610">
        <f t="shared" si="3"/>
        <v>0</v>
      </c>
    </row>
    <row r="61" spans="1:56" ht="18" x14ac:dyDescent="0.25">
      <c r="A61" s="1107"/>
      <c r="B61" s="1107"/>
      <c r="C61" s="1109"/>
      <c r="D61" s="503" t="s">
        <v>4</v>
      </c>
      <c r="E61" s="585">
        <v>5331086.5476447279</v>
      </c>
      <c r="F61" s="585">
        <v>5331086.5476447279</v>
      </c>
      <c r="G61" s="778">
        <v>5331086.5476447279</v>
      </c>
      <c r="H61" s="779">
        <v>5331086.5476447279</v>
      </c>
      <c r="I61" s="779">
        <v>5331086.5476447279</v>
      </c>
      <c r="J61" s="779"/>
      <c r="K61" s="779"/>
      <c r="L61" s="779"/>
      <c r="M61" s="779"/>
      <c r="N61" s="779"/>
      <c r="O61" s="779"/>
      <c r="P61" s="779"/>
      <c r="Q61" s="779"/>
      <c r="R61" s="779"/>
      <c r="S61" s="782"/>
      <c r="T61" s="509">
        <v>5331086.5476447279</v>
      </c>
      <c r="U61" s="783">
        <v>5331086.5476447279</v>
      </c>
      <c r="V61" s="783">
        <v>5331086.5476447279</v>
      </c>
      <c r="W61" s="783"/>
      <c r="X61" s="783"/>
      <c r="Y61" s="783"/>
      <c r="Z61" s="783"/>
      <c r="AA61" s="783"/>
      <c r="AB61" s="783"/>
      <c r="AC61" s="783"/>
      <c r="AD61" s="783"/>
      <c r="AE61" s="783"/>
      <c r="AF61" s="1110"/>
      <c r="AG61" s="1111"/>
      <c r="AH61" s="1059"/>
      <c r="AI61" s="1059"/>
      <c r="AJ61" s="1059"/>
      <c r="AK61" s="1059"/>
      <c r="AL61" s="1059"/>
      <c r="AM61" s="1059"/>
      <c r="AN61" s="1114"/>
      <c r="AO61" s="1114"/>
      <c r="AP61" s="1114"/>
      <c r="AQ61" s="1059"/>
      <c r="AR61" s="1059"/>
      <c r="AS61" s="1059"/>
      <c r="AT61" s="1059"/>
      <c r="AU61" s="1059"/>
      <c r="AV61" s="1059"/>
      <c r="AW61" s="1059"/>
      <c r="AX61" s="1059"/>
      <c r="AY61" s="1059"/>
      <c r="BB61" s="609">
        <f t="shared" si="1"/>
        <v>0</v>
      </c>
      <c r="BC61" s="610">
        <f t="shared" si="2"/>
        <v>0</v>
      </c>
      <c r="BD61" s="610">
        <f t="shared" si="3"/>
        <v>0</v>
      </c>
    </row>
    <row r="62" spans="1:56" ht="18" x14ac:dyDescent="0.25">
      <c r="A62" s="1107"/>
      <c r="B62" s="1107"/>
      <c r="C62" s="1109"/>
      <c r="D62" s="502" t="s">
        <v>43</v>
      </c>
      <c r="E62" s="585">
        <f t="shared" ref="E62:F62" si="67">E58+E60</f>
        <v>0.05</v>
      </c>
      <c r="F62" s="585">
        <f t="shared" si="67"/>
        <v>0.05</v>
      </c>
      <c r="G62" s="778">
        <f t="shared" ref="G62:I63" si="68">G58+G60</f>
        <v>0.05</v>
      </c>
      <c r="H62" s="779">
        <f t="shared" si="68"/>
        <v>0.05</v>
      </c>
      <c r="I62" s="779">
        <f t="shared" si="68"/>
        <v>0.05</v>
      </c>
      <c r="J62" s="779"/>
      <c r="K62" s="779"/>
      <c r="L62" s="779"/>
      <c r="M62" s="779"/>
      <c r="N62" s="779"/>
      <c r="O62" s="779"/>
      <c r="P62" s="779"/>
      <c r="Q62" s="779"/>
      <c r="R62" s="779"/>
      <c r="S62" s="782"/>
      <c r="T62" s="782">
        <f t="shared" ref="T62:T63" si="69">T58+T60</f>
        <v>3.7499999999999999E-3</v>
      </c>
      <c r="U62" s="784">
        <f t="shared" ref="U62" si="70">U58+U60</f>
        <v>1.15E-2</v>
      </c>
      <c r="V62" s="784">
        <f t="shared" ref="V62" si="71">V58+V60</f>
        <v>2.3E-2</v>
      </c>
      <c r="W62" s="783"/>
      <c r="X62" s="783"/>
      <c r="Y62" s="783"/>
      <c r="Z62" s="783"/>
      <c r="AA62" s="783"/>
      <c r="AB62" s="783"/>
      <c r="AC62" s="783"/>
      <c r="AD62" s="783"/>
      <c r="AE62" s="783"/>
      <c r="AF62" s="1110"/>
      <c r="AG62" s="1111"/>
      <c r="AH62" s="1059"/>
      <c r="AI62" s="1059"/>
      <c r="AJ62" s="1059"/>
      <c r="AK62" s="1059"/>
      <c r="AL62" s="1059"/>
      <c r="AM62" s="1059"/>
      <c r="AN62" s="1114"/>
      <c r="AO62" s="1114"/>
      <c r="AP62" s="1114"/>
      <c r="AQ62" s="1059"/>
      <c r="AR62" s="1059"/>
      <c r="AS62" s="1059"/>
      <c r="AT62" s="1059"/>
      <c r="AU62" s="1059"/>
      <c r="AV62" s="1059"/>
      <c r="AW62" s="1059"/>
      <c r="AX62" s="1059"/>
      <c r="AY62" s="1059"/>
      <c r="BB62" s="609">
        <f t="shared" si="1"/>
        <v>-2.7000000000000003E-2</v>
      </c>
      <c r="BC62" s="610">
        <f t="shared" si="2"/>
        <v>-1.15E-2</v>
      </c>
      <c r="BD62" s="610">
        <f t="shared" si="3"/>
        <v>-1.15E-2</v>
      </c>
    </row>
    <row r="63" spans="1:56" ht="27" x14ac:dyDescent="0.25">
      <c r="A63" s="1107"/>
      <c r="B63" s="1107"/>
      <c r="C63" s="1109"/>
      <c r="D63" s="503" t="s">
        <v>45</v>
      </c>
      <c r="E63" s="585">
        <f t="shared" ref="E63:F63" si="72">E59+E61</f>
        <v>5366163.0571609419</v>
      </c>
      <c r="F63" s="585">
        <f t="shared" si="72"/>
        <v>5366163.0571609419</v>
      </c>
      <c r="G63" s="778">
        <f t="shared" si="68"/>
        <v>5366163.0571609419</v>
      </c>
      <c r="H63" s="779">
        <f t="shared" si="68"/>
        <v>47617678.833425529</v>
      </c>
      <c r="I63" s="779">
        <f t="shared" si="68"/>
        <v>109834553.54764473</v>
      </c>
      <c r="J63" s="779"/>
      <c r="K63" s="779"/>
      <c r="L63" s="779"/>
      <c r="M63" s="779"/>
      <c r="N63" s="779"/>
      <c r="O63" s="779"/>
      <c r="P63" s="779"/>
      <c r="Q63" s="779"/>
      <c r="R63" s="779"/>
      <c r="S63" s="785"/>
      <c r="T63" s="509">
        <f t="shared" si="69"/>
        <v>5366163.0571609419</v>
      </c>
      <c r="U63" s="779">
        <f t="shared" ref="U63" si="73">U59+U61</f>
        <v>47617678.833425529</v>
      </c>
      <c r="V63" s="783">
        <f t="shared" ref="V63" si="74">V59+V61</f>
        <v>109834553.38645545</v>
      </c>
      <c r="W63" s="779"/>
      <c r="X63" s="779"/>
      <c r="Y63" s="779"/>
      <c r="Z63" s="779"/>
      <c r="AA63" s="779"/>
      <c r="AB63" s="779"/>
      <c r="AC63" s="779"/>
      <c r="AD63" s="779"/>
      <c r="AE63" s="779"/>
      <c r="AF63" s="1110"/>
      <c r="AG63" s="1111"/>
      <c r="AH63" s="1059"/>
      <c r="AI63" s="1059"/>
      <c r="AJ63" s="1059"/>
      <c r="AK63" s="1059"/>
      <c r="AL63" s="1059"/>
      <c r="AM63" s="1059"/>
      <c r="AN63" s="1114"/>
      <c r="AO63" s="1114"/>
      <c r="AP63" s="1114"/>
      <c r="AQ63" s="1059"/>
      <c r="AR63" s="1059"/>
      <c r="AS63" s="1059"/>
      <c r="AT63" s="1059"/>
      <c r="AU63" s="1059"/>
      <c r="AV63" s="1059"/>
      <c r="AW63" s="1059"/>
      <c r="AX63" s="1059"/>
      <c r="AY63" s="1059"/>
      <c r="BB63" s="609">
        <f t="shared" si="1"/>
        <v>-0.16118928790092468</v>
      </c>
      <c r="BC63" s="610">
        <f t="shared" si="2"/>
        <v>-62216874.553029917</v>
      </c>
      <c r="BD63" s="610">
        <f t="shared" si="3"/>
        <v>-62216874.553029917</v>
      </c>
    </row>
    <row r="64" spans="1:56" ht="18" customHeight="1" x14ac:dyDescent="0.25">
      <c r="A64" s="1107"/>
      <c r="B64" s="1107"/>
      <c r="C64" s="1109" t="s">
        <v>506</v>
      </c>
      <c r="D64" s="504" t="s">
        <v>41</v>
      </c>
      <c r="E64" s="585">
        <v>0.05</v>
      </c>
      <c r="F64" s="585">
        <v>0.05</v>
      </c>
      <c r="G64" s="778">
        <v>0.05</v>
      </c>
      <c r="H64" s="779">
        <f>1/20</f>
        <v>0.05</v>
      </c>
      <c r="I64" s="779">
        <f>1/20</f>
        <v>0.05</v>
      </c>
      <c r="J64" s="779"/>
      <c r="K64" s="779"/>
      <c r="L64" s="779"/>
      <c r="M64" s="779"/>
      <c r="N64" s="779"/>
      <c r="O64" s="779"/>
      <c r="P64" s="779"/>
      <c r="Q64" s="779"/>
      <c r="R64" s="779"/>
      <c r="S64" s="780"/>
      <c r="T64" s="781">
        <v>3.7499999999999999E-3</v>
      </c>
      <c r="U64" s="781">
        <f>0.23/20</f>
        <v>1.15E-2</v>
      </c>
      <c r="V64" s="781">
        <f>0.46/20</f>
        <v>2.3E-2</v>
      </c>
      <c r="W64" s="781"/>
      <c r="X64" s="781"/>
      <c r="Y64" s="781"/>
      <c r="Z64" s="781"/>
      <c r="AA64" s="781"/>
      <c r="AB64" s="781"/>
      <c r="AC64" s="781"/>
      <c r="AD64" s="781"/>
      <c r="AE64" s="781"/>
      <c r="AF64" s="1110" t="s">
        <v>746</v>
      </c>
      <c r="AG64" s="1111" t="s">
        <v>436</v>
      </c>
      <c r="AH64" s="1059" t="s">
        <v>721</v>
      </c>
      <c r="AI64" s="1059" t="s">
        <v>722</v>
      </c>
      <c r="AJ64" s="1059" t="s">
        <v>713</v>
      </c>
      <c r="AK64" s="1059" t="s">
        <v>435</v>
      </c>
      <c r="AL64" s="1059"/>
      <c r="AM64" s="1059" t="s">
        <v>71</v>
      </c>
      <c r="AN64" s="1114">
        <f t="shared" ref="AN64:AN106" si="75">SUM(AO64:AP69)</f>
        <v>819441</v>
      </c>
      <c r="AO64" s="1114">
        <v>388871</v>
      </c>
      <c r="AP64" s="1114">
        <v>430570</v>
      </c>
      <c r="AQ64" s="1059" t="s">
        <v>71</v>
      </c>
      <c r="AR64" s="1059" t="s">
        <v>71</v>
      </c>
      <c r="AS64" s="1059" t="s">
        <v>71</v>
      </c>
      <c r="AT64" s="1059" t="s">
        <v>71</v>
      </c>
      <c r="AU64" s="1059" t="s">
        <v>71</v>
      </c>
      <c r="AV64" s="1059" t="s">
        <v>71</v>
      </c>
      <c r="AW64" s="1059" t="s">
        <v>71</v>
      </c>
      <c r="AX64" s="1059" t="s">
        <v>71</v>
      </c>
      <c r="AY64" s="1059"/>
      <c r="BB64" s="609">
        <f t="shared" si="1"/>
        <v>-2.7000000000000003E-2</v>
      </c>
      <c r="BC64" s="610">
        <f t="shared" si="2"/>
        <v>-1.15E-2</v>
      </c>
      <c r="BD64" s="610">
        <f t="shared" si="3"/>
        <v>-1.15E-2</v>
      </c>
    </row>
    <row r="65" spans="1:56" ht="18" x14ac:dyDescent="0.25">
      <c r="A65" s="1107"/>
      <c r="B65" s="1107"/>
      <c r="C65" s="1109"/>
      <c r="D65" s="503" t="s">
        <v>3</v>
      </c>
      <c r="E65" s="585">
        <v>291530783.26023465</v>
      </c>
      <c r="F65" s="585">
        <v>291530783.26023465</v>
      </c>
      <c r="G65" s="778">
        <v>291530783.26023465</v>
      </c>
      <c r="H65" s="779">
        <v>135633856.81928355</v>
      </c>
      <c r="I65" s="779">
        <v>235360151</v>
      </c>
      <c r="J65" s="779"/>
      <c r="K65" s="779"/>
      <c r="L65" s="779"/>
      <c r="M65" s="779"/>
      <c r="N65" s="779"/>
      <c r="O65" s="779"/>
      <c r="P65" s="779"/>
      <c r="Q65" s="779"/>
      <c r="R65" s="779"/>
      <c r="S65" s="509"/>
      <c r="T65" s="509">
        <v>291530783.26023465</v>
      </c>
      <c r="U65" s="510">
        <v>135633856.81928355</v>
      </c>
      <c r="V65" s="510">
        <v>235360150.58760509</v>
      </c>
      <c r="W65" s="510"/>
      <c r="X65" s="510"/>
      <c r="Y65" s="510"/>
      <c r="Z65" s="510"/>
      <c r="AA65" s="510"/>
      <c r="AB65" s="510"/>
      <c r="AC65" s="510"/>
      <c r="AD65" s="510"/>
      <c r="AE65" s="510"/>
      <c r="AF65" s="1110"/>
      <c r="AG65" s="1111"/>
      <c r="AH65" s="1059"/>
      <c r="AI65" s="1059"/>
      <c r="AJ65" s="1059"/>
      <c r="AK65" s="1059"/>
      <c r="AL65" s="1059"/>
      <c r="AM65" s="1059"/>
      <c r="AN65" s="1114"/>
      <c r="AO65" s="1114"/>
      <c r="AP65" s="1114"/>
      <c r="AQ65" s="1059"/>
      <c r="AR65" s="1059"/>
      <c r="AS65" s="1059"/>
      <c r="AT65" s="1059"/>
      <c r="AU65" s="1059"/>
      <c r="AV65" s="1059"/>
      <c r="AW65" s="1059"/>
      <c r="AX65" s="1059"/>
      <c r="AY65" s="1059"/>
      <c r="BB65" s="609">
        <f t="shared" si="1"/>
        <v>-0.41239491105079651</v>
      </c>
      <c r="BC65" s="610">
        <f t="shared" si="2"/>
        <v>-99726293.768321544</v>
      </c>
      <c r="BD65" s="610">
        <f t="shared" si="3"/>
        <v>-99726293.768321544</v>
      </c>
    </row>
    <row r="66" spans="1:56" ht="18" x14ac:dyDescent="0.25">
      <c r="A66" s="1107"/>
      <c r="B66" s="1107"/>
      <c r="C66" s="1109"/>
      <c r="D66" s="502" t="s">
        <v>42</v>
      </c>
      <c r="E66" s="585">
        <v>0</v>
      </c>
      <c r="F66" s="585">
        <v>0</v>
      </c>
      <c r="G66" s="778">
        <v>0</v>
      </c>
      <c r="H66" s="779">
        <v>0</v>
      </c>
      <c r="I66" s="779">
        <v>0</v>
      </c>
      <c r="J66" s="779"/>
      <c r="K66" s="779"/>
      <c r="L66" s="779"/>
      <c r="M66" s="779"/>
      <c r="N66" s="779"/>
      <c r="O66" s="779"/>
      <c r="P66" s="779"/>
      <c r="Q66" s="779"/>
      <c r="R66" s="779"/>
      <c r="S66" s="782"/>
      <c r="T66" s="782">
        <v>0</v>
      </c>
      <c r="U66" s="783">
        <v>0</v>
      </c>
      <c r="V66" s="783">
        <v>0</v>
      </c>
      <c r="W66" s="783"/>
      <c r="X66" s="783"/>
      <c r="Y66" s="783"/>
      <c r="Z66" s="783"/>
      <c r="AA66" s="783"/>
      <c r="AB66" s="783"/>
      <c r="AC66" s="783"/>
      <c r="AD66" s="783"/>
      <c r="AE66" s="783"/>
      <c r="AF66" s="1110"/>
      <c r="AG66" s="1111"/>
      <c r="AH66" s="1059"/>
      <c r="AI66" s="1059"/>
      <c r="AJ66" s="1059"/>
      <c r="AK66" s="1059"/>
      <c r="AL66" s="1059"/>
      <c r="AM66" s="1059"/>
      <c r="AN66" s="1114"/>
      <c r="AO66" s="1114"/>
      <c r="AP66" s="1114"/>
      <c r="AQ66" s="1059"/>
      <c r="AR66" s="1059"/>
      <c r="AS66" s="1059"/>
      <c r="AT66" s="1059"/>
      <c r="AU66" s="1059"/>
      <c r="AV66" s="1059"/>
      <c r="AW66" s="1059"/>
      <c r="AX66" s="1059"/>
      <c r="AY66" s="1059"/>
      <c r="BB66" s="609">
        <f t="shared" si="1"/>
        <v>0</v>
      </c>
      <c r="BC66" s="610">
        <f t="shared" si="2"/>
        <v>0</v>
      </c>
      <c r="BD66" s="610">
        <f t="shared" si="3"/>
        <v>0</v>
      </c>
    </row>
    <row r="67" spans="1:56" ht="18" x14ac:dyDescent="0.25">
      <c r="A67" s="1107"/>
      <c r="B67" s="1107"/>
      <c r="C67" s="1109"/>
      <c r="D67" s="503" t="s">
        <v>4</v>
      </c>
      <c r="E67" s="585">
        <v>16285014.925942833</v>
      </c>
      <c r="F67" s="585">
        <v>16285014.925942833</v>
      </c>
      <c r="G67" s="778">
        <v>16285014.925942833</v>
      </c>
      <c r="H67" s="779">
        <v>16285014.925942833</v>
      </c>
      <c r="I67" s="779">
        <v>16285014.925942833</v>
      </c>
      <c r="J67" s="779"/>
      <c r="K67" s="779"/>
      <c r="L67" s="779"/>
      <c r="M67" s="779"/>
      <c r="N67" s="779"/>
      <c r="O67" s="779"/>
      <c r="P67" s="779"/>
      <c r="Q67" s="779"/>
      <c r="R67" s="779"/>
      <c r="S67" s="782"/>
      <c r="T67" s="509">
        <v>16285014.925942833</v>
      </c>
      <c r="U67" s="783">
        <v>16285014.925942833</v>
      </c>
      <c r="V67" s="783">
        <v>16285014.925942833</v>
      </c>
      <c r="W67" s="783"/>
      <c r="X67" s="783"/>
      <c r="Y67" s="783"/>
      <c r="Z67" s="783"/>
      <c r="AA67" s="783"/>
      <c r="AB67" s="783"/>
      <c r="AC67" s="783"/>
      <c r="AD67" s="783"/>
      <c r="AE67" s="783"/>
      <c r="AF67" s="1110"/>
      <c r="AG67" s="1111"/>
      <c r="AH67" s="1059"/>
      <c r="AI67" s="1059"/>
      <c r="AJ67" s="1059"/>
      <c r="AK67" s="1059"/>
      <c r="AL67" s="1059"/>
      <c r="AM67" s="1059"/>
      <c r="AN67" s="1114"/>
      <c r="AO67" s="1114"/>
      <c r="AP67" s="1114"/>
      <c r="AQ67" s="1059"/>
      <c r="AR67" s="1059"/>
      <c r="AS67" s="1059"/>
      <c r="AT67" s="1059"/>
      <c r="AU67" s="1059"/>
      <c r="AV67" s="1059"/>
      <c r="AW67" s="1059"/>
      <c r="AX67" s="1059"/>
      <c r="AY67" s="1059"/>
      <c r="BB67" s="609">
        <f t="shared" si="1"/>
        <v>0</v>
      </c>
      <c r="BC67" s="610">
        <f t="shared" si="2"/>
        <v>0</v>
      </c>
      <c r="BD67" s="610">
        <f t="shared" si="3"/>
        <v>0</v>
      </c>
    </row>
    <row r="68" spans="1:56" ht="18" x14ac:dyDescent="0.25">
      <c r="A68" s="1107"/>
      <c r="B68" s="1107"/>
      <c r="C68" s="1109"/>
      <c r="D68" s="502" t="s">
        <v>43</v>
      </c>
      <c r="E68" s="585">
        <f t="shared" ref="E68:F68" si="76">E64+E66</f>
        <v>0.05</v>
      </c>
      <c r="F68" s="585">
        <f t="shared" si="76"/>
        <v>0.05</v>
      </c>
      <c r="G68" s="778">
        <f t="shared" ref="G68:I69" si="77">G64+G66</f>
        <v>0.05</v>
      </c>
      <c r="H68" s="779">
        <f t="shared" si="77"/>
        <v>0.05</v>
      </c>
      <c r="I68" s="779">
        <f t="shared" si="77"/>
        <v>0.05</v>
      </c>
      <c r="J68" s="779"/>
      <c r="K68" s="779"/>
      <c r="L68" s="779"/>
      <c r="M68" s="779"/>
      <c r="N68" s="779"/>
      <c r="O68" s="779"/>
      <c r="P68" s="779"/>
      <c r="Q68" s="779"/>
      <c r="R68" s="779"/>
      <c r="S68" s="782"/>
      <c r="T68" s="782">
        <f t="shared" ref="T68:T69" si="78">T64+T66</f>
        <v>3.7499999999999999E-3</v>
      </c>
      <c r="U68" s="784">
        <f t="shared" ref="U68" si="79">U64+U66</f>
        <v>1.15E-2</v>
      </c>
      <c r="V68" s="784">
        <f t="shared" ref="V68" si="80">V64+V66</f>
        <v>2.3E-2</v>
      </c>
      <c r="W68" s="783"/>
      <c r="X68" s="783"/>
      <c r="Y68" s="783"/>
      <c r="Z68" s="783"/>
      <c r="AA68" s="783"/>
      <c r="AB68" s="783"/>
      <c r="AC68" s="783"/>
      <c r="AD68" s="783"/>
      <c r="AE68" s="783"/>
      <c r="AF68" s="1110"/>
      <c r="AG68" s="1111"/>
      <c r="AH68" s="1059"/>
      <c r="AI68" s="1059"/>
      <c r="AJ68" s="1059"/>
      <c r="AK68" s="1059"/>
      <c r="AL68" s="1059"/>
      <c r="AM68" s="1059"/>
      <c r="AN68" s="1114"/>
      <c r="AO68" s="1114"/>
      <c r="AP68" s="1114"/>
      <c r="AQ68" s="1059"/>
      <c r="AR68" s="1059"/>
      <c r="AS68" s="1059"/>
      <c r="AT68" s="1059"/>
      <c r="AU68" s="1059"/>
      <c r="AV68" s="1059"/>
      <c r="AW68" s="1059"/>
      <c r="AX68" s="1059"/>
      <c r="AY68" s="1059"/>
      <c r="BB68" s="609">
        <f t="shared" si="1"/>
        <v>-2.7000000000000003E-2</v>
      </c>
      <c r="BC68" s="610">
        <f t="shared" si="2"/>
        <v>-1.15E-2</v>
      </c>
      <c r="BD68" s="610">
        <f t="shared" si="3"/>
        <v>-1.15E-2</v>
      </c>
    </row>
    <row r="69" spans="1:56" ht="27" x14ac:dyDescent="0.25">
      <c r="A69" s="1107"/>
      <c r="B69" s="1107"/>
      <c r="C69" s="1109"/>
      <c r="D69" s="503" t="s">
        <v>45</v>
      </c>
      <c r="E69" s="585">
        <f t="shared" ref="E69:F69" si="81">E65+E67</f>
        <v>307815798.18617749</v>
      </c>
      <c r="F69" s="585">
        <f t="shared" si="81"/>
        <v>307815798.18617749</v>
      </c>
      <c r="G69" s="778">
        <f t="shared" si="77"/>
        <v>307815798.18617749</v>
      </c>
      <c r="H69" s="779">
        <f t="shared" si="77"/>
        <v>151918871.74522638</v>
      </c>
      <c r="I69" s="779">
        <f t="shared" si="77"/>
        <v>251645165.92594284</v>
      </c>
      <c r="J69" s="779"/>
      <c r="K69" s="779"/>
      <c r="L69" s="779"/>
      <c r="M69" s="779"/>
      <c r="N69" s="779"/>
      <c r="O69" s="779"/>
      <c r="P69" s="779"/>
      <c r="Q69" s="779"/>
      <c r="R69" s="779"/>
      <c r="S69" s="785"/>
      <c r="T69" s="509">
        <f t="shared" si="78"/>
        <v>307815798.18617749</v>
      </c>
      <c r="U69" s="779">
        <f t="shared" ref="U69" si="82">U65+U67</f>
        <v>151918871.74522638</v>
      </c>
      <c r="V69" s="783">
        <f t="shared" ref="V69" si="83">V65+V67</f>
        <v>251645165.51354793</v>
      </c>
      <c r="W69" s="779"/>
      <c r="X69" s="779"/>
      <c r="Y69" s="779"/>
      <c r="Z69" s="779"/>
      <c r="AA69" s="779"/>
      <c r="AB69" s="779"/>
      <c r="AC69" s="779"/>
      <c r="AD69" s="779"/>
      <c r="AE69" s="779"/>
      <c r="AF69" s="1110"/>
      <c r="AG69" s="1111"/>
      <c r="AH69" s="1059"/>
      <c r="AI69" s="1059"/>
      <c r="AJ69" s="1059"/>
      <c r="AK69" s="1059"/>
      <c r="AL69" s="1059"/>
      <c r="AM69" s="1059"/>
      <c r="AN69" s="1114"/>
      <c r="AO69" s="1114"/>
      <c r="AP69" s="1114"/>
      <c r="AQ69" s="1059"/>
      <c r="AR69" s="1059"/>
      <c r="AS69" s="1059"/>
      <c r="AT69" s="1059"/>
      <c r="AU69" s="1059"/>
      <c r="AV69" s="1059"/>
      <c r="AW69" s="1059"/>
      <c r="AX69" s="1059"/>
      <c r="AY69" s="1059"/>
      <c r="BB69" s="609">
        <f t="shared" si="1"/>
        <v>-0.41239491105079651</v>
      </c>
      <c r="BC69" s="610">
        <f t="shared" si="2"/>
        <v>-99726293.768321544</v>
      </c>
      <c r="BD69" s="610">
        <f t="shared" si="3"/>
        <v>-99726293.768321544</v>
      </c>
    </row>
    <row r="70" spans="1:56" ht="18" customHeight="1" x14ac:dyDescent="0.25">
      <c r="A70" s="1107"/>
      <c r="B70" s="1107"/>
      <c r="C70" s="1109" t="s">
        <v>507</v>
      </c>
      <c r="D70" s="504" t="s">
        <v>41</v>
      </c>
      <c r="E70" s="585">
        <v>0.05</v>
      </c>
      <c r="F70" s="585">
        <v>0.05</v>
      </c>
      <c r="G70" s="778">
        <v>0.05</v>
      </c>
      <c r="H70" s="779">
        <f>1/20</f>
        <v>0.05</v>
      </c>
      <c r="I70" s="779">
        <f>1/20</f>
        <v>0.05</v>
      </c>
      <c r="J70" s="779"/>
      <c r="K70" s="779"/>
      <c r="L70" s="779"/>
      <c r="M70" s="779"/>
      <c r="N70" s="779"/>
      <c r="O70" s="779"/>
      <c r="P70" s="779"/>
      <c r="Q70" s="779"/>
      <c r="R70" s="779"/>
      <c r="S70" s="780"/>
      <c r="T70" s="781">
        <v>3.7499999999999999E-3</v>
      </c>
      <c r="U70" s="781">
        <f>0.23/20</f>
        <v>1.15E-2</v>
      </c>
      <c r="V70" s="781">
        <f>0.46/20</f>
        <v>2.3E-2</v>
      </c>
      <c r="W70" s="781"/>
      <c r="X70" s="781"/>
      <c r="Y70" s="781"/>
      <c r="Z70" s="781"/>
      <c r="AA70" s="781"/>
      <c r="AB70" s="781"/>
      <c r="AC70" s="781"/>
      <c r="AD70" s="781"/>
      <c r="AE70" s="781"/>
      <c r="AF70" s="1110" t="s">
        <v>747</v>
      </c>
      <c r="AG70" s="1111" t="s">
        <v>451</v>
      </c>
      <c r="AH70" s="1059" t="s">
        <v>723</v>
      </c>
      <c r="AI70" s="1059" t="s">
        <v>724</v>
      </c>
      <c r="AJ70" s="1059" t="s">
        <v>713</v>
      </c>
      <c r="AK70" s="1059" t="s">
        <v>435</v>
      </c>
      <c r="AL70" s="1059">
        <v>7</v>
      </c>
      <c r="AM70" s="1059" t="s">
        <v>71</v>
      </c>
      <c r="AN70" s="1114">
        <f t="shared" ref="AN70" si="84">SUM(AO70:AP75)</f>
        <v>1309115</v>
      </c>
      <c r="AO70" s="1114">
        <v>617598</v>
      </c>
      <c r="AP70" s="1114">
        <v>691517</v>
      </c>
      <c r="AQ70" s="1059" t="s">
        <v>71</v>
      </c>
      <c r="AR70" s="1059" t="s">
        <v>71</v>
      </c>
      <c r="AS70" s="1059" t="s">
        <v>71</v>
      </c>
      <c r="AT70" s="1059" t="s">
        <v>71</v>
      </c>
      <c r="AU70" s="1059" t="s">
        <v>71</v>
      </c>
      <c r="AV70" s="1059" t="s">
        <v>71</v>
      </c>
      <c r="AW70" s="1059" t="s">
        <v>71</v>
      </c>
      <c r="AX70" s="1059" t="s">
        <v>71</v>
      </c>
      <c r="AY70" s="1059"/>
      <c r="BB70" s="609">
        <f t="shared" si="1"/>
        <v>-2.7000000000000003E-2</v>
      </c>
      <c r="BC70" s="610">
        <f t="shared" si="2"/>
        <v>-1.15E-2</v>
      </c>
      <c r="BD70" s="610">
        <f t="shared" si="3"/>
        <v>-1.15E-2</v>
      </c>
    </row>
    <row r="71" spans="1:56" ht="18" x14ac:dyDescent="0.25">
      <c r="A71" s="1107"/>
      <c r="B71" s="1107"/>
      <c r="C71" s="1109"/>
      <c r="D71" s="503" t="s">
        <v>3</v>
      </c>
      <c r="E71" s="585">
        <v>10085466.587163784</v>
      </c>
      <c r="F71" s="585">
        <v>10085466.587163784</v>
      </c>
      <c r="G71" s="778">
        <v>10085466.587163784</v>
      </c>
      <c r="H71" s="779">
        <v>69938178.416085258</v>
      </c>
      <c r="I71" s="779">
        <v>75850988.200000003</v>
      </c>
      <c r="J71" s="779"/>
      <c r="K71" s="779"/>
      <c r="L71" s="779"/>
      <c r="M71" s="779"/>
      <c r="N71" s="779"/>
      <c r="O71" s="779"/>
      <c r="P71" s="779"/>
      <c r="Q71" s="779"/>
      <c r="R71" s="779"/>
      <c r="S71" s="509"/>
      <c r="T71" s="509">
        <v>10085466.587163784</v>
      </c>
      <c r="U71" s="510">
        <v>69938178.416085258</v>
      </c>
      <c r="V71" s="786">
        <v>75850988.233530343</v>
      </c>
      <c r="W71" s="510"/>
      <c r="X71" s="510"/>
      <c r="Y71" s="510"/>
      <c r="Z71" s="510"/>
      <c r="AA71" s="510"/>
      <c r="AB71" s="510"/>
      <c r="AC71" s="510"/>
      <c r="AD71" s="510"/>
      <c r="AE71" s="510"/>
      <c r="AF71" s="1110"/>
      <c r="AG71" s="1111"/>
      <c r="AH71" s="1059"/>
      <c r="AI71" s="1059"/>
      <c r="AJ71" s="1059"/>
      <c r="AK71" s="1059"/>
      <c r="AL71" s="1059"/>
      <c r="AM71" s="1059"/>
      <c r="AN71" s="1114"/>
      <c r="AO71" s="1114"/>
      <c r="AP71" s="1114"/>
      <c r="AQ71" s="1059"/>
      <c r="AR71" s="1059"/>
      <c r="AS71" s="1059"/>
      <c r="AT71" s="1059"/>
      <c r="AU71" s="1059"/>
      <c r="AV71" s="1059"/>
      <c r="AW71" s="1059"/>
      <c r="AX71" s="1059"/>
      <c r="AY71" s="1059"/>
      <c r="BB71" s="609">
        <f t="shared" si="1"/>
        <v>3.3530339598655701E-2</v>
      </c>
      <c r="BC71" s="610">
        <f t="shared" si="2"/>
        <v>-5912809.8174450845</v>
      </c>
      <c r="BD71" s="610">
        <f t="shared" si="3"/>
        <v>-5912809.8174450845</v>
      </c>
    </row>
    <row r="72" spans="1:56" ht="18" x14ac:dyDescent="0.25">
      <c r="A72" s="1107"/>
      <c r="B72" s="1107"/>
      <c r="C72" s="1109"/>
      <c r="D72" s="502" t="s">
        <v>42</v>
      </c>
      <c r="E72" s="585">
        <v>0</v>
      </c>
      <c r="F72" s="585">
        <v>0</v>
      </c>
      <c r="G72" s="778">
        <v>0</v>
      </c>
      <c r="H72" s="779">
        <v>0</v>
      </c>
      <c r="I72" s="779">
        <v>0</v>
      </c>
      <c r="J72" s="779"/>
      <c r="K72" s="779"/>
      <c r="L72" s="779"/>
      <c r="M72" s="779"/>
      <c r="N72" s="779"/>
      <c r="O72" s="779"/>
      <c r="P72" s="779"/>
      <c r="Q72" s="779"/>
      <c r="R72" s="779"/>
      <c r="S72" s="782"/>
      <c r="T72" s="782">
        <v>0</v>
      </c>
      <c r="U72" s="783">
        <v>0</v>
      </c>
      <c r="V72" s="783">
        <v>0</v>
      </c>
      <c r="W72" s="783"/>
      <c r="X72" s="783"/>
      <c r="Y72" s="783"/>
      <c r="Z72" s="783"/>
      <c r="AA72" s="783"/>
      <c r="AB72" s="783"/>
      <c r="AC72" s="783"/>
      <c r="AD72" s="783"/>
      <c r="AE72" s="783"/>
      <c r="AF72" s="1110"/>
      <c r="AG72" s="1111"/>
      <c r="AH72" s="1059"/>
      <c r="AI72" s="1059"/>
      <c r="AJ72" s="1059"/>
      <c r="AK72" s="1059"/>
      <c r="AL72" s="1059"/>
      <c r="AM72" s="1059"/>
      <c r="AN72" s="1114"/>
      <c r="AO72" s="1114"/>
      <c r="AP72" s="1114"/>
      <c r="AQ72" s="1059"/>
      <c r="AR72" s="1059"/>
      <c r="AS72" s="1059"/>
      <c r="AT72" s="1059"/>
      <c r="AU72" s="1059"/>
      <c r="AV72" s="1059"/>
      <c r="AW72" s="1059"/>
      <c r="AX72" s="1059"/>
      <c r="AY72" s="1059"/>
      <c r="BB72" s="609">
        <f t="shared" si="1"/>
        <v>0</v>
      </c>
      <c r="BC72" s="610">
        <f t="shared" si="2"/>
        <v>0</v>
      </c>
      <c r="BD72" s="610">
        <f t="shared" si="3"/>
        <v>0</v>
      </c>
    </row>
    <row r="73" spans="1:56" ht="18" x14ac:dyDescent="0.25">
      <c r="A73" s="1107"/>
      <c r="B73" s="1107"/>
      <c r="C73" s="1109"/>
      <c r="D73" s="503" t="s">
        <v>4</v>
      </c>
      <c r="E73" s="585">
        <v>8451643.5353545602</v>
      </c>
      <c r="F73" s="585">
        <v>8451643.5353545602</v>
      </c>
      <c r="G73" s="778">
        <v>8451643.5353545602</v>
      </c>
      <c r="H73" s="779">
        <v>8451643.5353545602</v>
      </c>
      <c r="I73" s="779">
        <v>8451643.5353545602</v>
      </c>
      <c r="J73" s="779"/>
      <c r="K73" s="779"/>
      <c r="L73" s="779"/>
      <c r="M73" s="779"/>
      <c r="N73" s="779"/>
      <c r="O73" s="779"/>
      <c r="P73" s="779"/>
      <c r="Q73" s="779"/>
      <c r="R73" s="779"/>
      <c r="S73" s="782"/>
      <c r="T73" s="509">
        <v>8451643.5353545602</v>
      </c>
      <c r="U73" s="783">
        <v>8451643.5353545602</v>
      </c>
      <c r="V73" s="783">
        <v>8451643.5353545602</v>
      </c>
      <c r="W73" s="783"/>
      <c r="X73" s="783"/>
      <c r="Y73" s="783"/>
      <c r="Z73" s="783"/>
      <c r="AA73" s="783"/>
      <c r="AB73" s="783"/>
      <c r="AC73" s="783"/>
      <c r="AD73" s="783"/>
      <c r="AE73" s="783"/>
      <c r="AF73" s="1110"/>
      <c r="AG73" s="1111"/>
      <c r="AH73" s="1059"/>
      <c r="AI73" s="1059"/>
      <c r="AJ73" s="1059"/>
      <c r="AK73" s="1059"/>
      <c r="AL73" s="1059"/>
      <c r="AM73" s="1059"/>
      <c r="AN73" s="1114"/>
      <c r="AO73" s="1114"/>
      <c r="AP73" s="1114"/>
      <c r="AQ73" s="1059"/>
      <c r="AR73" s="1059"/>
      <c r="AS73" s="1059"/>
      <c r="AT73" s="1059"/>
      <c r="AU73" s="1059"/>
      <c r="AV73" s="1059"/>
      <c r="AW73" s="1059"/>
      <c r="AX73" s="1059"/>
      <c r="AY73" s="1059"/>
      <c r="BB73" s="609">
        <f t="shared" si="1"/>
        <v>0</v>
      </c>
      <c r="BC73" s="610">
        <f t="shared" si="2"/>
        <v>0</v>
      </c>
      <c r="BD73" s="610">
        <f t="shared" si="3"/>
        <v>0</v>
      </c>
    </row>
    <row r="74" spans="1:56" ht="18" x14ac:dyDescent="0.25">
      <c r="A74" s="1107"/>
      <c r="B74" s="1107"/>
      <c r="C74" s="1109"/>
      <c r="D74" s="502" t="s">
        <v>43</v>
      </c>
      <c r="E74" s="585">
        <f t="shared" ref="E74:F74" si="85">E70+E72</f>
        <v>0.05</v>
      </c>
      <c r="F74" s="585">
        <f t="shared" si="85"/>
        <v>0.05</v>
      </c>
      <c r="G74" s="778">
        <f t="shared" ref="G74:I75" si="86">G70+G72</f>
        <v>0.05</v>
      </c>
      <c r="H74" s="779">
        <f t="shared" si="86"/>
        <v>0.05</v>
      </c>
      <c r="I74" s="779">
        <f t="shared" si="86"/>
        <v>0.05</v>
      </c>
      <c r="J74" s="779"/>
      <c r="K74" s="779"/>
      <c r="L74" s="779"/>
      <c r="M74" s="779"/>
      <c r="N74" s="779"/>
      <c r="O74" s="779"/>
      <c r="P74" s="779"/>
      <c r="Q74" s="779"/>
      <c r="R74" s="779"/>
      <c r="S74" s="782"/>
      <c r="T74" s="782">
        <f t="shared" ref="T74:T75" si="87">T70+T72</f>
        <v>3.7499999999999999E-3</v>
      </c>
      <c r="U74" s="784">
        <f t="shared" ref="U74" si="88">U70+U72</f>
        <v>1.15E-2</v>
      </c>
      <c r="V74" s="784">
        <f t="shared" ref="V74" si="89">V70+V72</f>
        <v>2.3E-2</v>
      </c>
      <c r="W74" s="783"/>
      <c r="X74" s="783"/>
      <c r="Y74" s="783"/>
      <c r="Z74" s="783"/>
      <c r="AA74" s="783"/>
      <c r="AB74" s="783"/>
      <c r="AC74" s="783"/>
      <c r="AD74" s="783"/>
      <c r="AE74" s="783"/>
      <c r="AF74" s="1110"/>
      <c r="AG74" s="1111"/>
      <c r="AH74" s="1059"/>
      <c r="AI74" s="1059"/>
      <c r="AJ74" s="1059"/>
      <c r="AK74" s="1059"/>
      <c r="AL74" s="1059"/>
      <c r="AM74" s="1059"/>
      <c r="AN74" s="1114"/>
      <c r="AO74" s="1114"/>
      <c r="AP74" s="1114"/>
      <c r="AQ74" s="1059"/>
      <c r="AR74" s="1059"/>
      <c r="AS74" s="1059"/>
      <c r="AT74" s="1059"/>
      <c r="AU74" s="1059"/>
      <c r="AV74" s="1059"/>
      <c r="AW74" s="1059"/>
      <c r="AX74" s="1059"/>
      <c r="AY74" s="1059"/>
      <c r="BB74" s="609">
        <f t="shared" si="1"/>
        <v>-2.7000000000000003E-2</v>
      </c>
      <c r="BC74" s="610">
        <f t="shared" si="2"/>
        <v>-1.15E-2</v>
      </c>
      <c r="BD74" s="610">
        <f t="shared" si="3"/>
        <v>-1.15E-2</v>
      </c>
    </row>
    <row r="75" spans="1:56" ht="27" x14ac:dyDescent="0.25">
      <c r="A75" s="1107"/>
      <c r="B75" s="1107"/>
      <c r="C75" s="1109"/>
      <c r="D75" s="503" t="s">
        <v>45</v>
      </c>
      <c r="E75" s="585">
        <f t="shared" ref="E75:F75" si="90">E71+E73</f>
        <v>18537110.122518346</v>
      </c>
      <c r="F75" s="585">
        <f t="shared" si="90"/>
        <v>18537110.122518346</v>
      </c>
      <c r="G75" s="778">
        <f t="shared" si="86"/>
        <v>18537110.122518346</v>
      </c>
      <c r="H75" s="779">
        <f t="shared" si="86"/>
        <v>78389821.951439813</v>
      </c>
      <c r="I75" s="779">
        <f t="shared" si="86"/>
        <v>84302631.735354558</v>
      </c>
      <c r="J75" s="779"/>
      <c r="K75" s="779"/>
      <c r="L75" s="779"/>
      <c r="M75" s="779"/>
      <c r="N75" s="779"/>
      <c r="O75" s="779"/>
      <c r="P75" s="779"/>
      <c r="Q75" s="779"/>
      <c r="R75" s="779"/>
      <c r="S75" s="785"/>
      <c r="T75" s="509">
        <f t="shared" si="87"/>
        <v>18537110.122518346</v>
      </c>
      <c r="U75" s="779">
        <f t="shared" ref="U75" si="91">U71+U73</f>
        <v>78389821.951439813</v>
      </c>
      <c r="V75" s="783">
        <f t="shared" ref="V75" si="92">V71+V73</f>
        <v>84302631.768884897</v>
      </c>
      <c r="W75" s="779"/>
      <c r="X75" s="779"/>
      <c r="Y75" s="779"/>
      <c r="Z75" s="779"/>
      <c r="AA75" s="779"/>
      <c r="AB75" s="779"/>
      <c r="AC75" s="779"/>
      <c r="AD75" s="779"/>
      <c r="AE75" s="779"/>
      <c r="AF75" s="1110"/>
      <c r="AG75" s="1111"/>
      <c r="AH75" s="1059"/>
      <c r="AI75" s="1059"/>
      <c r="AJ75" s="1059"/>
      <c r="AK75" s="1059"/>
      <c r="AL75" s="1059"/>
      <c r="AM75" s="1059"/>
      <c r="AN75" s="1114"/>
      <c r="AO75" s="1114"/>
      <c r="AP75" s="1114"/>
      <c r="AQ75" s="1059"/>
      <c r="AR75" s="1059"/>
      <c r="AS75" s="1059"/>
      <c r="AT75" s="1059"/>
      <c r="AU75" s="1059"/>
      <c r="AV75" s="1059"/>
      <c r="AW75" s="1059"/>
      <c r="AX75" s="1059"/>
      <c r="AY75" s="1059"/>
      <c r="BB75" s="609">
        <f t="shared" ref="BB75:BB138" si="93">V75-I75</f>
        <v>3.3530339598655701E-2</v>
      </c>
      <c r="BC75" s="610">
        <f t="shared" ref="BC75:BC138" si="94">U75-V75</f>
        <v>-5912809.8174450845</v>
      </c>
      <c r="BD75" s="610">
        <f t="shared" ref="BD75:BD138" si="95">U75-V75</f>
        <v>-5912809.8174450845</v>
      </c>
    </row>
    <row r="76" spans="1:56" ht="18" customHeight="1" x14ac:dyDescent="0.25">
      <c r="A76" s="1107"/>
      <c r="B76" s="1107"/>
      <c r="C76" s="1109" t="s">
        <v>508</v>
      </c>
      <c r="D76" s="504" t="s">
        <v>41</v>
      </c>
      <c r="E76" s="585">
        <v>0.05</v>
      </c>
      <c r="F76" s="585">
        <v>0.05</v>
      </c>
      <c r="G76" s="778">
        <v>0.05</v>
      </c>
      <c r="H76" s="779">
        <f>1/20</f>
        <v>0.05</v>
      </c>
      <c r="I76" s="779">
        <v>0.05</v>
      </c>
      <c r="J76" s="779"/>
      <c r="K76" s="779"/>
      <c r="L76" s="779"/>
      <c r="M76" s="779"/>
      <c r="N76" s="779"/>
      <c r="O76" s="779"/>
      <c r="P76" s="779"/>
      <c r="Q76" s="779"/>
      <c r="R76" s="779"/>
      <c r="S76" s="780"/>
      <c r="T76" s="781">
        <v>3.7499999999999999E-3</v>
      </c>
      <c r="U76" s="781">
        <f>0.23/20</f>
        <v>1.15E-2</v>
      </c>
      <c r="V76" s="781">
        <f>0.46/20</f>
        <v>2.3E-2</v>
      </c>
      <c r="W76" s="781"/>
      <c r="X76" s="781"/>
      <c r="Y76" s="781"/>
      <c r="Z76" s="781"/>
      <c r="AA76" s="781"/>
      <c r="AB76" s="781"/>
      <c r="AC76" s="781"/>
      <c r="AD76" s="781"/>
      <c r="AE76" s="781"/>
      <c r="AF76" s="1110" t="s">
        <v>748</v>
      </c>
      <c r="AG76" s="1111" t="s">
        <v>439</v>
      </c>
      <c r="AH76" s="1059" t="s">
        <v>725</v>
      </c>
      <c r="AI76" s="1119" t="s">
        <v>726</v>
      </c>
      <c r="AJ76" s="1059" t="s">
        <v>713</v>
      </c>
      <c r="AK76" s="1059" t="s">
        <v>435</v>
      </c>
      <c r="AL76" s="1059" t="s">
        <v>553</v>
      </c>
      <c r="AM76" s="1059" t="s">
        <v>71</v>
      </c>
      <c r="AN76" s="1114">
        <f t="shared" ref="AN76" si="96">SUM(AO76:AP81)</f>
        <v>156268</v>
      </c>
      <c r="AO76" s="1114">
        <v>77967</v>
      </c>
      <c r="AP76" s="1114">
        <v>78301</v>
      </c>
      <c r="AQ76" s="1059" t="s">
        <v>71</v>
      </c>
      <c r="AR76" s="1059" t="s">
        <v>71</v>
      </c>
      <c r="AS76" s="1059" t="s">
        <v>71</v>
      </c>
      <c r="AT76" s="1059" t="s">
        <v>71</v>
      </c>
      <c r="AU76" s="1059" t="s">
        <v>71</v>
      </c>
      <c r="AV76" s="1059" t="s">
        <v>71</v>
      </c>
      <c r="AW76" s="1059" t="s">
        <v>71</v>
      </c>
      <c r="AX76" s="1059" t="s">
        <v>71</v>
      </c>
      <c r="AY76" s="1059"/>
      <c r="BB76" s="609">
        <f t="shared" si="93"/>
        <v>-2.7000000000000003E-2</v>
      </c>
      <c r="BC76" s="610">
        <f t="shared" si="94"/>
        <v>-1.15E-2</v>
      </c>
      <c r="BD76" s="610">
        <f t="shared" si="95"/>
        <v>-1.15E-2</v>
      </c>
    </row>
    <row r="77" spans="1:56" ht="18" x14ac:dyDescent="0.25">
      <c r="A77" s="1107"/>
      <c r="B77" s="1107"/>
      <c r="C77" s="1109"/>
      <c r="D77" s="503" t="s">
        <v>3</v>
      </c>
      <c r="E77" s="585">
        <v>14757.297835350033</v>
      </c>
      <c r="F77" s="585">
        <v>14757.297835350033</v>
      </c>
      <c r="G77" s="778">
        <v>14757.297835350033</v>
      </c>
      <c r="H77" s="779">
        <v>1691149.7205542957</v>
      </c>
      <c r="I77" s="779">
        <v>2434112.87</v>
      </c>
      <c r="J77" s="779"/>
      <c r="K77" s="779"/>
      <c r="L77" s="779"/>
      <c r="M77" s="779"/>
      <c r="N77" s="779"/>
      <c r="O77" s="779"/>
      <c r="P77" s="779"/>
      <c r="Q77" s="779"/>
      <c r="R77" s="779"/>
      <c r="S77" s="509"/>
      <c r="T77" s="509">
        <v>14757.297835350033</v>
      </c>
      <c r="U77" s="510">
        <v>1691149.7205542957</v>
      </c>
      <c r="V77" s="510">
        <v>2434112.8695513997</v>
      </c>
      <c r="W77" s="510"/>
      <c r="X77" s="510"/>
      <c r="Y77" s="510"/>
      <c r="Z77" s="510"/>
      <c r="AA77" s="510"/>
      <c r="AB77" s="510"/>
      <c r="AC77" s="510"/>
      <c r="AD77" s="510"/>
      <c r="AE77" s="510"/>
      <c r="AF77" s="1110"/>
      <c r="AG77" s="1111"/>
      <c r="AH77" s="1059"/>
      <c r="AI77" s="1120"/>
      <c r="AJ77" s="1059"/>
      <c r="AK77" s="1059"/>
      <c r="AL77" s="1059"/>
      <c r="AM77" s="1059"/>
      <c r="AN77" s="1114"/>
      <c r="AO77" s="1114"/>
      <c r="AP77" s="1114"/>
      <c r="AQ77" s="1059"/>
      <c r="AR77" s="1059"/>
      <c r="AS77" s="1059"/>
      <c r="AT77" s="1059"/>
      <c r="AU77" s="1059"/>
      <c r="AV77" s="1059"/>
      <c r="AW77" s="1059"/>
      <c r="AX77" s="1059"/>
      <c r="AY77" s="1059"/>
      <c r="BB77" s="609">
        <f t="shared" si="93"/>
        <v>-4.4860038906335831E-4</v>
      </c>
      <c r="BC77" s="610">
        <f t="shared" si="94"/>
        <v>-742963.14899710403</v>
      </c>
      <c r="BD77" s="610">
        <f t="shared" si="95"/>
        <v>-742963.14899710403</v>
      </c>
    </row>
    <row r="78" spans="1:56" ht="18" x14ac:dyDescent="0.25">
      <c r="A78" s="1107"/>
      <c r="B78" s="1107"/>
      <c r="C78" s="1109"/>
      <c r="D78" s="502" t="s">
        <v>42</v>
      </c>
      <c r="E78" s="585">
        <v>0</v>
      </c>
      <c r="F78" s="585">
        <v>0</v>
      </c>
      <c r="G78" s="778">
        <v>0</v>
      </c>
      <c r="H78" s="779">
        <v>0</v>
      </c>
      <c r="I78" s="779">
        <v>0</v>
      </c>
      <c r="J78" s="779"/>
      <c r="K78" s="779"/>
      <c r="L78" s="779"/>
      <c r="M78" s="779"/>
      <c r="N78" s="779"/>
      <c r="O78" s="779"/>
      <c r="P78" s="779"/>
      <c r="Q78" s="779"/>
      <c r="R78" s="779"/>
      <c r="S78" s="782"/>
      <c r="T78" s="782">
        <v>0</v>
      </c>
      <c r="U78" s="783">
        <v>0</v>
      </c>
      <c r="V78" s="783">
        <v>0</v>
      </c>
      <c r="W78" s="783"/>
      <c r="X78" s="783"/>
      <c r="Y78" s="783"/>
      <c r="Z78" s="783"/>
      <c r="AA78" s="783"/>
      <c r="AB78" s="783"/>
      <c r="AC78" s="783"/>
      <c r="AD78" s="783"/>
      <c r="AE78" s="783"/>
      <c r="AF78" s="1110"/>
      <c r="AG78" s="1111"/>
      <c r="AH78" s="1059"/>
      <c r="AI78" s="1120"/>
      <c r="AJ78" s="1059"/>
      <c r="AK78" s="1059"/>
      <c r="AL78" s="1059"/>
      <c r="AM78" s="1059"/>
      <c r="AN78" s="1114"/>
      <c r="AO78" s="1114"/>
      <c r="AP78" s="1114"/>
      <c r="AQ78" s="1059"/>
      <c r="AR78" s="1059"/>
      <c r="AS78" s="1059"/>
      <c r="AT78" s="1059"/>
      <c r="AU78" s="1059"/>
      <c r="AV78" s="1059"/>
      <c r="AW78" s="1059"/>
      <c r="AX78" s="1059"/>
      <c r="AY78" s="1059"/>
      <c r="BB78" s="609">
        <f t="shared" si="93"/>
        <v>0</v>
      </c>
      <c r="BC78" s="610">
        <f t="shared" si="94"/>
        <v>0</v>
      </c>
      <c r="BD78" s="610">
        <f t="shared" si="95"/>
        <v>0</v>
      </c>
    </row>
    <row r="79" spans="1:56" ht="18" x14ac:dyDescent="0.25">
      <c r="A79" s="1107"/>
      <c r="B79" s="1107"/>
      <c r="C79" s="1109"/>
      <c r="D79" s="503" t="s">
        <v>4</v>
      </c>
      <c r="E79" s="585">
        <v>411754.35304075648</v>
      </c>
      <c r="F79" s="585">
        <v>411754.35304075648</v>
      </c>
      <c r="G79" s="778">
        <v>411754.35304075648</v>
      </c>
      <c r="H79" s="779">
        <v>411754.35304075648</v>
      </c>
      <c r="I79" s="779">
        <v>411754.35304075648</v>
      </c>
      <c r="J79" s="779"/>
      <c r="K79" s="779"/>
      <c r="L79" s="779"/>
      <c r="M79" s="779"/>
      <c r="N79" s="779"/>
      <c r="O79" s="779"/>
      <c r="P79" s="779"/>
      <c r="Q79" s="779"/>
      <c r="R79" s="779"/>
      <c r="S79" s="782"/>
      <c r="T79" s="509">
        <v>411754.35304075648</v>
      </c>
      <c r="U79" s="783">
        <v>411754.35304075648</v>
      </c>
      <c r="V79" s="783">
        <v>411754.35304075648</v>
      </c>
      <c r="W79" s="783"/>
      <c r="X79" s="783"/>
      <c r="Y79" s="783"/>
      <c r="Z79" s="783"/>
      <c r="AA79" s="783"/>
      <c r="AB79" s="783"/>
      <c r="AC79" s="783"/>
      <c r="AD79" s="783"/>
      <c r="AE79" s="783"/>
      <c r="AF79" s="1110"/>
      <c r="AG79" s="1111"/>
      <c r="AH79" s="1059"/>
      <c r="AI79" s="1120"/>
      <c r="AJ79" s="1059"/>
      <c r="AK79" s="1059"/>
      <c r="AL79" s="1059"/>
      <c r="AM79" s="1059"/>
      <c r="AN79" s="1114"/>
      <c r="AO79" s="1114"/>
      <c r="AP79" s="1114"/>
      <c r="AQ79" s="1059"/>
      <c r="AR79" s="1059"/>
      <c r="AS79" s="1059"/>
      <c r="AT79" s="1059"/>
      <c r="AU79" s="1059"/>
      <c r="AV79" s="1059"/>
      <c r="AW79" s="1059"/>
      <c r="AX79" s="1059"/>
      <c r="AY79" s="1059"/>
      <c r="BB79" s="609">
        <f t="shared" si="93"/>
        <v>0</v>
      </c>
      <c r="BC79" s="610">
        <f t="shared" si="94"/>
        <v>0</v>
      </c>
      <c r="BD79" s="610">
        <f t="shared" si="95"/>
        <v>0</v>
      </c>
    </row>
    <row r="80" spans="1:56" ht="18" x14ac:dyDescent="0.25">
      <c r="A80" s="1107"/>
      <c r="B80" s="1107"/>
      <c r="C80" s="1109"/>
      <c r="D80" s="502" t="s">
        <v>43</v>
      </c>
      <c r="E80" s="585">
        <f t="shared" ref="E80:F80" si="97">E76+E78</f>
        <v>0.05</v>
      </c>
      <c r="F80" s="585">
        <f t="shared" si="97"/>
        <v>0.05</v>
      </c>
      <c r="G80" s="778">
        <f t="shared" ref="G80:I81" si="98">G76+G78</f>
        <v>0.05</v>
      </c>
      <c r="H80" s="779">
        <f t="shared" si="98"/>
        <v>0.05</v>
      </c>
      <c r="I80" s="779">
        <f t="shared" si="98"/>
        <v>0.05</v>
      </c>
      <c r="J80" s="779"/>
      <c r="K80" s="779"/>
      <c r="L80" s="779"/>
      <c r="M80" s="779"/>
      <c r="N80" s="779"/>
      <c r="O80" s="779"/>
      <c r="P80" s="779"/>
      <c r="Q80" s="779"/>
      <c r="R80" s="779"/>
      <c r="S80" s="782"/>
      <c r="T80" s="782">
        <f t="shared" ref="T80:T81" si="99">T76+T78</f>
        <v>3.7499999999999999E-3</v>
      </c>
      <c r="U80" s="784">
        <f t="shared" ref="U80" si="100">U76+U78</f>
        <v>1.15E-2</v>
      </c>
      <c r="V80" s="784">
        <f t="shared" ref="V80" si="101">V76+V78</f>
        <v>2.3E-2</v>
      </c>
      <c r="W80" s="783"/>
      <c r="X80" s="783"/>
      <c r="Y80" s="783"/>
      <c r="Z80" s="783"/>
      <c r="AA80" s="783"/>
      <c r="AB80" s="783"/>
      <c r="AC80" s="783"/>
      <c r="AD80" s="783"/>
      <c r="AE80" s="783"/>
      <c r="AF80" s="1110"/>
      <c r="AG80" s="1111"/>
      <c r="AH80" s="1059"/>
      <c r="AI80" s="1120"/>
      <c r="AJ80" s="1059"/>
      <c r="AK80" s="1059"/>
      <c r="AL80" s="1059"/>
      <c r="AM80" s="1059"/>
      <c r="AN80" s="1114"/>
      <c r="AO80" s="1114"/>
      <c r="AP80" s="1114"/>
      <c r="AQ80" s="1059"/>
      <c r="AR80" s="1059"/>
      <c r="AS80" s="1059"/>
      <c r="AT80" s="1059"/>
      <c r="AU80" s="1059"/>
      <c r="AV80" s="1059"/>
      <c r="AW80" s="1059"/>
      <c r="AX80" s="1059"/>
      <c r="AY80" s="1059"/>
      <c r="BB80" s="609">
        <f t="shared" si="93"/>
        <v>-2.7000000000000003E-2</v>
      </c>
      <c r="BC80" s="610">
        <f t="shared" si="94"/>
        <v>-1.15E-2</v>
      </c>
      <c r="BD80" s="610">
        <f t="shared" si="95"/>
        <v>-1.15E-2</v>
      </c>
    </row>
    <row r="81" spans="1:56" ht="27" x14ac:dyDescent="0.25">
      <c r="A81" s="1107"/>
      <c r="B81" s="1107"/>
      <c r="C81" s="1109"/>
      <c r="D81" s="503" t="s">
        <v>45</v>
      </c>
      <c r="E81" s="585">
        <f t="shared" ref="E81:F81" si="102">E77+E79</f>
        <v>426511.65087610652</v>
      </c>
      <c r="F81" s="585">
        <f t="shared" si="102"/>
        <v>426511.65087610652</v>
      </c>
      <c r="G81" s="778">
        <f t="shared" si="98"/>
        <v>426511.65087610652</v>
      </c>
      <c r="H81" s="779">
        <f t="shared" si="98"/>
        <v>2102904.0735950521</v>
      </c>
      <c r="I81" s="779">
        <f t="shared" si="98"/>
        <v>2845867.2230407568</v>
      </c>
      <c r="J81" s="779"/>
      <c r="K81" s="779"/>
      <c r="L81" s="779"/>
      <c r="M81" s="779"/>
      <c r="N81" s="779"/>
      <c r="O81" s="779"/>
      <c r="P81" s="779"/>
      <c r="Q81" s="779"/>
      <c r="R81" s="779"/>
      <c r="S81" s="785"/>
      <c r="T81" s="509">
        <f t="shared" si="99"/>
        <v>426511.65087610652</v>
      </c>
      <c r="U81" s="779">
        <f t="shared" ref="U81" si="103">U77+U79</f>
        <v>2102904.0735950521</v>
      </c>
      <c r="V81" s="783">
        <f t="shared" ref="V81" si="104">V77+V79</f>
        <v>2845867.2225921564</v>
      </c>
      <c r="W81" s="779"/>
      <c r="X81" s="779"/>
      <c r="Y81" s="779"/>
      <c r="Z81" s="779"/>
      <c r="AA81" s="779"/>
      <c r="AB81" s="779"/>
      <c r="AC81" s="779"/>
      <c r="AD81" s="779"/>
      <c r="AE81" s="779"/>
      <c r="AF81" s="1110"/>
      <c r="AG81" s="1111"/>
      <c r="AH81" s="1059"/>
      <c r="AI81" s="1121"/>
      <c r="AJ81" s="1059"/>
      <c r="AK81" s="1059"/>
      <c r="AL81" s="1059"/>
      <c r="AM81" s="1059"/>
      <c r="AN81" s="1114"/>
      <c r="AO81" s="1114"/>
      <c r="AP81" s="1114"/>
      <c r="AQ81" s="1059"/>
      <c r="AR81" s="1059"/>
      <c r="AS81" s="1059"/>
      <c r="AT81" s="1059"/>
      <c r="AU81" s="1059"/>
      <c r="AV81" s="1059"/>
      <c r="AW81" s="1059"/>
      <c r="AX81" s="1059"/>
      <c r="AY81" s="1059"/>
      <c r="BB81" s="609">
        <f t="shared" si="93"/>
        <v>-4.4860038906335831E-4</v>
      </c>
      <c r="BC81" s="610">
        <f t="shared" si="94"/>
        <v>-742963.14899710426</v>
      </c>
      <c r="BD81" s="610">
        <f t="shared" si="95"/>
        <v>-742963.14899710426</v>
      </c>
    </row>
    <row r="82" spans="1:56" ht="18" customHeight="1" x14ac:dyDescent="0.25">
      <c r="A82" s="1107"/>
      <c r="B82" s="1107"/>
      <c r="C82" s="1109" t="s">
        <v>509</v>
      </c>
      <c r="D82" s="504" t="s">
        <v>41</v>
      </c>
      <c r="E82" s="585">
        <v>0.05</v>
      </c>
      <c r="F82" s="585">
        <v>0.05</v>
      </c>
      <c r="G82" s="778">
        <v>0.05</v>
      </c>
      <c r="H82" s="779">
        <f>1/20</f>
        <v>0.05</v>
      </c>
      <c r="I82" s="779">
        <v>0.05</v>
      </c>
      <c r="J82" s="779"/>
      <c r="K82" s="779"/>
      <c r="L82" s="779"/>
      <c r="M82" s="779"/>
      <c r="N82" s="779"/>
      <c r="O82" s="779"/>
      <c r="P82" s="779"/>
      <c r="Q82" s="779"/>
      <c r="R82" s="779"/>
      <c r="S82" s="780"/>
      <c r="T82" s="781">
        <v>3.7499999999999999E-3</v>
      </c>
      <c r="U82" s="781">
        <f>0.23/20</f>
        <v>1.15E-2</v>
      </c>
      <c r="V82" s="781">
        <f>0.46/20</f>
        <v>2.3E-2</v>
      </c>
      <c r="W82" s="781"/>
      <c r="X82" s="781"/>
      <c r="Y82" s="781"/>
      <c r="Z82" s="781"/>
      <c r="AA82" s="781"/>
      <c r="AB82" s="781"/>
      <c r="AC82" s="781"/>
      <c r="AD82" s="781"/>
      <c r="AE82" s="781"/>
      <c r="AF82" s="1110" t="s">
        <v>749</v>
      </c>
      <c r="AG82" s="1111" t="s">
        <v>452</v>
      </c>
      <c r="AH82" s="1059" t="s">
        <v>679</v>
      </c>
      <c r="AI82" s="1059" t="s">
        <v>680</v>
      </c>
      <c r="AJ82" s="1059" t="s">
        <v>713</v>
      </c>
      <c r="AK82" s="1059" t="s">
        <v>435</v>
      </c>
      <c r="AL82" s="1059" t="s">
        <v>553</v>
      </c>
      <c r="AM82" s="1059" t="s">
        <v>71</v>
      </c>
      <c r="AN82" s="1114">
        <f t="shared" ref="AN82" si="105">SUM(AO82:AP87)</f>
        <v>165438</v>
      </c>
      <c r="AO82" s="1114">
        <v>68105</v>
      </c>
      <c r="AP82" s="1114">
        <v>97333</v>
      </c>
      <c r="AQ82" s="1059" t="s">
        <v>71</v>
      </c>
      <c r="AR82" s="1059" t="s">
        <v>71</v>
      </c>
      <c r="AS82" s="1059" t="s">
        <v>71</v>
      </c>
      <c r="AT82" s="1059" t="s">
        <v>71</v>
      </c>
      <c r="AU82" s="1059" t="s">
        <v>71</v>
      </c>
      <c r="AV82" s="1059" t="s">
        <v>71</v>
      </c>
      <c r="AW82" s="1059" t="s">
        <v>71</v>
      </c>
      <c r="AX82" s="1059" t="s">
        <v>71</v>
      </c>
      <c r="AY82" s="1059"/>
      <c r="BB82" s="609">
        <f t="shared" si="93"/>
        <v>-2.7000000000000003E-2</v>
      </c>
      <c r="BC82" s="610">
        <f t="shared" si="94"/>
        <v>-1.15E-2</v>
      </c>
      <c r="BD82" s="610">
        <f t="shared" si="95"/>
        <v>-1.15E-2</v>
      </c>
    </row>
    <row r="83" spans="1:56" ht="18" x14ac:dyDescent="0.25">
      <c r="A83" s="1107"/>
      <c r="B83" s="1107"/>
      <c r="C83" s="1109"/>
      <c r="D83" s="503" t="s">
        <v>3</v>
      </c>
      <c r="E83" s="585"/>
      <c r="F83" s="585"/>
      <c r="G83" s="778"/>
      <c r="H83" s="779">
        <v>8919850.1641396377</v>
      </c>
      <c r="I83" s="779">
        <v>12685823.199999999</v>
      </c>
      <c r="J83" s="779"/>
      <c r="K83" s="779"/>
      <c r="L83" s="779"/>
      <c r="M83" s="779"/>
      <c r="N83" s="779"/>
      <c r="O83" s="779"/>
      <c r="P83" s="779"/>
      <c r="Q83" s="779"/>
      <c r="R83" s="779"/>
      <c r="S83" s="509"/>
      <c r="T83" s="509"/>
      <c r="U83" s="510">
        <v>8919850.1641396377</v>
      </c>
      <c r="V83" s="787">
        <v>12685823.233367756</v>
      </c>
      <c r="W83" s="510"/>
      <c r="X83" s="510"/>
      <c r="Y83" s="510"/>
      <c r="Z83" s="510"/>
      <c r="AA83" s="510"/>
      <c r="AB83" s="510"/>
      <c r="AC83" s="510"/>
      <c r="AD83" s="510"/>
      <c r="AE83" s="510"/>
      <c r="AF83" s="1110"/>
      <c r="AG83" s="1111"/>
      <c r="AH83" s="1059"/>
      <c r="AI83" s="1059"/>
      <c r="AJ83" s="1059"/>
      <c r="AK83" s="1059"/>
      <c r="AL83" s="1059"/>
      <c r="AM83" s="1059"/>
      <c r="AN83" s="1114"/>
      <c r="AO83" s="1114"/>
      <c r="AP83" s="1114"/>
      <c r="AQ83" s="1059"/>
      <c r="AR83" s="1059"/>
      <c r="AS83" s="1059"/>
      <c r="AT83" s="1059"/>
      <c r="AU83" s="1059"/>
      <c r="AV83" s="1059"/>
      <c r="AW83" s="1059"/>
      <c r="AX83" s="1059"/>
      <c r="AY83" s="1059"/>
      <c r="BB83" s="609">
        <f t="shared" si="93"/>
        <v>3.3367756754159927E-2</v>
      </c>
      <c r="BC83" s="610">
        <f t="shared" si="94"/>
        <v>-3765973.0692281183</v>
      </c>
      <c r="BD83" s="610">
        <f t="shared" si="95"/>
        <v>-3765973.0692281183</v>
      </c>
    </row>
    <row r="84" spans="1:56" ht="18" x14ac:dyDescent="0.25">
      <c r="A84" s="1107"/>
      <c r="B84" s="1107"/>
      <c r="C84" s="1109"/>
      <c r="D84" s="502" t="s">
        <v>42</v>
      </c>
      <c r="E84" s="585">
        <v>0</v>
      </c>
      <c r="F84" s="585">
        <v>0</v>
      </c>
      <c r="G84" s="778">
        <v>0</v>
      </c>
      <c r="H84" s="779">
        <v>0</v>
      </c>
      <c r="I84" s="779">
        <v>0</v>
      </c>
      <c r="J84" s="779"/>
      <c r="K84" s="779"/>
      <c r="L84" s="779"/>
      <c r="M84" s="779"/>
      <c r="N84" s="779"/>
      <c r="O84" s="779"/>
      <c r="P84" s="779"/>
      <c r="Q84" s="779"/>
      <c r="R84" s="779"/>
      <c r="S84" s="782"/>
      <c r="T84" s="782">
        <v>0</v>
      </c>
      <c r="U84" s="783">
        <v>0</v>
      </c>
      <c r="V84" s="783">
        <v>0</v>
      </c>
      <c r="W84" s="783"/>
      <c r="X84" s="783"/>
      <c r="Y84" s="783"/>
      <c r="Z84" s="783"/>
      <c r="AA84" s="783"/>
      <c r="AB84" s="783"/>
      <c r="AC84" s="783"/>
      <c r="AD84" s="783"/>
      <c r="AE84" s="783"/>
      <c r="AF84" s="1110"/>
      <c r="AG84" s="1111"/>
      <c r="AH84" s="1059"/>
      <c r="AI84" s="1059"/>
      <c r="AJ84" s="1059"/>
      <c r="AK84" s="1059"/>
      <c r="AL84" s="1059"/>
      <c r="AM84" s="1059"/>
      <c r="AN84" s="1114"/>
      <c r="AO84" s="1114"/>
      <c r="AP84" s="1114"/>
      <c r="AQ84" s="1059"/>
      <c r="AR84" s="1059"/>
      <c r="AS84" s="1059"/>
      <c r="AT84" s="1059"/>
      <c r="AU84" s="1059"/>
      <c r="AV84" s="1059"/>
      <c r="AW84" s="1059"/>
      <c r="AX84" s="1059"/>
      <c r="AY84" s="1059"/>
      <c r="BB84" s="609">
        <f t="shared" si="93"/>
        <v>0</v>
      </c>
      <c r="BC84" s="610">
        <f t="shared" si="94"/>
        <v>0</v>
      </c>
      <c r="BD84" s="610">
        <f t="shared" si="95"/>
        <v>0</v>
      </c>
    </row>
    <row r="85" spans="1:56" ht="18" x14ac:dyDescent="0.25">
      <c r="A85" s="1107"/>
      <c r="B85" s="1107"/>
      <c r="C85" s="1109"/>
      <c r="D85" s="503" t="s">
        <v>4</v>
      </c>
      <c r="E85" s="585">
        <v>1574705.4146034315</v>
      </c>
      <c r="F85" s="585">
        <v>1574705.4146034315</v>
      </c>
      <c r="G85" s="778">
        <v>1574705.4146034315</v>
      </c>
      <c r="H85" s="779">
        <v>1574705.4146034315</v>
      </c>
      <c r="I85" s="779">
        <v>1574705.4146034315</v>
      </c>
      <c r="J85" s="779"/>
      <c r="K85" s="779"/>
      <c r="L85" s="779"/>
      <c r="M85" s="779"/>
      <c r="N85" s="779"/>
      <c r="O85" s="779"/>
      <c r="P85" s="779"/>
      <c r="Q85" s="779"/>
      <c r="R85" s="779"/>
      <c r="S85" s="782"/>
      <c r="T85" s="509">
        <v>1574705.4146034315</v>
      </c>
      <c r="U85" s="783">
        <v>1574705.4146034315</v>
      </c>
      <c r="V85" s="783">
        <v>1574705.4146034315</v>
      </c>
      <c r="W85" s="783"/>
      <c r="X85" s="783"/>
      <c r="Y85" s="783"/>
      <c r="Z85" s="783"/>
      <c r="AA85" s="783"/>
      <c r="AB85" s="783"/>
      <c r="AC85" s="783"/>
      <c r="AD85" s="783"/>
      <c r="AE85" s="783"/>
      <c r="AF85" s="1110"/>
      <c r="AG85" s="1111"/>
      <c r="AH85" s="1059"/>
      <c r="AI85" s="1059"/>
      <c r="AJ85" s="1059"/>
      <c r="AK85" s="1059"/>
      <c r="AL85" s="1059"/>
      <c r="AM85" s="1059"/>
      <c r="AN85" s="1114"/>
      <c r="AO85" s="1114"/>
      <c r="AP85" s="1114"/>
      <c r="AQ85" s="1059"/>
      <c r="AR85" s="1059"/>
      <c r="AS85" s="1059"/>
      <c r="AT85" s="1059"/>
      <c r="AU85" s="1059"/>
      <c r="AV85" s="1059"/>
      <c r="AW85" s="1059"/>
      <c r="AX85" s="1059"/>
      <c r="AY85" s="1059"/>
      <c r="BB85" s="609">
        <f t="shared" si="93"/>
        <v>0</v>
      </c>
      <c r="BC85" s="610">
        <f t="shared" si="94"/>
        <v>0</v>
      </c>
      <c r="BD85" s="610">
        <f t="shared" si="95"/>
        <v>0</v>
      </c>
    </row>
    <row r="86" spans="1:56" ht="18" x14ac:dyDescent="0.25">
      <c r="A86" s="1107"/>
      <c r="B86" s="1107"/>
      <c r="C86" s="1109"/>
      <c r="D86" s="502" t="s">
        <v>43</v>
      </c>
      <c r="E86" s="585">
        <f t="shared" ref="E86:F86" si="106">E82+E84</f>
        <v>0.05</v>
      </c>
      <c r="F86" s="585">
        <f t="shared" si="106"/>
        <v>0.05</v>
      </c>
      <c r="G86" s="778">
        <f t="shared" ref="G86:I87" si="107">G82+G84</f>
        <v>0.05</v>
      </c>
      <c r="H86" s="779">
        <f t="shared" si="107"/>
        <v>0.05</v>
      </c>
      <c r="I86" s="779">
        <f t="shared" si="107"/>
        <v>0.05</v>
      </c>
      <c r="J86" s="779"/>
      <c r="K86" s="779"/>
      <c r="L86" s="779"/>
      <c r="M86" s="779"/>
      <c r="N86" s="779"/>
      <c r="O86" s="779"/>
      <c r="P86" s="779"/>
      <c r="Q86" s="779"/>
      <c r="R86" s="779"/>
      <c r="S86" s="782"/>
      <c r="T86" s="782">
        <f t="shared" ref="T86:T87" si="108">T82+T84</f>
        <v>3.7499999999999999E-3</v>
      </c>
      <c r="U86" s="784">
        <f t="shared" ref="U86" si="109">U82+U84</f>
        <v>1.15E-2</v>
      </c>
      <c r="V86" s="784">
        <f t="shared" ref="V86" si="110">V82+V84</f>
        <v>2.3E-2</v>
      </c>
      <c r="W86" s="783"/>
      <c r="X86" s="783"/>
      <c r="Y86" s="783"/>
      <c r="Z86" s="783"/>
      <c r="AA86" s="783"/>
      <c r="AB86" s="783"/>
      <c r="AC86" s="783"/>
      <c r="AD86" s="783"/>
      <c r="AE86" s="783"/>
      <c r="AF86" s="1110"/>
      <c r="AG86" s="1111"/>
      <c r="AH86" s="1059"/>
      <c r="AI86" s="1059"/>
      <c r="AJ86" s="1059"/>
      <c r="AK86" s="1059"/>
      <c r="AL86" s="1059"/>
      <c r="AM86" s="1059"/>
      <c r="AN86" s="1114"/>
      <c r="AO86" s="1114"/>
      <c r="AP86" s="1114"/>
      <c r="AQ86" s="1059"/>
      <c r="AR86" s="1059"/>
      <c r="AS86" s="1059"/>
      <c r="AT86" s="1059"/>
      <c r="AU86" s="1059"/>
      <c r="AV86" s="1059"/>
      <c r="AW86" s="1059"/>
      <c r="AX86" s="1059"/>
      <c r="AY86" s="1059"/>
      <c r="BB86" s="609">
        <f t="shared" si="93"/>
        <v>-2.7000000000000003E-2</v>
      </c>
      <c r="BC86" s="610">
        <f t="shared" si="94"/>
        <v>-1.15E-2</v>
      </c>
      <c r="BD86" s="610">
        <f t="shared" si="95"/>
        <v>-1.15E-2</v>
      </c>
    </row>
    <row r="87" spans="1:56" ht="27" x14ac:dyDescent="0.25">
      <c r="A87" s="1107"/>
      <c r="B87" s="1107"/>
      <c r="C87" s="1109"/>
      <c r="D87" s="503" t="s">
        <v>45</v>
      </c>
      <c r="E87" s="585">
        <f t="shared" ref="E87:F87" si="111">E83+E85</f>
        <v>1574705.4146034315</v>
      </c>
      <c r="F87" s="585">
        <f t="shared" si="111"/>
        <v>1574705.4146034315</v>
      </c>
      <c r="G87" s="778">
        <f t="shared" si="107"/>
        <v>1574705.4146034315</v>
      </c>
      <c r="H87" s="779">
        <f t="shared" si="107"/>
        <v>10494555.578743069</v>
      </c>
      <c r="I87" s="779">
        <f t="shared" si="107"/>
        <v>14260528.61460343</v>
      </c>
      <c r="J87" s="779"/>
      <c r="K87" s="779"/>
      <c r="L87" s="779"/>
      <c r="M87" s="779"/>
      <c r="N87" s="779"/>
      <c r="O87" s="779"/>
      <c r="P87" s="779"/>
      <c r="Q87" s="779"/>
      <c r="R87" s="779"/>
      <c r="S87" s="785"/>
      <c r="T87" s="509">
        <f t="shared" si="108"/>
        <v>1574705.4146034315</v>
      </c>
      <c r="U87" s="779">
        <f t="shared" ref="U87" si="112">U83+U85</f>
        <v>10494555.578743069</v>
      </c>
      <c r="V87" s="783">
        <f t="shared" ref="V87" si="113">V83+V85</f>
        <v>14260528.647971187</v>
      </c>
      <c r="W87" s="779"/>
      <c r="X87" s="779"/>
      <c r="Y87" s="779"/>
      <c r="Z87" s="779"/>
      <c r="AA87" s="779"/>
      <c r="AB87" s="779"/>
      <c r="AC87" s="779"/>
      <c r="AD87" s="779"/>
      <c r="AE87" s="779"/>
      <c r="AF87" s="1110"/>
      <c r="AG87" s="1111"/>
      <c r="AH87" s="1059"/>
      <c r="AI87" s="1059"/>
      <c r="AJ87" s="1059"/>
      <c r="AK87" s="1059"/>
      <c r="AL87" s="1059"/>
      <c r="AM87" s="1059"/>
      <c r="AN87" s="1114"/>
      <c r="AO87" s="1114"/>
      <c r="AP87" s="1114"/>
      <c r="AQ87" s="1059"/>
      <c r="AR87" s="1059"/>
      <c r="AS87" s="1059"/>
      <c r="AT87" s="1059"/>
      <c r="AU87" s="1059"/>
      <c r="AV87" s="1059"/>
      <c r="AW87" s="1059"/>
      <c r="AX87" s="1059"/>
      <c r="AY87" s="1059"/>
      <c r="BB87" s="609">
        <f t="shared" si="93"/>
        <v>3.3367756754159927E-2</v>
      </c>
      <c r="BC87" s="610">
        <f t="shared" si="94"/>
        <v>-3765973.0692281183</v>
      </c>
      <c r="BD87" s="610">
        <f t="shared" si="95"/>
        <v>-3765973.0692281183</v>
      </c>
    </row>
    <row r="88" spans="1:56" ht="18" customHeight="1" x14ac:dyDescent="0.25">
      <c r="A88" s="1107"/>
      <c r="B88" s="1107"/>
      <c r="C88" s="1109" t="s">
        <v>510</v>
      </c>
      <c r="D88" s="504" t="s">
        <v>41</v>
      </c>
      <c r="E88" s="585">
        <v>0.05</v>
      </c>
      <c r="F88" s="585">
        <v>0.05</v>
      </c>
      <c r="G88" s="778">
        <v>0.05</v>
      </c>
      <c r="H88" s="779">
        <f>1/20</f>
        <v>0.05</v>
      </c>
      <c r="I88" s="779">
        <v>0.05</v>
      </c>
      <c r="J88" s="779"/>
      <c r="K88" s="779"/>
      <c r="L88" s="779"/>
      <c r="M88" s="779"/>
      <c r="N88" s="779"/>
      <c r="O88" s="779"/>
      <c r="P88" s="779"/>
      <c r="Q88" s="779"/>
      <c r="R88" s="779"/>
      <c r="S88" s="780"/>
      <c r="T88" s="781">
        <v>3.7499999999999999E-3</v>
      </c>
      <c r="U88" s="781">
        <f>0.23/20</f>
        <v>1.15E-2</v>
      </c>
      <c r="V88" s="781">
        <f>0.46/20</f>
        <v>2.3E-2</v>
      </c>
      <c r="W88" s="781"/>
      <c r="X88" s="781"/>
      <c r="Y88" s="781"/>
      <c r="Z88" s="781"/>
      <c r="AA88" s="781"/>
      <c r="AB88" s="781"/>
      <c r="AC88" s="781"/>
      <c r="AD88" s="781"/>
      <c r="AE88" s="781"/>
      <c r="AF88" s="1110" t="s">
        <v>750</v>
      </c>
      <c r="AG88" s="1111" t="s">
        <v>446</v>
      </c>
      <c r="AH88" s="1059" t="s">
        <v>681</v>
      </c>
      <c r="AI88" s="1059" t="s">
        <v>727</v>
      </c>
      <c r="AJ88" s="1059" t="s">
        <v>713</v>
      </c>
      <c r="AK88" s="1059" t="s">
        <v>435</v>
      </c>
      <c r="AL88" s="1059" t="s">
        <v>553</v>
      </c>
      <c r="AM88" s="1059" t="s">
        <v>71</v>
      </c>
      <c r="AN88" s="1114">
        <f t="shared" ref="AN88" si="114">SUM(AO88:AP93)</f>
        <v>83001</v>
      </c>
      <c r="AO88" s="1114">
        <v>33755</v>
      </c>
      <c r="AP88" s="1114">
        <v>49246</v>
      </c>
      <c r="AQ88" s="1059" t="s">
        <v>71</v>
      </c>
      <c r="AR88" s="1059" t="s">
        <v>71</v>
      </c>
      <c r="AS88" s="1059" t="s">
        <v>71</v>
      </c>
      <c r="AT88" s="1059" t="s">
        <v>71</v>
      </c>
      <c r="AU88" s="1059" t="s">
        <v>71</v>
      </c>
      <c r="AV88" s="1059" t="s">
        <v>71</v>
      </c>
      <c r="AW88" s="1059" t="s">
        <v>71</v>
      </c>
      <c r="AX88" s="1059" t="s">
        <v>71</v>
      </c>
      <c r="AY88" s="1059"/>
      <c r="BB88" s="609">
        <f t="shared" si="93"/>
        <v>-2.7000000000000003E-2</v>
      </c>
      <c r="BC88" s="610">
        <f t="shared" si="94"/>
        <v>-1.15E-2</v>
      </c>
      <c r="BD88" s="610">
        <f t="shared" si="95"/>
        <v>-1.15E-2</v>
      </c>
    </row>
    <row r="89" spans="1:56" ht="18" x14ac:dyDescent="0.25">
      <c r="A89" s="1107"/>
      <c r="B89" s="1107"/>
      <c r="C89" s="1109"/>
      <c r="D89" s="503" t="s">
        <v>3</v>
      </c>
      <c r="E89" s="585"/>
      <c r="F89" s="585"/>
      <c r="G89" s="778"/>
      <c r="H89" s="779">
        <v>684301.10228060896</v>
      </c>
      <c r="I89" s="779">
        <v>3985679.17</v>
      </c>
      <c r="J89" s="779"/>
      <c r="K89" s="779"/>
      <c r="L89" s="779"/>
      <c r="M89" s="779"/>
      <c r="N89" s="779"/>
      <c r="O89" s="779"/>
      <c r="P89" s="779"/>
      <c r="Q89" s="779"/>
      <c r="R89" s="779"/>
      <c r="S89" s="509"/>
      <c r="T89" s="509"/>
      <c r="U89" s="510">
        <v>684301.10228060896</v>
      </c>
      <c r="V89" s="787">
        <v>3985679.1652796287</v>
      </c>
      <c r="W89" s="510"/>
      <c r="X89" s="510"/>
      <c r="Y89" s="510"/>
      <c r="Z89" s="510"/>
      <c r="AA89" s="510"/>
      <c r="AB89" s="510"/>
      <c r="AC89" s="510"/>
      <c r="AD89" s="510"/>
      <c r="AE89" s="510"/>
      <c r="AF89" s="1110"/>
      <c r="AG89" s="1111"/>
      <c r="AH89" s="1059"/>
      <c r="AI89" s="1059"/>
      <c r="AJ89" s="1059"/>
      <c r="AK89" s="1059"/>
      <c r="AL89" s="1059"/>
      <c r="AM89" s="1059"/>
      <c r="AN89" s="1114"/>
      <c r="AO89" s="1114"/>
      <c r="AP89" s="1114"/>
      <c r="AQ89" s="1059"/>
      <c r="AR89" s="1059"/>
      <c r="AS89" s="1059"/>
      <c r="AT89" s="1059"/>
      <c r="AU89" s="1059"/>
      <c r="AV89" s="1059"/>
      <c r="AW89" s="1059"/>
      <c r="AX89" s="1059"/>
      <c r="AY89" s="1059"/>
      <c r="BB89" s="609">
        <f t="shared" si="93"/>
        <v>-4.7203712165355682E-3</v>
      </c>
      <c r="BC89" s="610">
        <f t="shared" si="94"/>
        <v>-3301378.0629990199</v>
      </c>
      <c r="BD89" s="610">
        <f t="shared" si="95"/>
        <v>-3301378.0629990199</v>
      </c>
    </row>
    <row r="90" spans="1:56" ht="18" x14ac:dyDescent="0.25">
      <c r="A90" s="1107"/>
      <c r="B90" s="1107"/>
      <c r="C90" s="1109"/>
      <c r="D90" s="502" t="s">
        <v>42</v>
      </c>
      <c r="E90" s="585">
        <v>0</v>
      </c>
      <c r="F90" s="585">
        <v>0</v>
      </c>
      <c r="G90" s="778">
        <v>0</v>
      </c>
      <c r="H90" s="779">
        <v>0</v>
      </c>
      <c r="I90" s="779">
        <v>0</v>
      </c>
      <c r="J90" s="779"/>
      <c r="K90" s="779"/>
      <c r="L90" s="779"/>
      <c r="M90" s="779"/>
      <c r="N90" s="779"/>
      <c r="O90" s="779"/>
      <c r="P90" s="779"/>
      <c r="Q90" s="779"/>
      <c r="R90" s="779"/>
      <c r="S90" s="782"/>
      <c r="T90" s="782">
        <v>0</v>
      </c>
      <c r="U90" s="783">
        <v>0</v>
      </c>
      <c r="V90" s="783">
        <v>0</v>
      </c>
      <c r="W90" s="783"/>
      <c r="X90" s="783"/>
      <c r="Y90" s="783"/>
      <c r="Z90" s="783"/>
      <c r="AA90" s="783"/>
      <c r="AB90" s="783"/>
      <c r="AC90" s="783"/>
      <c r="AD90" s="783"/>
      <c r="AE90" s="783"/>
      <c r="AF90" s="1110"/>
      <c r="AG90" s="1111"/>
      <c r="AH90" s="1059"/>
      <c r="AI90" s="1059"/>
      <c r="AJ90" s="1059"/>
      <c r="AK90" s="1059"/>
      <c r="AL90" s="1059"/>
      <c r="AM90" s="1059"/>
      <c r="AN90" s="1114"/>
      <c r="AO90" s="1114"/>
      <c r="AP90" s="1114"/>
      <c r="AQ90" s="1059"/>
      <c r="AR90" s="1059"/>
      <c r="AS90" s="1059"/>
      <c r="AT90" s="1059"/>
      <c r="AU90" s="1059"/>
      <c r="AV90" s="1059"/>
      <c r="AW90" s="1059"/>
      <c r="AX90" s="1059"/>
      <c r="AY90" s="1059"/>
      <c r="BB90" s="609">
        <f t="shared" si="93"/>
        <v>0</v>
      </c>
      <c r="BC90" s="610">
        <f t="shared" si="94"/>
        <v>0</v>
      </c>
      <c r="BD90" s="610">
        <f t="shared" si="95"/>
        <v>0</v>
      </c>
    </row>
    <row r="91" spans="1:56" ht="18" x14ac:dyDescent="0.25">
      <c r="A91" s="1107"/>
      <c r="B91" s="1107"/>
      <c r="C91" s="1109"/>
      <c r="D91" s="503" t="s">
        <v>4</v>
      </c>
      <c r="E91" s="585">
        <v>159506.05228294563</v>
      </c>
      <c r="F91" s="585">
        <v>159506.05228294563</v>
      </c>
      <c r="G91" s="778">
        <v>159506.05228294563</v>
      </c>
      <c r="H91" s="779">
        <v>159506.05228294563</v>
      </c>
      <c r="I91" s="779">
        <v>159506.05228294563</v>
      </c>
      <c r="J91" s="779"/>
      <c r="K91" s="779"/>
      <c r="L91" s="779"/>
      <c r="M91" s="779"/>
      <c r="N91" s="779"/>
      <c r="O91" s="779"/>
      <c r="P91" s="779"/>
      <c r="Q91" s="779"/>
      <c r="R91" s="779"/>
      <c r="S91" s="782"/>
      <c r="T91" s="509">
        <v>159506.05228294563</v>
      </c>
      <c r="U91" s="783">
        <v>159506.05228294563</v>
      </c>
      <c r="V91" s="783">
        <v>159506.05228294563</v>
      </c>
      <c r="W91" s="783"/>
      <c r="X91" s="783"/>
      <c r="Y91" s="783"/>
      <c r="Z91" s="783"/>
      <c r="AA91" s="783"/>
      <c r="AB91" s="783"/>
      <c r="AC91" s="783"/>
      <c r="AD91" s="783"/>
      <c r="AE91" s="783"/>
      <c r="AF91" s="1110"/>
      <c r="AG91" s="1111"/>
      <c r="AH91" s="1059"/>
      <c r="AI91" s="1059"/>
      <c r="AJ91" s="1059"/>
      <c r="AK91" s="1059"/>
      <c r="AL91" s="1059"/>
      <c r="AM91" s="1059"/>
      <c r="AN91" s="1114"/>
      <c r="AO91" s="1114"/>
      <c r="AP91" s="1114"/>
      <c r="AQ91" s="1059"/>
      <c r="AR91" s="1059"/>
      <c r="AS91" s="1059"/>
      <c r="AT91" s="1059"/>
      <c r="AU91" s="1059"/>
      <c r="AV91" s="1059"/>
      <c r="AW91" s="1059"/>
      <c r="AX91" s="1059"/>
      <c r="AY91" s="1059"/>
      <c r="BB91" s="609">
        <f t="shared" si="93"/>
        <v>0</v>
      </c>
      <c r="BC91" s="610">
        <f t="shared" si="94"/>
        <v>0</v>
      </c>
      <c r="BD91" s="610">
        <f t="shared" si="95"/>
        <v>0</v>
      </c>
    </row>
    <row r="92" spans="1:56" ht="18" x14ac:dyDescent="0.25">
      <c r="A92" s="1107"/>
      <c r="B92" s="1107"/>
      <c r="C92" s="1109"/>
      <c r="D92" s="502" t="s">
        <v>43</v>
      </c>
      <c r="E92" s="585">
        <f t="shared" ref="E92:F92" si="115">E88+E90</f>
        <v>0.05</v>
      </c>
      <c r="F92" s="585">
        <f t="shared" si="115"/>
        <v>0.05</v>
      </c>
      <c r="G92" s="778">
        <f t="shared" ref="G92:I93" si="116">G88+G90</f>
        <v>0.05</v>
      </c>
      <c r="H92" s="779">
        <f t="shared" si="116"/>
        <v>0.05</v>
      </c>
      <c r="I92" s="779">
        <f t="shared" si="116"/>
        <v>0.05</v>
      </c>
      <c r="J92" s="779"/>
      <c r="K92" s="779"/>
      <c r="L92" s="779"/>
      <c r="M92" s="779"/>
      <c r="N92" s="779"/>
      <c r="O92" s="779"/>
      <c r="P92" s="779"/>
      <c r="Q92" s="779"/>
      <c r="R92" s="779"/>
      <c r="S92" s="782"/>
      <c r="T92" s="782">
        <f t="shared" ref="T92:T93" si="117">T88+T90</f>
        <v>3.7499999999999999E-3</v>
      </c>
      <c r="U92" s="784">
        <f t="shared" ref="U92" si="118">U88+U90</f>
        <v>1.15E-2</v>
      </c>
      <c r="V92" s="784">
        <f t="shared" ref="V92" si="119">V88+V90</f>
        <v>2.3E-2</v>
      </c>
      <c r="W92" s="783"/>
      <c r="X92" s="783"/>
      <c r="Y92" s="783"/>
      <c r="Z92" s="783"/>
      <c r="AA92" s="783"/>
      <c r="AB92" s="783"/>
      <c r="AC92" s="783"/>
      <c r="AD92" s="783"/>
      <c r="AE92" s="783"/>
      <c r="AF92" s="1110"/>
      <c r="AG92" s="1111"/>
      <c r="AH92" s="1059"/>
      <c r="AI92" s="1059"/>
      <c r="AJ92" s="1059"/>
      <c r="AK92" s="1059"/>
      <c r="AL92" s="1059"/>
      <c r="AM92" s="1059"/>
      <c r="AN92" s="1114"/>
      <c r="AO92" s="1114"/>
      <c r="AP92" s="1114"/>
      <c r="AQ92" s="1059"/>
      <c r="AR92" s="1059"/>
      <c r="AS92" s="1059"/>
      <c r="AT92" s="1059"/>
      <c r="AU92" s="1059"/>
      <c r="AV92" s="1059"/>
      <c r="AW92" s="1059"/>
      <c r="AX92" s="1059"/>
      <c r="AY92" s="1059"/>
      <c r="BB92" s="609">
        <f t="shared" si="93"/>
        <v>-2.7000000000000003E-2</v>
      </c>
      <c r="BC92" s="610">
        <f t="shared" si="94"/>
        <v>-1.15E-2</v>
      </c>
      <c r="BD92" s="610">
        <f t="shared" si="95"/>
        <v>-1.15E-2</v>
      </c>
    </row>
    <row r="93" spans="1:56" ht="27" x14ac:dyDescent="0.25">
      <c r="A93" s="1107"/>
      <c r="B93" s="1107"/>
      <c r="C93" s="1109"/>
      <c r="D93" s="503" t="s">
        <v>45</v>
      </c>
      <c r="E93" s="585">
        <f t="shared" ref="E93:F93" si="120">E89+E91</f>
        <v>159506.05228294563</v>
      </c>
      <c r="F93" s="585">
        <f t="shared" si="120"/>
        <v>159506.05228294563</v>
      </c>
      <c r="G93" s="778">
        <f t="shared" si="116"/>
        <v>159506.05228294563</v>
      </c>
      <c r="H93" s="779">
        <f t="shared" si="116"/>
        <v>843807.15456355456</v>
      </c>
      <c r="I93" s="779">
        <f t="shared" si="116"/>
        <v>4145185.2222829456</v>
      </c>
      <c r="J93" s="779"/>
      <c r="K93" s="779"/>
      <c r="L93" s="779"/>
      <c r="M93" s="779"/>
      <c r="N93" s="779"/>
      <c r="O93" s="779"/>
      <c r="P93" s="779"/>
      <c r="Q93" s="779"/>
      <c r="R93" s="779"/>
      <c r="S93" s="785"/>
      <c r="T93" s="509">
        <f t="shared" si="117"/>
        <v>159506.05228294563</v>
      </c>
      <c r="U93" s="779">
        <f t="shared" ref="U93" si="121">U89+U91</f>
        <v>843807.15456355456</v>
      </c>
      <c r="V93" s="783">
        <f t="shared" ref="V93" si="122">V89+V91</f>
        <v>4145185.2175625744</v>
      </c>
      <c r="W93" s="779"/>
      <c r="X93" s="779"/>
      <c r="Y93" s="779"/>
      <c r="Z93" s="779"/>
      <c r="AA93" s="779"/>
      <c r="AB93" s="779"/>
      <c r="AC93" s="779"/>
      <c r="AD93" s="779"/>
      <c r="AE93" s="779"/>
      <c r="AF93" s="1110"/>
      <c r="AG93" s="1111"/>
      <c r="AH93" s="1059"/>
      <c r="AI93" s="1059"/>
      <c r="AJ93" s="1059"/>
      <c r="AK93" s="1059"/>
      <c r="AL93" s="1059"/>
      <c r="AM93" s="1059"/>
      <c r="AN93" s="1114"/>
      <c r="AO93" s="1114"/>
      <c r="AP93" s="1114"/>
      <c r="AQ93" s="1059"/>
      <c r="AR93" s="1059"/>
      <c r="AS93" s="1059"/>
      <c r="AT93" s="1059"/>
      <c r="AU93" s="1059"/>
      <c r="AV93" s="1059"/>
      <c r="AW93" s="1059"/>
      <c r="AX93" s="1059"/>
      <c r="AY93" s="1059"/>
      <c r="BB93" s="609">
        <f t="shared" si="93"/>
        <v>-4.7203712165355682E-3</v>
      </c>
      <c r="BC93" s="610">
        <f t="shared" si="94"/>
        <v>-3301378.0629990199</v>
      </c>
      <c r="BD93" s="610">
        <f t="shared" si="95"/>
        <v>-3301378.0629990199</v>
      </c>
    </row>
    <row r="94" spans="1:56" ht="18" customHeight="1" x14ac:dyDescent="0.25">
      <c r="A94" s="1107"/>
      <c r="B94" s="1107"/>
      <c r="C94" s="1109" t="s">
        <v>511</v>
      </c>
      <c r="D94" s="504" t="s">
        <v>41</v>
      </c>
      <c r="E94" s="585">
        <v>0.05</v>
      </c>
      <c r="F94" s="585">
        <v>0.05</v>
      </c>
      <c r="G94" s="778">
        <v>0.05</v>
      </c>
      <c r="H94" s="779">
        <v>0.05</v>
      </c>
      <c r="I94" s="779">
        <v>0.05</v>
      </c>
      <c r="J94" s="779"/>
      <c r="K94" s="779"/>
      <c r="L94" s="779"/>
      <c r="M94" s="779"/>
      <c r="N94" s="779"/>
      <c r="O94" s="779"/>
      <c r="P94" s="779"/>
      <c r="Q94" s="779"/>
      <c r="R94" s="779"/>
      <c r="S94" s="780"/>
      <c r="T94" s="781">
        <v>3.7499999999999999E-3</v>
      </c>
      <c r="U94" s="781">
        <f>0.23/20</f>
        <v>1.15E-2</v>
      </c>
      <c r="V94" s="781">
        <f>0.46/20</f>
        <v>2.3E-2</v>
      </c>
      <c r="W94" s="781"/>
      <c r="X94" s="781"/>
      <c r="Y94" s="781"/>
      <c r="Z94" s="781"/>
      <c r="AA94" s="781"/>
      <c r="AB94" s="781"/>
      <c r="AC94" s="781"/>
      <c r="AD94" s="781"/>
      <c r="AE94" s="781"/>
      <c r="AF94" s="1110" t="s">
        <v>751</v>
      </c>
      <c r="AG94" s="1111" t="s">
        <v>438</v>
      </c>
      <c r="AH94" s="1059" t="s">
        <v>682</v>
      </c>
      <c r="AI94" s="1059" t="s">
        <v>683</v>
      </c>
      <c r="AJ94" s="1059" t="s">
        <v>713</v>
      </c>
      <c r="AK94" s="1059" t="s">
        <v>435</v>
      </c>
      <c r="AL94" s="1059" t="s">
        <v>553</v>
      </c>
      <c r="AM94" s="1059" t="s">
        <v>71</v>
      </c>
      <c r="AN94" s="1114">
        <f t="shared" ref="AN94" si="123">SUM(AO94:AP99)</f>
        <v>84979</v>
      </c>
      <c r="AO94" s="1114">
        <v>39218</v>
      </c>
      <c r="AP94" s="1114">
        <v>45761</v>
      </c>
      <c r="AQ94" s="1059" t="s">
        <v>71</v>
      </c>
      <c r="AR94" s="1059" t="s">
        <v>71</v>
      </c>
      <c r="AS94" s="1059" t="s">
        <v>71</v>
      </c>
      <c r="AT94" s="1059" t="s">
        <v>71</v>
      </c>
      <c r="AU94" s="1059" t="s">
        <v>71</v>
      </c>
      <c r="AV94" s="1059" t="s">
        <v>71</v>
      </c>
      <c r="AW94" s="1059" t="s">
        <v>71</v>
      </c>
      <c r="AX94" s="1059" t="s">
        <v>71</v>
      </c>
      <c r="AY94" s="1059"/>
      <c r="BB94" s="609">
        <f t="shared" si="93"/>
        <v>-2.7000000000000003E-2</v>
      </c>
      <c r="BC94" s="610">
        <f t="shared" si="94"/>
        <v>-1.15E-2</v>
      </c>
      <c r="BD94" s="610">
        <f t="shared" si="95"/>
        <v>-1.15E-2</v>
      </c>
    </row>
    <row r="95" spans="1:56" ht="18" x14ac:dyDescent="0.25">
      <c r="A95" s="1107"/>
      <c r="B95" s="1107"/>
      <c r="C95" s="1109"/>
      <c r="D95" s="503" t="s">
        <v>3</v>
      </c>
      <c r="E95" s="585">
        <v>13557.899923632342</v>
      </c>
      <c r="F95" s="585">
        <v>13557.899923632342</v>
      </c>
      <c r="G95" s="778">
        <v>13557.899923632342</v>
      </c>
      <c r="H95" s="779">
        <v>2686636.812004901</v>
      </c>
      <c r="I95" s="779">
        <v>2645550.6800000002</v>
      </c>
      <c r="J95" s="779"/>
      <c r="K95" s="779"/>
      <c r="L95" s="779"/>
      <c r="M95" s="779"/>
      <c r="N95" s="779"/>
      <c r="O95" s="779"/>
      <c r="P95" s="779"/>
      <c r="Q95" s="779"/>
      <c r="R95" s="779"/>
      <c r="S95" s="509"/>
      <c r="T95" s="509">
        <v>13557.899923632342</v>
      </c>
      <c r="U95" s="510">
        <v>2686636.812004901</v>
      </c>
      <c r="V95" s="787">
        <v>2645550.6800000002</v>
      </c>
      <c r="W95" s="510"/>
      <c r="X95" s="510"/>
      <c r="Y95" s="510"/>
      <c r="Z95" s="510"/>
      <c r="AA95" s="510"/>
      <c r="AB95" s="510"/>
      <c r="AC95" s="510"/>
      <c r="AD95" s="510"/>
      <c r="AE95" s="510"/>
      <c r="AF95" s="1110"/>
      <c r="AG95" s="1111"/>
      <c r="AH95" s="1059"/>
      <c r="AI95" s="1059"/>
      <c r="AJ95" s="1059"/>
      <c r="AK95" s="1059"/>
      <c r="AL95" s="1059"/>
      <c r="AM95" s="1059"/>
      <c r="AN95" s="1114"/>
      <c r="AO95" s="1114"/>
      <c r="AP95" s="1114"/>
      <c r="AQ95" s="1059"/>
      <c r="AR95" s="1059"/>
      <c r="AS95" s="1059"/>
      <c r="AT95" s="1059"/>
      <c r="AU95" s="1059"/>
      <c r="AV95" s="1059"/>
      <c r="AW95" s="1059"/>
      <c r="AX95" s="1059"/>
      <c r="AY95" s="1059"/>
      <c r="BB95" s="609">
        <f t="shared" si="93"/>
        <v>0</v>
      </c>
      <c r="BC95" s="610">
        <f t="shared" si="94"/>
        <v>41086.132004900835</v>
      </c>
      <c r="BD95" s="610">
        <f t="shared" si="95"/>
        <v>41086.132004900835</v>
      </c>
    </row>
    <row r="96" spans="1:56" ht="18" x14ac:dyDescent="0.25">
      <c r="A96" s="1107"/>
      <c r="B96" s="1107"/>
      <c r="C96" s="1109"/>
      <c r="D96" s="502" t="s">
        <v>42</v>
      </c>
      <c r="E96" s="585">
        <v>0</v>
      </c>
      <c r="F96" s="585">
        <v>0</v>
      </c>
      <c r="G96" s="778">
        <v>0</v>
      </c>
      <c r="H96" s="779">
        <v>0</v>
      </c>
      <c r="I96" s="779">
        <v>0</v>
      </c>
      <c r="J96" s="779"/>
      <c r="K96" s="779"/>
      <c r="L96" s="779"/>
      <c r="M96" s="779"/>
      <c r="N96" s="779"/>
      <c r="O96" s="779"/>
      <c r="P96" s="779"/>
      <c r="Q96" s="779"/>
      <c r="R96" s="779"/>
      <c r="S96" s="782"/>
      <c r="T96" s="782">
        <v>0</v>
      </c>
      <c r="U96" s="783">
        <v>0</v>
      </c>
      <c r="V96" s="783">
        <v>0</v>
      </c>
      <c r="W96" s="783"/>
      <c r="X96" s="783"/>
      <c r="Y96" s="783"/>
      <c r="Z96" s="783"/>
      <c r="AA96" s="783"/>
      <c r="AB96" s="783"/>
      <c r="AC96" s="783"/>
      <c r="AD96" s="783"/>
      <c r="AE96" s="783"/>
      <c r="AF96" s="1110"/>
      <c r="AG96" s="1111"/>
      <c r="AH96" s="1059"/>
      <c r="AI96" s="1059"/>
      <c r="AJ96" s="1059"/>
      <c r="AK96" s="1059"/>
      <c r="AL96" s="1059"/>
      <c r="AM96" s="1059"/>
      <c r="AN96" s="1114"/>
      <c r="AO96" s="1114"/>
      <c r="AP96" s="1114"/>
      <c r="AQ96" s="1059"/>
      <c r="AR96" s="1059"/>
      <c r="AS96" s="1059"/>
      <c r="AT96" s="1059"/>
      <c r="AU96" s="1059"/>
      <c r="AV96" s="1059"/>
      <c r="AW96" s="1059"/>
      <c r="AX96" s="1059"/>
      <c r="AY96" s="1059"/>
      <c r="BB96" s="609">
        <f t="shared" si="93"/>
        <v>0</v>
      </c>
      <c r="BC96" s="610">
        <f t="shared" si="94"/>
        <v>0</v>
      </c>
      <c r="BD96" s="610">
        <f t="shared" si="95"/>
        <v>0</v>
      </c>
    </row>
    <row r="97" spans="1:56" ht="18" x14ac:dyDescent="0.25">
      <c r="A97" s="1107"/>
      <c r="B97" s="1107"/>
      <c r="C97" s="1109"/>
      <c r="D97" s="503" t="s">
        <v>4</v>
      </c>
      <c r="E97" s="585">
        <v>0</v>
      </c>
      <c r="F97" s="585">
        <v>0</v>
      </c>
      <c r="G97" s="778">
        <v>0</v>
      </c>
      <c r="H97" s="779">
        <v>0</v>
      </c>
      <c r="I97" s="779">
        <v>0</v>
      </c>
      <c r="J97" s="779"/>
      <c r="K97" s="779"/>
      <c r="L97" s="779"/>
      <c r="M97" s="779"/>
      <c r="N97" s="779"/>
      <c r="O97" s="779"/>
      <c r="P97" s="779"/>
      <c r="Q97" s="779"/>
      <c r="R97" s="779"/>
      <c r="S97" s="782"/>
      <c r="T97" s="782">
        <v>0</v>
      </c>
      <c r="U97" s="783">
        <v>0</v>
      </c>
      <c r="V97" s="783">
        <v>0</v>
      </c>
      <c r="W97" s="783"/>
      <c r="X97" s="783"/>
      <c r="Y97" s="783"/>
      <c r="Z97" s="783"/>
      <c r="AA97" s="783"/>
      <c r="AB97" s="783"/>
      <c r="AC97" s="783"/>
      <c r="AD97" s="783"/>
      <c r="AE97" s="783"/>
      <c r="AF97" s="1110"/>
      <c r="AG97" s="1111"/>
      <c r="AH97" s="1059"/>
      <c r="AI97" s="1059"/>
      <c r="AJ97" s="1059"/>
      <c r="AK97" s="1059"/>
      <c r="AL97" s="1059"/>
      <c r="AM97" s="1059"/>
      <c r="AN97" s="1114"/>
      <c r="AO97" s="1114"/>
      <c r="AP97" s="1114"/>
      <c r="AQ97" s="1059"/>
      <c r="AR97" s="1059"/>
      <c r="AS97" s="1059"/>
      <c r="AT97" s="1059"/>
      <c r="AU97" s="1059"/>
      <c r="AV97" s="1059"/>
      <c r="AW97" s="1059"/>
      <c r="AX97" s="1059"/>
      <c r="AY97" s="1059"/>
      <c r="BB97" s="609">
        <f t="shared" si="93"/>
        <v>0</v>
      </c>
      <c r="BC97" s="610">
        <f t="shared" si="94"/>
        <v>0</v>
      </c>
      <c r="BD97" s="610">
        <f t="shared" si="95"/>
        <v>0</v>
      </c>
    </row>
    <row r="98" spans="1:56" ht="18" x14ac:dyDescent="0.25">
      <c r="A98" s="1107"/>
      <c r="B98" s="1107"/>
      <c r="C98" s="1109"/>
      <c r="D98" s="502" t="s">
        <v>43</v>
      </c>
      <c r="E98" s="585">
        <f t="shared" ref="E98:F98" si="124">E94+E96</f>
        <v>0.05</v>
      </c>
      <c r="F98" s="585">
        <f t="shared" si="124"/>
        <v>0.05</v>
      </c>
      <c r="G98" s="778">
        <f t="shared" ref="G98:I99" si="125">G94+G96</f>
        <v>0.05</v>
      </c>
      <c r="H98" s="779">
        <f t="shared" si="125"/>
        <v>0.05</v>
      </c>
      <c r="I98" s="779">
        <f t="shared" si="125"/>
        <v>0.05</v>
      </c>
      <c r="J98" s="779"/>
      <c r="K98" s="779"/>
      <c r="L98" s="779"/>
      <c r="M98" s="779"/>
      <c r="N98" s="779"/>
      <c r="O98" s="779"/>
      <c r="P98" s="779"/>
      <c r="Q98" s="779"/>
      <c r="R98" s="779"/>
      <c r="S98" s="782"/>
      <c r="T98" s="782">
        <f t="shared" ref="T98:T99" si="126">T94+T96</f>
        <v>3.7499999999999999E-3</v>
      </c>
      <c r="U98" s="784">
        <f t="shared" ref="U98" si="127">U94+U96</f>
        <v>1.15E-2</v>
      </c>
      <c r="V98" s="784">
        <f t="shared" ref="V98" si="128">V94+V96</f>
        <v>2.3E-2</v>
      </c>
      <c r="W98" s="783"/>
      <c r="X98" s="783"/>
      <c r="Y98" s="783"/>
      <c r="Z98" s="783"/>
      <c r="AA98" s="783"/>
      <c r="AB98" s="783"/>
      <c r="AC98" s="783"/>
      <c r="AD98" s="783"/>
      <c r="AE98" s="783"/>
      <c r="AF98" s="1110"/>
      <c r="AG98" s="1111"/>
      <c r="AH98" s="1059"/>
      <c r="AI98" s="1059"/>
      <c r="AJ98" s="1059"/>
      <c r="AK98" s="1059"/>
      <c r="AL98" s="1059"/>
      <c r="AM98" s="1059"/>
      <c r="AN98" s="1114"/>
      <c r="AO98" s="1114"/>
      <c r="AP98" s="1114"/>
      <c r="AQ98" s="1059"/>
      <c r="AR98" s="1059"/>
      <c r="AS98" s="1059"/>
      <c r="AT98" s="1059"/>
      <c r="AU98" s="1059"/>
      <c r="AV98" s="1059"/>
      <c r="AW98" s="1059"/>
      <c r="AX98" s="1059"/>
      <c r="AY98" s="1059"/>
      <c r="BB98" s="609">
        <f t="shared" si="93"/>
        <v>-2.7000000000000003E-2</v>
      </c>
      <c r="BC98" s="610">
        <f t="shared" si="94"/>
        <v>-1.15E-2</v>
      </c>
      <c r="BD98" s="610">
        <f t="shared" si="95"/>
        <v>-1.15E-2</v>
      </c>
    </row>
    <row r="99" spans="1:56" ht="27" x14ac:dyDescent="0.25">
      <c r="A99" s="1107"/>
      <c r="B99" s="1107"/>
      <c r="C99" s="1109"/>
      <c r="D99" s="503" t="s">
        <v>45</v>
      </c>
      <c r="E99" s="585">
        <f t="shared" ref="E99:F99" si="129">E95+E97</f>
        <v>13557.899923632342</v>
      </c>
      <c r="F99" s="585">
        <f t="shared" si="129"/>
        <v>13557.899923632342</v>
      </c>
      <c r="G99" s="778">
        <f t="shared" si="125"/>
        <v>13557.899923632342</v>
      </c>
      <c r="H99" s="779">
        <f t="shared" si="125"/>
        <v>2686636.812004901</v>
      </c>
      <c r="I99" s="779">
        <f t="shared" si="125"/>
        <v>2645550.6800000002</v>
      </c>
      <c r="J99" s="779"/>
      <c r="K99" s="779"/>
      <c r="L99" s="779"/>
      <c r="M99" s="779"/>
      <c r="N99" s="779"/>
      <c r="O99" s="779"/>
      <c r="P99" s="779"/>
      <c r="Q99" s="779"/>
      <c r="R99" s="779"/>
      <c r="S99" s="785"/>
      <c r="T99" s="509">
        <f t="shared" si="126"/>
        <v>13557.899923632342</v>
      </c>
      <c r="U99" s="779">
        <f t="shared" ref="U99" si="130">U95+U97</f>
        <v>2686636.812004901</v>
      </c>
      <c r="V99" s="783">
        <f t="shared" ref="V99" si="131">V95+V97</f>
        <v>2645550.6800000002</v>
      </c>
      <c r="W99" s="783"/>
      <c r="X99" s="783"/>
      <c r="Y99" s="783"/>
      <c r="Z99" s="783"/>
      <c r="AA99" s="783"/>
      <c r="AB99" s="783"/>
      <c r="AC99" s="783"/>
      <c r="AD99" s="783"/>
      <c r="AE99" s="783"/>
      <c r="AF99" s="1110"/>
      <c r="AG99" s="1111"/>
      <c r="AH99" s="1059"/>
      <c r="AI99" s="1059"/>
      <c r="AJ99" s="1059"/>
      <c r="AK99" s="1059"/>
      <c r="AL99" s="1059"/>
      <c r="AM99" s="1059"/>
      <c r="AN99" s="1114"/>
      <c r="AO99" s="1114"/>
      <c r="AP99" s="1114"/>
      <c r="AQ99" s="1059"/>
      <c r="AR99" s="1059"/>
      <c r="AS99" s="1059"/>
      <c r="AT99" s="1059"/>
      <c r="AU99" s="1059"/>
      <c r="AV99" s="1059"/>
      <c r="AW99" s="1059"/>
      <c r="AX99" s="1059"/>
      <c r="AY99" s="1059"/>
      <c r="BB99" s="609">
        <f t="shared" si="93"/>
        <v>0</v>
      </c>
      <c r="BC99" s="610">
        <f t="shared" si="94"/>
        <v>41086.132004900835</v>
      </c>
      <c r="BD99" s="610">
        <f t="shared" si="95"/>
        <v>41086.132004900835</v>
      </c>
    </row>
    <row r="100" spans="1:56" ht="18" customHeight="1" x14ac:dyDescent="0.25">
      <c r="A100" s="1107"/>
      <c r="B100" s="1107"/>
      <c r="C100" s="1109" t="s">
        <v>512</v>
      </c>
      <c r="D100" s="504" t="s">
        <v>41</v>
      </c>
      <c r="E100" s="585">
        <v>0.05</v>
      </c>
      <c r="F100" s="585">
        <v>0.05</v>
      </c>
      <c r="G100" s="778">
        <v>0.05</v>
      </c>
      <c r="H100" s="779">
        <v>0.05</v>
      </c>
      <c r="I100" s="779">
        <v>0.05</v>
      </c>
      <c r="J100" s="779"/>
      <c r="K100" s="779"/>
      <c r="L100" s="779"/>
      <c r="M100" s="779"/>
      <c r="N100" s="779"/>
      <c r="O100" s="779"/>
      <c r="P100" s="779"/>
      <c r="Q100" s="779"/>
      <c r="R100" s="779"/>
      <c r="S100" s="780"/>
      <c r="T100" s="781">
        <v>3.7499999999999999E-3</v>
      </c>
      <c r="U100" s="781">
        <f>0.23/20</f>
        <v>1.15E-2</v>
      </c>
      <c r="V100" s="781">
        <f>0.46/20</f>
        <v>2.3E-2</v>
      </c>
      <c r="W100" s="781"/>
      <c r="X100" s="781"/>
      <c r="Y100" s="781"/>
      <c r="Z100" s="781"/>
      <c r="AA100" s="781"/>
      <c r="AB100" s="781"/>
      <c r="AC100" s="781"/>
      <c r="AD100" s="781"/>
      <c r="AE100" s="781"/>
      <c r="AF100" s="1110" t="s">
        <v>752</v>
      </c>
      <c r="AG100" s="1111" t="s">
        <v>447</v>
      </c>
      <c r="AH100" s="1059" t="s">
        <v>728</v>
      </c>
      <c r="AI100" s="1119" t="s">
        <v>729</v>
      </c>
      <c r="AJ100" s="1059" t="s">
        <v>713</v>
      </c>
      <c r="AK100" s="1059" t="s">
        <v>435</v>
      </c>
      <c r="AL100" s="1059" t="s">
        <v>553</v>
      </c>
      <c r="AM100" s="1059" t="s">
        <v>71</v>
      </c>
      <c r="AN100" s="1114">
        <f t="shared" si="66"/>
        <v>258034</v>
      </c>
      <c r="AO100" s="1114">
        <v>128107</v>
      </c>
      <c r="AP100" s="1114">
        <v>129927</v>
      </c>
      <c r="AQ100" s="1059" t="s">
        <v>71</v>
      </c>
      <c r="AR100" s="1059" t="s">
        <v>71</v>
      </c>
      <c r="AS100" s="1059" t="s">
        <v>71</v>
      </c>
      <c r="AT100" s="1059" t="s">
        <v>71</v>
      </c>
      <c r="AU100" s="1059" t="s">
        <v>71</v>
      </c>
      <c r="AV100" s="1059" t="s">
        <v>71</v>
      </c>
      <c r="AW100" s="1059" t="s">
        <v>71</v>
      </c>
      <c r="AX100" s="1059" t="s">
        <v>71</v>
      </c>
      <c r="AY100" s="1059"/>
      <c r="BB100" s="609">
        <f t="shared" si="93"/>
        <v>-2.7000000000000003E-2</v>
      </c>
      <c r="BC100" s="610">
        <f t="shared" si="94"/>
        <v>-1.15E-2</v>
      </c>
      <c r="BD100" s="610">
        <f t="shared" si="95"/>
        <v>-1.15E-2</v>
      </c>
    </row>
    <row r="101" spans="1:56" ht="18" x14ac:dyDescent="0.25">
      <c r="A101" s="1107"/>
      <c r="B101" s="1107"/>
      <c r="C101" s="1109"/>
      <c r="D101" s="503" t="s">
        <v>3</v>
      </c>
      <c r="E101" s="585">
        <v>12216332.203565408</v>
      </c>
      <c r="F101" s="585">
        <v>12216332.203565408</v>
      </c>
      <c r="G101" s="778">
        <v>12216332.203565408</v>
      </c>
      <c r="H101" s="779">
        <v>16908171.918887611</v>
      </c>
      <c r="I101" s="779">
        <v>17123213.5</v>
      </c>
      <c r="J101" s="779"/>
      <c r="K101" s="779"/>
      <c r="L101" s="779"/>
      <c r="M101" s="779"/>
      <c r="N101" s="779"/>
      <c r="O101" s="779"/>
      <c r="P101" s="779"/>
      <c r="Q101" s="779"/>
      <c r="R101" s="779"/>
      <c r="S101" s="509"/>
      <c r="T101" s="509">
        <v>12216332.203565408</v>
      </c>
      <c r="U101" s="510">
        <v>16908171.918887611</v>
      </c>
      <c r="V101" s="787">
        <v>17123213.466252286</v>
      </c>
      <c r="W101" s="510"/>
      <c r="X101" s="510"/>
      <c r="Y101" s="510"/>
      <c r="Z101" s="510"/>
      <c r="AA101" s="510"/>
      <c r="AB101" s="510"/>
      <c r="AC101" s="510"/>
      <c r="AD101" s="510"/>
      <c r="AE101" s="510"/>
      <c r="AF101" s="1110"/>
      <c r="AG101" s="1111"/>
      <c r="AH101" s="1059"/>
      <c r="AI101" s="1120"/>
      <c r="AJ101" s="1059"/>
      <c r="AK101" s="1059"/>
      <c r="AL101" s="1059"/>
      <c r="AM101" s="1059"/>
      <c r="AN101" s="1114"/>
      <c r="AO101" s="1114"/>
      <c r="AP101" s="1114"/>
      <c r="AQ101" s="1059"/>
      <c r="AR101" s="1059"/>
      <c r="AS101" s="1059"/>
      <c r="AT101" s="1059"/>
      <c r="AU101" s="1059"/>
      <c r="AV101" s="1059"/>
      <c r="AW101" s="1059"/>
      <c r="AX101" s="1059"/>
      <c r="AY101" s="1059"/>
      <c r="BB101" s="609">
        <f t="shared" si="93"/>
        <v>-3.3747714012861252E-2</v>
      </c>
      <c r="BC101" s="610">
        <f t="shared" si="94"/>
        <v>-215041.54736467451</v>
      </c>
      <c r="BD101" s="610">
        <f t="shared" si="95"/>
        <v>-215041.54736467451</v>
      </c>
    </row>
    <row r="102" spans="1:56" ht="18" x14ac:dyDescent="0.25">
      <c r="A102" s="1107"/>
      <c r="B102" s="1107"/>
      <c r="C102" s="1109"/>
      <c r="D102" s="502" t="s">
        <v>42</v>
      </c>
      <c r="E102" s="585">
        <v>0</v>
      </c>
      <c r="F102" s="585">
        <v>0</v>
      </c>
      <c r="G102" s="778">
        <v>0</v>
      </c>
      <c r="H102" s="779">
        <v>0</v>
      </c>
      <c r="I102" s="779">
        <v>0</v>
      </c>
      <c r="J102" s="779"/>
      <c r="K102" s="779"/>
      <c r="L102" s="779"/>
      <c r="M102" s="779"/>
      <c r="N102" s="779"/>
      <c r="O102" s="779"/>
      <c r="P102" s="779"/>
      <c r="Q102" s="779"/>
      <c r="R102" s="779"/>
      <c r="S102" s="782"/>
      <c r="T102" s="782">
        <v>0</v>
      </c>
      <c r="U102" s="783">
        <v>0</v>
      </c>
      <c r="V102" s="783">
        <v>0</v>
      </c>
      <c r="W102" s="783"/>
      <c r="X102" s="783"/>
      <c r="Y102" s="783"/>
      <c r="Z102" s="783"/>
      <c r="AA102" s="783"/>
      <c r="AB102" s="783"/>
      <c r="AC102" s="783"/>
      <c r="AD102" s="783"/>
      <c r="AE102" s="783"/>
      <c r="AF102" s="1110"/>
      <c r="AG102" s="1111"/>
      <c r="AH102" s="1059"/>
      <c r="AI102" s="1120"/>
      <c r="AJ102" s="1059"/>
      <c r="AK102" s="1059"/>
      <c r="AL102" s="1059"/>
      <c r="AM102" s="1059"/>
      <c r="AN102" s="1114"/>
      <c r="AO102" s="1114"/>
      <c r="AP102" s="1114"/>
      <c r="AQ102" s="1059"/>
      <c r="AR102" s="1059"/>
      <c r="AS102" s="1059"/>
      <c r="AT102" s="1059"/>
      <c r="AU102" s="1059"/>
      <c r="AV102" s="1059"/>
      <c r="AW102" s="1059"/>
      <c r="AX102" s="1059"/>
      <c r="AY102" s="1059"/>
      <c r="BB102" s="609">
        <f t="shared" si="93"/>
        <v>0</v>
      </c>
      <c r="BC102" s="610">
        <f t="shared" si="94"/>
        <v>0</v>
      </c>
      <c r="BD102" s="610">
        <f t="shared" si="95"/>
        <v>0</v>
      </c>
    </row>
    <row r="103" spans="1:56" ht="18" x14ac:dyDescent="0.25">
      <c r="A103" s="1107"/>
      <c r="B103" s="1107"/>
      <c r="C103" s="1109"/>
      <c r="D103" s="503" t="s">
        <v>4</v>
      </c>
      <c r="E103" s="585">
        <v>3723805.3504934036</v>
      </c>
      <c r="F103" s="585">
        <v>3723805.3504934036</v>
      </c>
      <c r="G103" s="778">
        <v>3723805.3504934036</v>
      </c>
      <c r="H103" s="779">
        <v>3723805.3504934036</v>
      </c>
      <c r="I103" s="779">
        <v>3723805.3504934036</v>
      </c>
      <c r="J103" s="779"/>
      <c r="K103" s="779"/>
      <c r="L103" s="779"/>
      <c r="M103" s="779"/>
      <c r="N103" s="779"/>
      <c r="O103" s="779"/>
      <c r="P103" s="779"/>
      <c r="Q103" s="779"/>
      <c r="R103" s="779"/>
      <c r="S103" s="782"/>
      <c r="T103" s="509">
        <v>3723805.3504934036</v>
      </c>
      <c r="U103" s="783">
        <v>3723805.3504934036</v>
      </c>
      <c r="V103" s="783">
        <v>3723805.3504934036</v>
      </c>
      <c r="W103" s="783"/>
      <c r="X103" s="783"/>
      <c r="Y103" s="783"/>
      <c r="Z103" s="783"/>
      <c r="AA103" s="783"/>
      <c r="AB103" s="783"/>
      <c r="AC103" s="783"/>
      <c r="AD103" s="783"/>
      <c r="AE103" s="783"/>
      <c r="AF103" s="1110"/>
      <c r="AG103" s="1111"/>
      <c r="AH103" s="1059"/>
      <c r="AI103" s="1120"/>
      <c r="AJ103" s="1059"/>
      <c r="AK103" s="1059"/>
      <c r="AL103" s="1059"/>
      <c r="AM103" s="1059"/>
      <c r="AN103" s="1114"/>
      <c r="AO103" s="1114"/>
      <c r="AP103" s="1114"/>
      <c r="AQ103" s="1059"/>
      <c r="AR103" s="1059"/>
      <c r="AS103" s="1059"/>
      <c r="AT103" s="1059"/>
      <c r="AU103" s="1059"/>
      <c r="AV103" s="1059"/>
      <c r="AW103" s="1059"/>
      <c r="AX103" s="1059"/>
      <c r="AY103" s="1059"/>
      <c r="BB103" s="609">
        <f t="shared" si="93"/>
        <v>0</v>
      </c>
      <c r="BC103" s="610">
        <f t="shared" si="94"/>
        <v>0</v>
      </c>
      <c r="BD103" s="610">
        <f t="shared" si="95"/>
        <v>0</v>
      </c>
    </row>
    <row r="104" spans="1:56" ht="18" x14ac:dyDescent="0.25">
      <c r="A104" s="1107"/>
      <c r="B104" s="1107"/>
      <c r="C104" s="1109"/>
      <c r="D104" s="502" t="s">
        <v>43</v>
      </c>
      <c r="E104" s="585">
        <f t="shared" ref="E104:F104" si="132">E100+E102</f>
        <v>0.05</v>
      </c>
      <c r="F104" s="585">
        <f t="shared" si="132"/>
        <v>0.05</v>
      </c>
      <c r="G104" s="778">
        <f t="shared" ref="G104:I105" si="133">G100+G102</f>
        <v>0.05</v>
      </c>
      <c r="H104" s="779">
        <f t="shared" si="133"/>
        <v>0.05</v>
      </c>
      <c r="I104" s="779">
        <f t="shared" si="133"/>
        <v>0.05</v>
      </c>
      <c r="J104" s="779"/>
      <c r="K104" s="779"/>
      <c r="L104" s="779"/>
      <c r="M104" s="779"/>
      <c r="N104" s="779"/>
      <c r="O104" s="779"/>
      <c r="P104" s="779"/>
      <c r="Q104" s="779"/>
      <c r="R104" s="779"/>
      <c r="S104" s="782"/>
      <c r="T104" s="782">
        <f t="shared" ref="T104:T105" si="134">T100+T102</f>
        <v>3.7499999999999999E-3</v>
      </c>
      <c r="U104" s="784">
        <f t="shared" ref="U104" si="135">U100+U102</f>
        <v>1.15E-2</v>
      </c>
      <c r="V104" s="784">
        <f t="shared" ref="V104" si="136">V100+V102</f>
        <v>2.3E-2</v>
      </c>
      <c r="W104" s="783"/>
      <c r="X104" s="783"/>
      <c r="Y104" s="783"/>
      <c r="Z104" s="783"/>
      <c r="AA104" s="783"/>
      <c r="AB104" s="783"/>
      <c r="AC104" s="783"/>
      <c r="AD104" s="783"/>
      <c r="AE104" s="783"/>
      <c r="AF104" s="1110"/>
      <c r="AG104" s="1111"/>
      <c r="AH104" s="1059"/>
      <c r="AI104" s="1120"/>
      <c r="AJ104" s="1059"/>
      <c r="AK104" s="1059"/>
      <c r="AL104" s="1059"/>
      <c r="AM104" s="1059"/>
      <c r="AN104" s="1114"/>
      <c r="AO104" s="1114"/>
      <c r="AP104" s="1114"/>
      <c r="AQ104" s="1059"/>
      <c r="AR104" s="1059"/>
      <c r="AS104" s="1059"/>
      <c r="AT104" s="1059"/>
      <c r="AU104" s="1059"/>
      <c r="AV104" s="1059"/>
      <c r="AW104" s="1059"/>
      <c r="AX104" s="1059"/>
      <c r="AY104" s="1059"/>
      <c r="BB104" s="609">
        <f t="shared" si="93"/>
        <v>-2.7000000000000003E-2</v>
      </c>
      <c r="BC104" s="610">
        <f t="shared" si="94"/>
        <v>-1.15E-2</v>
      </c>
      <c r="BD104" s="610">
        <f t="shared" si="95"/>
        <v>-1.15E-2</v>
      </c>
    </row>
    <row r="105" spans="1:56" ht="27" x14ac:dyDescent="0.25">
      <c r="A105" s="1107"/>
      <c r="B105" s="1107"/>
      <c r="C105" s="1109"/>
      <c r="D105" s="503" t="s">
        <v>45</v>
      </c>
      <c r="E105" s="585">
        <f t="shared" ref="E105:F105" si="137">E101+E103</f>
        <v>15940137.554058811</v>
      </c>
      <c r="F105" s="585">
        <f t="shared" si="137"/>
        <v>15940137.554058811</v>
      </c>
      <c r="G105" s="778">
        <f t="shared" si="133"/>
        <v>15940137.554058811</v>
      </c>
      <c r="H105" s="779">
        <f t="shared" si="133"/>
        <v>20631977.269381016</v>
      </c>
      <c r="I105" s="779">
        <f t="shared" si="133"/>
        <v>20847018.850493405</v>
      </c>
      <c r="J105" s="779"/>
      <c r="K105" s="779"/>
      <c r="L105" s="779"/>
      <c r="M105" s="779"/>
      <c r="N105" s="779"/>
      <c r="O105" s="779"/>
      <c r="P105" s="779"/>
      <c r="Q105" s="779"/>
      <c r="R105" s="779"/>
      <c r="S105" s="785"/>
      <c r="T105" s="509">
        <f t="shared" si="134"/>
        <v>15940137.554058811</v>
      </c>
      <c r="U105" s="779">
        <f t="shared" ref="U105" si="138">U101+U103</f>
        <v>20631977.269381016</v>
      </c>
      <c r="V105" s="783">
        <f t="shared" ref="V105" si="139">V101+V103</f>
        <v>20847018.816745691</v>
      </c>
      <c r="W105" s="779"/>
      <c r="X105" s="779"/>
      <c r="Y105" s="779"/>
      <c r="Z105" s="779"/>
      <c r="AA105" s="779"/>
      <c r="AB105" s="779"/>
      <c r="AC105" s="779"/>
      <c r="AD105" s="779"/>
      <c r="AE105" s="779"/>
      <c r="AF105" s="1110"/>
      <c r="AG105" s="1111"/>
      <c r="AH105" s="1059"/>
      <c r="AI105" s="1121"/>
      <c r="AJ105" s="1059"/>
      <c r="AK105" s="1059"/>
      <c r="AL105" s="1059"/>
      <c r="AM105" s="1059"/>
      <c r="AN105" s="1114"/>
      <c r="AO105" s="1114"/>
      <c r="AP105" s="1114"/>
      <c r="AQ105" s="1059"/>
      <c r="AR105" s="1059"/>
      <c r="AS105" s="1059"/>
      <c r="AT105" s="1059"/>
      <c r="AU105" s="1059"/>
      <c r="AV105" s="1059"/>
      <c r="AW105" s="1059"/>
      <c r="AX105" s="1059"/>
      <c r="AY105" s="1059"/>
      <c r="BB105" s="609">
        <f t="shared" si="93"/>
        <v>-3.3747714012861252E-2</v>
      </c>
      <c r="BC105" s="610">
        <f t="shared" si="94"/>
        <v>-215041.54736467451</v>
      </c>
      <c r="BD105" s="610">
        <f t="shared" si="95"/>
        <v>-215041.54736467451</v>
      </c>
    </row>
    <row r="106" spans="1:56" ht="18" customHeight="1" x14ac:dyDescent="0.25">
      <c r="A106" s="1107"/>
      <c r="B106" s="1107"/>
      <c r="C106" s="1109" t="s">
        <v>513</v>
      </c>
      <c r="D106" s="504" t="s">
        <v>41</v>
      </c>
      <c r="E106" s="585">
        <v>0.05</v>
      </c>
      <c r="F106" s="585">
        <v>0.05</v>
      </c>
      <c r="G106" s="778">
        <v>0.05</v>
      </c>
      <c r="H106" s="779">
        <v>0.05</v>
      </c>
      <c r="I106" s="779">
        <v>0.05</v>
      </c>
      <c r="J106" s="779"/>
      <c r="K106" s="779"/>
      <c r="L106" s="779"/>
      <c r="M106" s="779"/>
      <c r="N106" s="779"/>
      <c r="O106" s="779"/>
      <c r="P106" s="779"/>
      <c r="Q106" s="779"/>
      <c r="R106" s="779"/>
      <c r="S106" s="780"/>
      <c r="T106" s="781">
        <v>3.7499999999999999E-3</v>
      </c>
      <c r="U106" s="781">
        <f>0.23/20</f>
        <v>1.15E-2</v>
      </c>
      <c r="V106" s="781">
        <f>0.46/20</f>
        <v>2.3E-2</v>
      </c>
      <c r="W106" s="781"/>
      <c r="X106" s="781"/>
      <c r="Y106" s="781"/>
      <c r="Z106" s="781"/>
      <c r="AA106" s="781"/>
      <c r="AB106" s="781"/>
      <c r="AC106" s="781"/>
      <c r="AD106" s="781"/>
      <c r="AE106" s="781"/>
      <c r="AF106" s="1110" t="s">
        <v>753</v>
      </c>
      <c r="AG106" s="1111" t="s">
        <v>441</v>
      </c>
      <c r="AH106" s="1059">
        <v>94</v>
      </c>
      <c r="AI106" s="1059" t="s">
        <v>730</v>
      </c>
      <c r="AJ106" s="1059" t="s">
        <v>713</v>
      </c>
      <c r="AK106" s="1059" t="s">
        <v>435</v>
      </c>
      <c r="AL106" s="1059" t="s">
        <v>553</v>
      </c>
      <c r="AM106" s="1059" t="s">
        <v>71</v>
      </c>
      <c r="AN106" s="1114">
        <f t="shared" si="75"/>
        <v>18675</v>
      </c>
      <c r="AO106" s="1114">
        <v>9430</v>
      </c>
      <c r="AP106" s="1114">
        <v>9245</v>
      </c>
      <c r="AQ106" s="1059" t="s">
        <v>71</v>
      </c>
      <c r="AR106" s="1059" t="s">
        <v>71</v>
      </c>
      <c r="AS106" s="1059" t="s">
        <v>71</v>
      </c>
      <c r="AT106" s="1059" t="s">
        <v>71</v>
      </c>
      <c r="AU106" s="1059" t="s">
        <v>71</v>
      </c>
      <c r="AV106" s="1059" t="s">
        <v>71</v>
      </c>
      <c r="AW106" s="1059" t="s">
        <v>71</v>
      </c>
      <c r="AX106" s="1059" t="s">
        <v>71</v>
      </c>
      <c r="AY106" s="1059"/>
      <c r="BB106" s="609">
        <f t="shared" si="93"/>
        <v>-2.7000000000000003E-2</v>
      </c>
      <c r="BC106" s="610">
        <f t="shared" si="94"/>
        <v>-1.15E-2</v>
      </c>
      <c r="BD106" s="610">
        <f t="shared" si="95"/>
        <v>-1.15E-2</v>
      </c>
    </row>
    <row r="107" spans="1:56" ht="18" x14ac:dyDescent="0.25">
      <c r="A107" s="1107"/>
      <c r="B107" s="1107"/>
      <c r="C107" s="1109"/>
      <c r="D107" s="503" t="s">
        <v>3</v>
      </c>
      <c r="E107" s="585"/>
      <c r="F107" s="585"/>
      <c r="G107" s="778"/>
      <c r="H107" s="779">
        <v>1751851.5153745967</v>
      </c>
      <c r="I107" s="779">
        <v>1725626.15</v>
      </c>
      <c r="J107" s="779"/>
      <c r="K107" s="779"/>
      <c r="L107" s="779"/>
      <c r="M107" s="779"/>
      <c r="N107" s="779"/>
      <c r="O107" s="779"/>
      <c r="P107" s="779"/>
      <c r="Q107" s="779"/>
      <c r="R107" s="779"/>
      <c r="S107" s="509"/>
      <c r="T107" s="509"/>
      <c r="U107" s="510">
        <v>1751851.5153745967</v>
      </c>
      <c r="V107" s="787">
        <v>1725626.1510601437</v>
      </c>
      <c r="W107" s="510"/>
      <c r="X107" s="510"/>
      <c r="Y107" s="510"/>
      <c r="Z107" s="510"/>
      <c r="AA107" s="510"/>
      <c r="AB107" s="510"/>
      <c r="AC107" s="510"/>
      <c r="AD107" s="510"/>
      <c r="AE107" s="510"/>
      <c r="AF107" s="1110"/>
      <c r="AG107" s="1111"/>
      <c r="AH107" s="1059"/>
      <c r="AI107" s="1059"/>
      <c r="AJ107" s="1059"/>
      <c r="AK107" s="1059"/>
      <c r="AL107" s="1059"/>
      <c r="AM107" s="1059"/>
      <c r="AN107" s="1114"/>
      <c r="AO107" s="1114"/>
      <c r="AP107" s="1114"/>
      <c r="AQ107" s="1059"/>
      <c r="AR107" s="1059"/>
      <c r="AS107" s="1059"/>
      <c r="AT107" s="1059"/>
      <c r="AU107" s="1059"/>
      <c r="AV107" s="1059"/>
      <c r="AW107" s="1059"/>
      <c r="AX107" s="1059"/>
      <c r="AY107" s="1059"/>
      <c r="BB107" s="609">
        <f t="shared" si="93"/>
        <v>1.0601438116282225E-3</v>
      </c>
      <c r="BC107" s="610">
        <f t="shared" si="94"/>
        <v>26225.364314452978</v>
      </c>
      <c r="BD107" s="610">
        <f t="shared" si="95"/>
        <v>26225.364314452978</v>
      </c>
    </row>
    <row r="108" spans="1:56" ht="18" x14ac:dyDescent="0.25">
      <c r="A108" s="1107"/>
      <c r="B108" s="1107"/>
      <c r="C108" s="1109"/>
      <c r="D108" s="502" t="s">
        <v>42</v>
      </c>
      <c r="E108" s="585">
        <v>0</v>
      </c>
      <c r="F108" s="585">
        <v>0</v>
      </c>
      <c r="G108" s="778">
        <v>0</v>
      </c>
      <c r="H108" s="779">
        <v>0</v>
      </c>
      <c r="I108" s="779">
        <v>0</v>
      </c>
      <c r="J108" s="779"/>
      <c r="K108" s="779"/>
      <c r="L108" s="779"/>
      <c r="M108" s="779"/>
      <c r="N108" s="779"/>
      <c r="O108" s="779"/>
      <c r="P108" s="779"/>
      <c r="Q108" s="779"/>
      <c r="R108" s="779"/>
      <c r="S108" s="782"/>
      <c r="T108" s="782">
        <v>0</v>
      </c>
      <c r="U108" s="783">
        <v>0</v>
      </c>
      <c r="V108" s="783">
        <v>0</v>
      </c>
      <c r="W108" s="783"/>
      <c r="X108" s="783"/>
      <c r="Y108" s="783"/>
      <c r="Z108" s="783"/>
      <c r="AA108" s="783"/>
      <c r="AB108" s="783"/>
      <c r="AC108" s="783"/>
      <c r="AD108" s="783"/>
      <c r="AE108" s="783"/>
      <c r="AF108" s="1110"/>
      <c r="AG108" s="1111"/>
      <c r="AH108" s="1059"/>
      <c r="AI108" s="1059"/>
      <c r="AJ108" s="1059"/>
      <c r="AK108" s="1059"/>
      <c r="AL108" s="1059"/>
      <c r="AM108" s="1059"/>
      <c r="AN108" s="1114"/>
      <c r="AO108" s="1114"/>
      <c r="AP108" s="1114"/>
      <c r="AQ108" s="1059"/>
      <c r="AR108" s="1059"/>
      <c r="AS108" s="1059"/>
      <c r="AT108" s="1059"/>
      <c r="AU108" s="1059"/>
      <c r="AV108" s="1059"/>
      <c r="AW108" s="1059"/>
      <c r="AX108" s="1059"/>
      <c r="AY108" s="1059"/>
      <c r="BB108" s="609">
        <f t="shared" si="93"/>
        <v>0</v>
      </c>
      <c r="BC108" s="610">
        <f t="shared" si="94"/>
        <v>0</v>
      </c>
      <c r="BD108" s="610">
        <f t="shared" si="95"/>
        <v>0</v>
      </c>
    </row>
    <row r="109" spans="1:56" ht="18" x14ac:dyDescent="0.25">
      <c r="A109" s="1107"/>
      <c r="B109" s="1107"/>
      <c r="C109" s="1109"/>
      <c r="D109" s="503" t="s">
        <v>4</v>
      </c>
      <c r="E109" s="585">
        <v>429055.24385959614</v>
      </c>
      <c r="F109" s="585">
        <v>429055.24385959614</v>
      </c>
      <c r="G109" s="778">
        <v>429055.24385959614</v>
      </c>
      <c r="H109" s="779">
        <v>429055.24385959614</v>
      </c>
      <c r="I109" s="779">
        <v>429055.24385959614</v>
      </c>
      <c r="J109" s="779"/>
      <c r="K109" s="779"/>
      <c r="L109" s="779"/>
      <c r="M109" s="779"/>
      <c r="N109" s="779"/>
      <c r="O109" s="779"/>
      <c r="P109" s="779"/>
      <c r="Q109" s="779"/>
      <c r="R109" s="779"/>
      <c r="S109" s="782"/>
      <c r="T109" s="509">
        <v>429055.24385959614</v>
      </c>
      <c r="U109" s="783">
        <v>429055.24385959614</v>
      </c>
      <c r="V109" s="783">
        <v>429055.24385959614</v>
      </c>
      <c r="W109" s="783"/>
      <c r="X109" s="783"/>
      <c r="Y109" s="783"/>
      <c r="Z109" s="783"/>
      <c r="AA109" s="783"/>
      <c r="AB109" s="783"/>
      <c r="AC109" s="783"/>
      <c r="AD109" s="783"/>
      <c r="AE109" s="783"/>
      <c r="AF109" s="1110"/>
      <c r="AG109" s="1111"/>
      <c r="AH109" s="1059"/>
      <c r="AI109" s="1059"/>
      <c r="AJ109" s="1059"/>
      <c r="AK109" s="1059"/>
      <c r="AL109" s="1059"/>
      <c r="AM109" s="1059"/>
      <c r="AN109" s="1114"/>
      <c r="AO109" s="1114"/>
      <c r="AP109" s="1114"/>
      <c r="AQ109" s="1059"/>
      <c r="AR109" s="1059"/>
      <c r="AS109" s="1059"/>
      <c r="AT109" s="1059"/>
      <c r="AU109" s="1059"/>
      <c r="AV109" s="1059"/>
      <c r="AW109" s="1059"/>
      <c r="AX109" s="1059"/>
      <c r="AY109" s="1059"/>
      <c r="BB109" s="609">
        <f t="shared" si="93"/>
        <v>0</v>
      </c>
      <c r="BC109" s="610">
        <f t="shared" si="94"/>
        <v>0</v>
      </c>
      <c r="BD109" s="610">
        <f t="shared" si="95"/>
        <v>0</v>
      </c>
    </row>
    <row r="110" spans="1:56" ht="18" x14ac:dyDescent="0.25">
      <c r="A110" s="1107"/>
      <c r="B110" s="1107"/>
      <c r="C110" s="1109"/>
      <c r="D110" s="502" t="s">
        <v>43</v>
      </c>
      <c r="E110" s="585">
        <f t="shared" ref="E110:F110" si="140">E106+E108</f>
        <v>0.05</v>
      </c>
      <c r="F110" s="585">
        <f t="shared" si="140"/>
        <v>0.05</v>
      </c>
      <c r="G110" s="778">
        <f t="shared" ref="G110:I111" si="141">G106+G108</f>
        <v>0.05</v>
      </c>
      <c r="H110" s="779">
        <f t="shared" si="141"/>
        <v>0.05</v>
      </c>
      <c r="I110" s="779">
        <f t="shared" si="141"/>
        <v>0.05</v>
      </c>
      <c r="J110" s="779"/>
      <c r="K110" s="779"/>
      <c r="L110" s="779"/>
      <c r="M110" s="779"/>
      <c r="N110" s="779"/>
      <c r="O110" s="779"/>
      <c r="P110" s="779"/>
      <c r="Q110" s="779"/>
      <c r="R110" s="779"/>
      <c r="S110" s="782"/>
      <c r="T110" s="782">
        <f t="shared" ref="T110:T111" si="142">T106+T108</f>
        <v>3.7499999999999999E-3</v>
      </c>
      <c r="U110" s="784">
        <f t="shared" ref="U110" si="143">U106+U108</f>
        <v>1.15E-2</v>
      </c>
      <c r="V110" s="784">
        <f t="shared" ref="V110" si="144">V106+V108</f>
        <v>2.3E-2</v>
      </c>
      <c r="W110" s="783"/>
      <c r="X110" s="783"/>
      <c r="Y110" s="783"/>
      <c r="Z110" s="783"/>
      <c r="AA110" s="783"/>
      <c r="AB110" s="783"/>
      <c r="AC110" s="783"/>
      <c r="AD110" s="783"/>
      <c r="AE110" s="783"/>
      <c r="AF110" s="1110"/>
      <c r="AG110" s="1111"/>
      <c r="AH110" s="1059"/>
      <c r="AI110" s="1059"/>
      <c r="AJ110" s="1059"/>
      <c r="AK110" s="1059"/>
      <c r="AL110" s="1059"/>
      <c r="AM110" s="1059"/>
      <c r="AN110" s="1114"/>
      <c r="AO110" s="1114"/>
      <c r="AP110" s="1114"/>
      <c r="AQ110" s="1059"/>
      <c r="AR110" s="1059"/>
      <c r="AS110" s="1059"/>
      <c r="AT110" s="1059"/>
      <c r="AU110" s="1059"/>
      <c r="AV110" s="1059"/>
      <c r="AW110" s="1059"/>
      <c r="AX110" s="1059"/>
      <c r="AY110" s="1059"/>
      <c r="BB110" s="609">
        <f t="shared" si="93"/>
        <v>-2.7000000000000003E-2</v>
      </c>
      <c r="BC110" s="610">
        <f t="shared" si="94"/>
        <v>-1.15E-2</v>
      </c>
      <c r="BD110" s="610">
        <f t="shared" si="95"/>
        <v>-1.15E-2</v>
      </c>
    </row>
    <row r="111" spans="1:56" ht="27" x14ac:dyDescent="0.25">
      <c r="A111" s="1107"/>
      <c r="B111" s="1107"/>
      <c r="C111" s="1109"/>
      <c r="D111" s="503" t="s">
        <v>45</v>
      </c>
      <c r="E111" s="585">
        <f t="shared" ref="E111:F111" si="145">E107+E109</f>
        <v>429055.24385959614</v>
      </c>
      <c r="F111" s="585">
        <f t="shared" si="145"/>
        <v>429055.24385959614</v>
      </c>
      <c r="G111" s="778">
        <f t="shared" si="141"/>
        <v>429055.24385959614</v>
      </c>
      <c r="H111" s="779">
        <f t="shared" si="141"/>
        <v>2180906.7592341928</v>
      </c>
      <c r="I111" s="779">
        <f t="shared" si="141"/>
        <v>2154681.393859596</v>
      </c>
      <c r="J111" s="779"/>
      <c r="K111" s="779"/>
      <c r="L111" s="779"/>
      <c r="M111" s="779"/>
      <c r="N111" s="779"/>
      <c r="O111" s="779"/>
      <c r="P111" s="779"/>
      <c r="Q111" s="779"/>
      <c r="R111" s="779"/>
      <c r="S111" s="785"/>
      <c r="T111" s="785">
        <f t="shared" si="142"/>
        <v>429055.24385959614</v>
      </c>
      <c r="U111" s="779">
        <f t="shared" ref="U111" si="146">U107+U109</f>
        <v>2180906.7592341928</v>
      </c>
      <c r="V111" s="783">
        <f t="shared" ref="V111" si="147">V107+V109</f>
        <v>2154681.39491974</v>
      </c>
      <c r="W111" s="779"/>
      <c r="X111" s="779"/>
      <c r="Y111" s="779"/>
      <c r="Z111" s="779"/>
      <c r="AA111" s="779"/>
      <c r="AB111" s="779"/>
      <c r="AC111" s="779"/>
      <c r="AD111" s="779"/>
      <c r="AE111" s="779"/>
      <c r="AF111" s="1110"/>
      <c r="AG111" s="1111"/>
      <c r="AH111" s="1059"/>
      <c r="AI111" s="1059"/>
      <c r="AJ111" s="1059"/>
      <c r="AK111" s="1059"/>
      <c r="AL111" s="1059"/>
      <c r="AM111" s="1059"/>
      <c r="AN111" s="1114"/>
      <c r="AO111" s="1114"/>
      <c r="AP111" s="1114"/>
      <c r="AQ111" s="1059"/>
      <c r="AR111" s="1059"/>
      <c r="AS111" s="1059"/>
      <c r="AT111" s="1059"/>
      <c r="AU111" s="1059"/>
      <c r="AV111" s="1059"/>
      <c r="AW111" s="1059"/>
      <c r="AX111" s="1059"/>
      <c r="AY111" s="1059"/>
      <c r="BB111" s="609">
        <f t="shared" si="93"/>
        <v>1.0601440444588661E-3</v>
      </c>
      <c r="BC111" s="610">
        <f t="shared" si="94"/>
        <v>26225.364314452745</v>
      </c>
      <c r="BD111" s="610">
        <f t="shared" si="95"/>
        <v>26225.364314452745</v>
      </c>
    </row>
    <row r="112" spans="1:56" ht="18" customHeight="1" x14ac:dyDescent="0.25">
      <c r="A112" s="1107"/>
      <c r="B112" s="1107"/>
      <c r="C112" s="1109" t="s">
        <v>514</v>
      </c>
      <c r="D112" s="504" t="s">
        <v>41</v>
      </c>
      <c r="E112" s="585">
        <v>0.05</v>
      </c>
      <c r="F112" s="585">
        <v>0.05</v>
      </c>
      <c r="G112" s="778">
        <v>0.05</v>
      </c>
      <c r="H112" s="779">
        <v>0.05</v>
      </c>
      <c r="I112" s="779">
        <v>0.05</v>
      </c>
      <c r="J112" s="779"/>
      <c r="K112" s="779"/>
      <c r="L112" s="779"/>
      <c r="M112" s="779"/>
      <c r="N112" s="779"/>
      <c r="O112" s="779"/>
      <c r="P112" s="779"/>
      <c r="Q112" s="779"/>
      <c r="R112" s="779"/>
      <c r="S112" s="780"/>
      <c r="T112" s="781">
        <v>3.7499999999999999E-3</v>
      </c>
      <c r="U112" s="781">
        <f>0.23/20</f>
        <v>1.15E-2</v>
      </c>
      <c r="V112" s="781">
        <f>0.46/20</f>
        <v>2.3E-2</v>
      </c>
      <c r="W112" s="781"/>
      <c r="X112" s="781"/>
      <c r="Y112" s="781"/>
      <c r="Z112" s="781"/>
      <c r="AA112" s="781"/>
      <c r="AB112" s="781"/>
      <c r="AC112" s="781"/>
      <c r="AD112" s="781"/>
      <c r="AE112" s="781"/>
      <c r="AF112" s="1110" t="s">
        <v>754</v>
      </c>
      <c r="AG112" s="1111" t="s">
        <v>448</v>
      </c>
      <c r="AH112" s="1059" t="s">
        <v>684</v>
      </c>
      <c r="AI112" s="1059" t="s">
        <v>731</v>
      </c>
      <c r="AJ112" s="1059" t="s">
        <v>713</v>
      </c>
      <c r="AK112" s="1059" t="s">
        <v>435</v>
      </c>
      <c r="AL112" s="1059">
        <v>6</v>
      </c>
      <c r="AM112" s="1059" t="s">
        <v>71</v>
      </c>
      <c r="AN112" s="1114">
        <f t="shared" ref="AN112" si="148">SUM(AO112:AP117)</f>
        <v>391588</v>
      </c>
      <c r="AO112" s="1114">
        <v>192276</v>
      </c>
      <c r="AP112" s="1114">
        <v>199312</v>
      </c>
      <c r="AQ112" s="1059" t="s">
        <v>71</v>
      </c>
      <c r="AR112" s="1059" t="s">
        <v>71</v>
      </c>
      <c r="AS112" s="1059" t="s">
        <v>71</v>
      </c>
      <c r="AT112" s="1059" t="s">
        <v>71</v>
      </c>
      <c r="AU112" s="1059" t="s">
        <v>71</v>
      </c>
      <c r="AV112" s="1059" t="s">
        <v>71</v>
      </c>
      <c r="AW112" s="1059" t="s">
        <v>71</v>
      </c>
      <c r="AX112" s="1059" t="s">
        <v>71</v>
      </c>
      <c r="AY112" s="1059"/>
      <c r="BB112" s="609">
        <f t="shared" si="93"/>
        <v>-2.7000000000000003E-2</v>
      </c>
      <c r="BC112" s="610">
        <f t="shared" si="94"/>
        <v>-1.15E-2</v>
      </c>
      <c r="BD112" s="610">
        <f t="shared" si="95"/>
        <v>-1.15E-2</v>
      </c>
    </row>
    <row r="113" spans="1:56" ht="18" x14ac:dyDescent="0.25">
      <c r="A113" s="1107"/>
      <c r="B113" s="1107"/>
      <c r="C113" s="1109"/>
      <c r="D113" s="503" t="s">
        <v>3</v>
      </c>
      <c r="E113" s="585">
        <v>9265.9368081719749</v>
      </c>
      <c r="F113" s="585">
        <v>9265.9368081719749</v>
      </c>
      <c r="G113" s="778">
        <v>9265.9368081719749</v>
      </c>
      <c r="H113" s="779">
        <v>91099770.688347533</v>
      </c>
      <c r="I113" s="779">
        <v>90060186</v>
      </c>
      <c r="J113" s="779"/>
      <c r="K113" s="779"/>
      <c r="L113" s="779"/>
      <c r="M113" s="779"/>
      <c r="N113" s="779"/>
      <c r="O113" s="779"/>
      <c r="P113" s="779"/>
      <c r="Q113" s="779"/>
      <c r="R113" s="779"/>
      <c r="S113" s="509"/>
      <c r="T113" s="509">
        <v>9265.9368081719749</v>
      </c>
      <c r="U113" s="510">
        <v>91099770.688347533</v>
      </c>
      <c r="V113" s="787">
        <v>90060186.02805455</v>
      </c>
      <c r="W113" s="510"/>
      <c r="X113" s="510"/>
      <c r="Y113" s="510"/>
      <c r="Z113" s="510"/>
      <c r="AA113" s="510"/>
      <c r="AB113" s="510"/>
      <c r="AC113" s="510"/>
      <c r="AD113" s="510"/>
      <c r="AE113" s="510"/>
      <c r="AF113" s="1110"/>
      <c r="AG113" s="1111"/>
      <c r="AH113" s="1059"/>
      <c r="AI113" s="1059"/>
      <c r="AJ113" s="1059"/>
      <c r="AK113" s="1059"/>
      <c r="AL113" s="1059"/>
      <c r="AM113" s="1059"/>
      <c r="AN113" s="1114"/>
      <c r="AO113" s="1114"/>
      <c r="AP113" s="1114"/>
      <c r="AQ113" s="1059"/>
      <c r="AR113" s="1059"/>
      <c r="AS113" s="1059"/>
      <c r="AT113" s="1059"/>
      <c r="AU113" s="1059"/>
      <c r="AV113" s="1059"/>
      <c r="AW113" s="1059"/>
      <c r="AX113" s="1059"/>
      <c r="AY113" s="1059"/>
      <c r="BB113" s="609">
        <f t="shared" si="93"/>
        <v>2.8054550290107727E-2</v>
      </c>
      <c r="BC113" s="610">
        <f t="shared" si="94"/>
        <v>1039584.6602929831</v>
      </c>
      <c r="BD113" s="610">
        <f t="shared" si="95"/>
        <v>1039584.6602929831</v>
      </c>
    </row>
    <row r="114" spans="1:56" ht="18" x14ac:dyDescent="0.25">
      <c r="A114" s="1107"/>
      <c r="B114" s="1107"/>
      <c r="C114" s="1109"/>
      <c r="D114" s="502" t="s">
        <v>42</v>
      </c>
      <c r="E114" s="585">
        <v>0</v>
      </c>
      <c r="F114" s="585">
        <v>0</v>
      </c>
      <c r="G114" s="778">
        <v>0</v>
      </c>
      <c r="H114" s="779">
        <v>0</v>
      </c>
      <c r="I114" s="779">
        <v>0</v>
      </c>
      <c r="J114" s="779"/>
      <c r="K114" s="779"/>
      <c r="L114" s="779"/>
      <c r="M114" s="779"/>
      <c r="N114" s="779"/>
      <c r="O114" s="779"/>
      <c r="P114" s="779"/>
      <c r="Q114" s="779"/>
      <c r="R114" s="779"/>
      <c r="S114" s="782"/>
      <c r="T114" s="782">
        <v>0</v>
      </c>
      <c r="U114" s="783">
        <v>0</v>
      </c>
      <c r="V114" s="783">
        <v>0</v>
      </c>
      <c r="W114" s="783"/>
      <c r="X114" s="783"/>
      <c r="Y114" s="783"/>
      <c r="Z114" s="783"/>
      <c r="AA114" s="783"/>
      <c r="AB114" s="783"/>
      <c r="AC114" s="783"/>
      <c r="AD114" s="783"/>
      <c r="AE114" s="783"/>
      <c r="AF114" s="1110"/>
      <c r="AG114" s="1111"/>
      <c r="AH114" s="1059"/>
      <c r="AI114" s="1059"/>
      <c r="AJ114" s="1059"/>
      <c r="AK114" s="1059"/>
      <c r="AL114" s="1059"/>
      <c r="AM114" s="1059"/>
      <c r="AN114" s="1114"/>
      <c r="AO114" s="1114"/>
      <c r="AP114" s="1114"/>
      <c r="AQ114" s="1059"/>
      <c r="AR114" s="1059"/>
      <c r="AS114" s="1059"/>
      <c r="AT114" s="1059"/>
      <c r="AU114" s="1059"/>
      <c r="AV114" s="1059"/>
      <c r="AW114" s="1059"/>
      <c r="AX114" s="1059"/>
      <c r="AY114" s="1059"/>
      <c r="BB114" s="609">
        <f t="shared" si="93"/>
        <v>0</v>
      </c>
      <c r="BC114" s="610">
        <f t="shared" si="94"/>
        <v>0</v>
      </c>
      <c r="BD114" s="610">
        <f t="shared" si="95"/>
        <v>0</v>
      </c>
    </row>
    <row r="115" spans="1:56" ht="18" x14ac:dyDescent="0.25">
      <c r="A115" s="1107"/>
      <c r="B115" s="1107"/>
      <c r="C115" s="1109"/>
      <c r="D115" s="503" t="s">
        <v>4</v>
      </c>
      <c r="E115" s="585">
        <v>21216677.179796055</v>
      </c>
      <c r="F115" s="585">
        <v>21216677.179796055</v>
      </c>
      <c r="G115" s="778">
        <v>21216677.179796055</v>
      </c>
      <c r="H115" s="779">
        <v>21216677.179796055</v>
      </c>
      <c r="I115" s="779">
        <v>21216677.179796055</v>
      </c>
      <c r="J115" s="779"/>
      <c r="K115" s="779"/>
      <c r="L115" s="779"/>
      <c r="M115" s="779"/>
      <c r="N115" s="779"/>
      <c r="O115" s="779"/>
      <c r="P115" s="779"/>
      <c r="Q115" s="779"/>
      <c r="R115" s="779"/>
      <c r="S115" s="782"/>
      <c r="T115" s="509">
        <v>21216677.179796055</v>
      </c>
      <c r="U115" s="783">
        <v>21216677.179796055</v>
      </c>
      <c r="V115" s="783">
        <v>21216677.179796055</v>
      </c>
      <c r="W115" s="783"/>
      <c r="X115" s="783"/>
      <c r="Y115" s="783"/>
      <c r="Z115" s="783"/>
      <c r="AA115" s="783"/>
      <c r="AB115" s="783"/>
      <c r="AC115" s="783"/>
      <c r="AD115" s="783"/>
      <c r="AE115" s="783"/>
      <c r="AF115" s="1110"/>
      <c r="AG115" s="1111"/>
      <c r="AH115" s="1059"/>
      <c r="AI115" s="1059"/>
      <c r="AJ115" s="1059"/>
      <c r="AK115" s="1059"/>
      <c r="AL115" s="1059"/>
      <c r="AM115" s="1059"/>
      <c r="AN115" s="1114"/>
      <c r="AO115" s="1114"/>
      <c r="AP115" s="1114"/>
      <c r="AQ115" s="1059"/>
      <c r="AR115" s="1059"/>
      <c r="AS115" s="1059"/>
      <c r="AT115" s="1059"/>
      <c r="AU115" s="1059"/>
      <c r="AV115" s="1059"/>
      <c r="AW115" s="1059"/>
      <c r="AX115" s="1059"/>
      <c r="AY115" s="1059"/>
      <c r="BB115" s="609">
        <f t="shared" si="93"/>
        <v>0</v>
      </c>
      <c r="BC115" s="610">
        <f t="shared" si="94"/>
        <v>0</v>
      </c>
      <c r="BD115" s="610">
        <f t="shared" si="95"/>
        <v>0</v>
      </c>
    </row>
    <row r="116" spans="1:56" ht="18" x14ac:dyDescent="0.25">
      <c r="A116" s="1107"/>
      <c r="B116" s="1107"/>
      <c r="C116" s="1109"/>
      <c r="D116" s="502" t="s">
        <v>43</v>
      </c>
      <c r="E116" s="585">
        <f t="shared" ref="E116:F116" si="149">E112+E114</f>
        <v>0.05</v>
      </c>
      <c r="F116" s="585">
        <f t="shared" si="149"/>
        <v>0.05</v>
      </c>
      <c r="G116" s="778">
        <f t="shared" ref="G116:I117" si="150">G112+G114</f>
        <v>0.05</v>
      </c>
      <c r="H116" s="779">
        <f t="shared" si="150"/>
        <v>0.05</v>
      </c>
      <c r="I116" s="779">
        <f t="shared" si="150"/>
        <v>0.05</v>
      </c>
      <c r="J116" s="779"/>
      <c r="K116" s="779"/>
      <c r="L116" s="779"/>
      <c r="M116" s="779"/>
      <c r="N116" s="779"/>
      <c r="O116" s="779"/>
      <c r="P116" s="779"/>
      <c r="Q116" s="779"/>
      <c r="R116" s="779"/>
      <c r="S116" s="782"/>
      <c r="T116" s="782">
        <f t="shared" ref="T116:T117" si="151">T112+T114</f>
        <v>3.7499999999999999E-3</v>
      </c>
      <c r="U116" s="784">
        <f t="shared" ref="U116" si="152">U112+U114</f>
        <v>1.15E-2</v>
      </c>
      <c r="V116" s="784">
        <f t="shared" ref="V116" si="153">V112+V114</f>
        <v>2.3E-2</v>
      </c>
      <c r="W116" s="783"/>
      <c r="X116" s="783"/>
      <c r="Y116" s="783"/>
      <c r="Z116" s="783"/>
      <c r="AA116" s="783"/>
      <c r="AB116" s="783"/>
      <c r="AC116" s="783"/>
      <c r="AD116" s="783"/>
      <c r="AE116" s="783"/>
      <c r="AF116" s="1110"/>
      <c r="AG116" s="1111"/>
      <c r="AH116" s="1059"/>
      <c r="AI116" s="1059"/>
      <c r="AJ116" s="1059"/>
      <c r="AK116" s="1059"/>
      <c r="AL116" s="1059"/>
      <c r="AM116" s="1059"/>
      <c r="AN116" s="1114"/>
      <c r="AO116" s="1114"/>
      <c r="AP116" s="1114"/>
      <c r="AQ116" s="1059"/>
      <c r="AR116" s="1059"/>
      <c r="AS116" s="1059"/>
      <c r="AT116" s="1059"/>
      <c r="AU116" s="1059"/>
      <c r="AV116" s="1059"/>
      <c r="AW116" s="1059"/>
      <c r="AX116" s="1059"/>
      <c r="AY116" s="1059"/>
      <c r="BB116" s="609">
        <f t="shared" si="93"/>
        <v>-2.7000000000000003E-2</v>
      </c>
      <c r="BC116" s="610">
        <f t="shared" si="94"/>
        <v>-1.15E-2</v>
      </c>
      <c r="BD116" s="610">
        <f t="shared" si="95"/>
        <v>-1.15E-2</v>
      </c>
    </row>
    <row r="117" spans="1:56" ht="27" x14ac:dyDescent="0.25">
      <c r="A117" s="1107"/>
      <c r="B117" s="1107"/>
      <c r="C117" s="1109"/>
      <c r="D117" s="503" t="s">
        <v>45</v>
      </c>
      <c r="E117" s="585">
        <f t="shared" ref="E117:F117" si="154">E113+E115</f>
        <v>21225943.116604228</v>
      </c>
      <c r="F117" s="585">
        <f t="shared" si="154"/>
        <v>21225943.116604228</v>
      </c>
      <c r="G117" s="778">
        <f t="shared" si="150"/>
        <v>21225943.116604228</v>
      </c>
      <c r="H117" s="779">
        <f t="shared" si="150"/>
        <v>112316447.86814359</v>
      </c>
      <c r="I117" s="779">
        <f t="shared" si="150"/>
        <v>111276863.17979605</v>
      </c>
      <c r="J117" s="779"/>
      <c r="K117" s="779"/>
      <c r="L117" s="779"/>
      <c r="M117" s="779"/>
      <c r="N117" s="779"/>
      <c r="O117" s="779"/>
      <c r="P117" s="779"/>
      <c r="Q117" s="779"/>
      <c r="R117" s="779"/>
      <c r="S117" s="785"/>
      <c r="T117" s="509">
        <f t="shared" si="151"/>
        <v>21225943.116604228</v>
      </c>
      <c r="U117" s="778">
        <f t="shared" ref="U117" si="155">U113+U115</f>
        <v>112316447.86814359</v>
      </c>
      <c r="V117" s="784">
        <f t="shared" ref="V117" si="156">V113+V115</f>
        <v>111276863.20785061</v>
      </c>
      <c r="W117" s="779"/>
      <c r="X117" s="779"/>
      <c r="Y117" s="779"/>
      <c r="Z117" s="779"/>
      <c r="AA117" s="779"/>
      <c r="AB117" s="779"/>
      <c r="AC117" s="779"/>
      <c r="AD117" s="779"/>
      <c r="AE117" s="779"/>
      <c r="AF117" s="1110"/>
      <c r="AG117" s="1111"/>
      <c r="AH117" s="1059"/>
      <c r="AI117" s="1059"/>
      <c r="AJ117" s="1059"/>
      <c r="AK117" s="1059"/>
      <c r="AL117" s="1059"/>
      <c r="AM117" s="1059"/>
      <c r="AN117" s="1114"/>
      <c r="AO117" s="1114"/>
      <c r="AP117" s="1114"/>
      <c r="AQ117" s="1059"/>
      <c r="AR117" s="1059"/>
      <c r="AS117" s="1059"/>
      <c r="AT117" s="1059"/>
      <c r="AU117" s="1059"/>
      <c r="AV117" s="1059"/>
      <c r="AW117" s="1059"/>
      <c r="AX117" s="1059"/>
      <c r="AY117" s="1059"/>
      <c r="BB117" s="609">
        <f t="shared" si="93"/>
        <v>2.8054550290107727E-2</v>
      </c>
      <c r="BC117" s="610">
        <f t="shared" si="94"/>
        <v>1039584.6602929831</v>
      </c>
      <c r="BD117" s="610">
        <f t="shared" si="95"/>
        <v>1039584.6602929831</v>
      </c>
    </row>
    <row r="118" spans="1:56" ht="18" customHeight="1" x14ac:dyDescent="0.25">
      <c r="A118" s="1107"/>
      <c r="B118" s="1107"/>
      <c r="C118" s="1109" t="s">
        <v>515</v>
      </c>
      <c r="D118" s="504" t="s">
        <v>41</v>
      </c>
      <c r="E118" s="585">
        <v>0.05</v>
      </c>
      <c r="F118" s="585">
        <v>0.05</v>
      </c>
      <c r="G118" s="778">
        <v>0.05</v>
      </c>
      <c r="H118" s="779">
        <v>0.05</v>
      </c>
      <c r="I118" s="779">
        <v>0.05</v>
      </c>
      <c r="J118" s="779"/>
      <c r="K118" s="779"/>
      <c r="L118" s="779"/>
      <c r="M118" s="779"/>
      <c r="N118" s="779"/>
      <c r="O118" s="779"/>
      <c r="P118" s="779"/>
      <c r="Q118" s="779"/>
      <c r="R118" s="779"/>
      <c r="S118" s="780"/>
      <c r="T118" s="780">
        <v>3.7499999999999999E-3</v>
      </c>
      <c r="U118" s="781">
        <f>0.23/20</f>
        <v>1.15E-2</v>
      </c>
      <c r="V118" s="781">
        <f>0.46/20</f>
        <v>2.3E-2</v>
      </c>
      <c r="W118" s="781"/>
      <c r="X118" s="781"/>
      <c r="Y118" s="781"/>
      <c r="Z118" s="781"/>
      <c r="AA118" s="781"/>
      <c r="AB118" s="781"/>
      <c r="AC118" s="781"/>
      <c r="AD118" s="781"/>
      <c r="AE118" s="781"/>
      <c r="AF118" s="1110" t="s">
        <v>755</v>
      </c>
      <c r="AG118" s="1111" t="s">
        <v>443</v>
      </c>
      <c r="AH118" s="1059" t="s">
        <v>732</v>
      </c>
      <c r="AI118" s="1059" t="s">
        <v>733</v>
      </c>
      <c r="AJ118" s="1059" t="s">
        <v>713</v>
      </c>
      <c r="AK118" s="1059" t="s">
        <v>435</v>
      </c>
      <c r="AL118" s="1059">
        <v>3</v>
      </c>
      <c r="AM118" s="1059" t="s">
        <v>71</v>
      </c>
      <c r="AN118" s="1114">
        <f t="shared" ref="AN118" si="157">SUM(AO118:AP123)</f>
        <v>655881</v>
      </c>
      <c r="AO118" s="1114">
        <v>327558</v>
      </c>
      <c r="AP118" s="1114">
        <v>328323</v>
      </c>
      <c r="AQ118" s="1059" t="s">
        <v>71</v>
      </c>
      <c r="AR118" s="1059" t="s">
        <v>71</v>
      </c>
      <c r="AS118" s="1059" t="s">
        <v>71</v>
      </c>
      <c r="AT118" s="1059" t="s">
        <v>71</v>
      </c>
      <c r="AU118" s="1059" t="s">
        <v>71</v>
      </c>
      <c r="AV118" s="1059" t="s">
        <v>71</v>
      </c>
      <c r="AW118" s="1059" t="s">
        <v>71</v>
      </c>
      <c r="AX118" s="1059" t="s">
        <v>71</v>
      </c>
      <c r="AY118" s="1059"/>
      <c r="BB118" s="609">
        <f t="shared" si="93"/>
        <v>-2.7000000000000003E-2</v>
      </c>
      <c r="BC118" s="610">
        <f t="shared" si="94"/>
        <v>-1.15E-2</v>
      </c>
      <c r="BD118" s="610">
        <f t="shared" si="95"/>
        <v>-1.15E-2</v>
      </c>
    </row>
    <row r="119" spans="1:56" ht="18" x14ac:dyDescent="0.25">
      <c r="A119" s="1107"/>
      <c r="B119" s="1107"/>
      <c r="C119" s="1109"/>
      <c r="D119" s="503" t="s">
        <v>3</v>
      </c>
      <c r="E119" s="585">
        <v>40132.794830318453</v>
      </c>
      <c r="F119" s="585">
        <v>40132.794830318453</v>
      </c>
      <c r="G119" s="778">
        <v>40132.794830318453</v>
      </c>
      <c r="H119" s="779">
        <v>21867104.774670761</v>
      </c>
      <c r="I119" s="779">
        <v>23147689.199999999</v>
      </c>
      <c r="J119" s="779"/>
      <c r="K119" s="779"/>
      <c r="L119" s="779"/>
      <c r="M119" s="779"/>
      <c r="N119" s="779"/>
      <c r="O119" s="779"/>
      <c r="P119" s="779"/>
      <c r="Q119" s="779"/>
      <c r="R119" s="779"/>
      <c r="S119" s="509"/>
      <c r="T119" s="509">
        <v>40132.794830318453</v>
      </c>
      <c r="U119" s="510">
        <v>21867104.774670761</v>
      </c>
      <c r="V119" s="787">
        <v>23147689.245466806</v>
      </c>
      <c r="W119" s="510"/>
      <c r="X119" s="510"/>
      <c r="Y119" s="510"/>
      <c r="Z119" s="510"/>
      <c r="AA119" s="510"/>
      <c r="AB119" s="510"/>
      <c r="AC119" s="510"/>
      <c r="AD119" s="510"/>
      <c r="AE119" s="510"/>
      <c r="AF119" s="1110"/>
      <c r="AG119" s="1111"/>
      <c r="AH119" s="1059"/>
      <c r="AI119" s="1059"/>
      <c r="AJ119" s="1059"/>
      <c r="AK119" s="1059"/>
      <c r="AL119" s="1059"/>
      <c r="AM119" s="1059"/>
      <c r="AN119" s="1114"/>
      <c r="AO119" s="1114"/>
      <c r="AP119" s="1114"/>
      <c r="AQ119" s="1059"/>
      <c r="AR119" s="1059"/>
      <c r="AS119" s="1059"/>
      <c r="AT119" s="1059"/>
      <c r="AU119" s="1059"/>
      <c r="AV119" s="1059"/>
      <c r="AW119" s="1059"/>
      <c r="AX119" s="1059"/>
      <c r="AY119" s="1059"/>
      <c r="BB119" s="609">
        <f t="shared" si="93"/>
        <v>4.546680673956871E-2</v>
      </c>
      <c r="BC119" s="610">
        <f t="shared" si="94"/>
        <v>-1280584.4707960449</v>
      </c>
      <c r="BD119" s="610">
        <f t="shared" si="95"/>
        <v>-1280584.4707960449</v>
      </c>
    </row>
    <row r="120" spans="1:56" ht="18" x14ac:dyDescent="0.25">
      <c r="A120" s="1107"/>
      <c r="B120" s="1107"/>
      <c r="C120" s="1109"/>
      <c r="D120" s="502" t="s">
        <v>42</v>
      </c>
      <c r="E120" s="585">
        <v>0</v>
      </c>
      <c r="F120" s="585">
        <v>0</v>
      </c>
      <c r="G120" s="778">
        <v>0</v>
      </c>
      <c r="H120" s="779">
        <v>0</v>
      </c>
      <c r="I120" s="779">
        <v>0</v>
      </c>
      <c r="J120" s="779"/>
      <c r="K120" s="779"/>
      <c r="L120" s="779"/>
      <c r="M120" s="779"/>
      <c r="N120" s="779"/>
      <c r="O120" s="779"/>
      <c r="P120" s="779"/>
      <c r="Q120" s="779"/>
      <c r="R120" s="779"/>
      <c r="S120" s="782"/>
      <c r="T120" s="782">
        <v>0</v>
      </c>
      <c r="U120" s="783">
        <v>0</v>
      </c>
      <c r="V120" s="783">
        <v>0</v>
      </c>
      <c r="W120" s="783"/>
      <c r="X120" s="783"/>
      <c r="Y120" s="783"/>
      <c r="Z120" s="783"/>
      <c r="AA120" s="783"/>
      <c r="AB120" s="783"/>
      <c r="AC120" s="783"/>
      <c r="AD120" s="783"/>
      <c r="AE120" s="783"/>
      <c r="AF120" s="1110"/>
      <c r="AG120" s="1111"/>
      <c r="AH120" s="1059"/>
      <c r="AI120" s="1059"/>
      <c r="AJ120" s="1059"/>
      <c r="AK120" s="1059"/>
      <c r="AL120" s="1059"/>
      <c r="AM120" s="1059"/>
      <c r="AN120" s="1114"/>
      <c r="AO120" s="1114"/>
      <c r="AP120" s="1114"/>
      <c r="AQ120" s="1059"/>
      <c r="AR120" s="1059"/>
      <c r="AS120" s="1059"/>
      <c r="AT120" s="1059"/>
      <c r="AU120" s="1059"/>
      <c r="AV120" s="1059"/>
      <c r="AW120" s="1059"/>
      <c r="AX120" s="1059"/>
      <c r="AY120" s="1059"/>
      <c r="BB120" s="609">
        <f t="shared" si="93"/>
        <v>0</v>
      </c>
      <c r="BC120" s="610">
        <f t="shared" si="94"/>
        <v>0</v>
      </c>
      <c r="BD120" s="610">
        <f t="shared" si="95"/>
        <v>0</v>
      </c>
    </row>
    <row r="121" spans="1:56" ht="18" x14ac:dyDescent="0.25">
      <c r="A121" s="1107"/>
      <c r="B121" s="1107"/>
      <c r="C121" s="1109"/>
      <c r="D121" s="503" t="s">
        <v>4</v>
      </c>
      <c r="E121" s="585">
        <v>535328.69320370373</v>
      </c>
      <c r="F121" s="585">
        <v>535328.69320370373</v>
      </c>
      <c r="G121" s="778">
        <v>535328.69320370373</v>
      </c>
      <c r="H121" s="779">
        <v>535328.69320370373</v>
      </c>
      <c r="I121" s="779">
        <v>535328.69320370373</v>
      </c>
      <c r="J121" s="779"/>
      <c r="K121" s="779"/>
      <c r="L121" s="779"/>
      <c r="M121" s="779"/>
      <c r="N121" s="779"/>
      <c r="O121" s="779"/>
      <c r="P121" s="779"/>
      <c r="Q121" s="779"/>
      <c r="R121" s="779"/>
      <c r="S121" s="782"/>
      <c r="T121" s="509">
        <v>535328.69320370373</v>
      </c>
      <c r="U121" s="783">
        <v>535328.69320370373</v>
      </c>
      <c r="V121" s="783">
        <v>535328.69320370373</v>
      </c>
      <c r="W121" s="783"/>
      <c r="X121" s="783"/>
      <c r="Y121" s="783"/>
      <c r="Z121" s="783"/>
      <c r="AA121" s="783"/>
      <c r="AB121" s="783"/>
      <c r="AC121" s="783"/>
      <c r="AD121" s="783"/>
      <c r="AE121" s="783"/>
      <c r="AF121" s="1110"/>
      <c r="AG121" s="1111"/>
      <c r="AH121" s="1059"/>
      <c r="AI121" s="1059"/>
      <c r="AJ121" s="1059"/>
      <c r="AK121" s="1059"/>
      <c r="AL121" s="1059"/>
      <c r="AM121" s="1059"/>
      <c r="AN121" s="1114"/>
      <c r="AO121" s="1114"/>
      <c r="AP121" s="1114"/>
      <c r="AQ121" s="1059"/>
      <c r="AR121" s="1059"/>
      <c r="AS121" s="1059"/>
      <c r="AT121" s="1059"/>
      <c r="AU121" s="1059"/>
      <c r="AV121" s="1059"/>
      <c r="AW121" s="1059"/>
      <c r="AX121" s="1059"/>
      <c r="AY121" s="1059"/>
      <c r="BB121" s="609">
        <f t="shared" si="93"/>
        <v>0</v>
      </c>
      <c r="BC121" s="610">
        <f t="shared" si="94"/>
        <v>0</v>
      </c>
      <c r="BD121" s="610">
        <f t="shared" si="95"/>
        <v>0</v>
      </c>
    </row>
    <row r="122" spans="1:56" ht="18" x14ac:dyDescent="0.25">
      <c r="A122" s="1107"/>
      <c r="B122" s="1107"/>
      <c r="C122" s="1109"/>
      <c r="D122" s="502" t="s">
        <v>43</v>
      </c>
      <c r="E122" s="585">
        <f t="shared" ref="E122:F122" si="158">E118+E120</f>
        <v>0.05</v>
      </c>
      <c r="F122" s="585">
        <f t="shared" si="158"/>
        <v>0.05</v>
      </c>
      <c r="G122" s="778">
        <f t="shared" ref="G122:I122" si="159">G118+G120</f>
        <v>0.05</v>
      </c>
      <c r="H122" s="779">
        <f t="shared" si="159"/>
        <v>0.05</v>
      </c>
      <c r="I122" s="779">
        <f t="shared" si="159"/>
        <v>0.05</v>
      </c>
      <c r="J122" s="779"/>
      <c r="K122" s="779"/>
      <c r="L122" s="779"/>
      <c r="M122" s="779"/>
      <c r="N122" s="779"/>
      <c r="O122" s="779"/>
      <c r="P122" s="779"/>
      <c r="Q122" s="779"/>
      <c r="R122" s="779"/>
      <c r="S122" s="782"/>
      <c r="T122" s="782">
        <f t="shared" ref="T122" si="160">T118+T120</f>
        <v>3.7499999999999999E-3</v>
      </c>
      <c r="U122" s="784">
        <f t="shared" ref="U122" si="161">U118+U120</f>
        <v>1.15E-2</v>
      </c>
      <c r="V122" s="784">
        <f t="shared" ref="V122" si="162">V118+V120</f>
        <v>2.3E-2</v>
      </c>
      <c r="W122" s="783"/>
      <c r="X122" s="783"/>
      <c r="Y122" s="783"/>
      <c r="Z122" s="783"/>
      <c r="AA122" s="783"/>
      <c r="AB122" s="783"/>
      <c r="AC122" s="783"/>
      <c r="AD122" s="783"/>
      <c r="AE122" s="783"/>
      <c r="AF122" s="1110"/>
      <c r="AG122" s="1111"/>
      <c r="AH122" s="1059"/>
      <c r="AI122" s="1059"/>
      <c r="AJ122" s="1059"/>
      <c r="AK122" s="1059"/>
      <c r="AL122" s="1059"/>
      <c r="AM122" s="1059"/>
      <c r="AN122" s="1114"/>
      <c r="AO122" s="1114"/>
      <c r="AP122" s="1114"/>
      <c r="AQ122" s="1059"/>
      <c r="AR122" s="1059"/>
      <c r="AS122" s="1059"/>
      <c r="AT122" s="1059"/>
      <c r="AU122" s="1059"/>
      <c r="AV122" s="1059"/>
      <c r="AW122" s="1059"/>
      <c r="AX122" s="1059"/>
      <c r="AY122" s="1059"/>
      <c r="BB122" s="609">
        <f t="shared" si="93"/>
        <v>-2.7000000000000003E-2</v>
      </c>
      <c r="BC122" s="610">
        <f t="shared" si="94"/>
        <v>-1.15E-2</v>
      </c>
      <c r="BD122" s="610">
        <f t="shared" si="95"/>
        <v>-1.15E-2</v>
      </c>
    </row>
    <row r="123" spans="1:56" ht="27" x14ac:dyDescent="0.25">
      <c r="A123" s="1107"/>
      <c r="B123" s="1107"/>
      <c r="C123" s="1109"/>
      <c r="D123" s="503" t="s">
        <v>45</v>
      </c>
      <c r="E123" s="585"/>
      <c r="F123" s="585"/>
      <c r="G123" s="778"/>
      <c r="H123" s="779"/>
      <c r="I123" s="779"/>
      <c r="J123" s="779"/>
      <c r="K123" s="779"/>
      <c r="L123" s="779"/>
      <c r="M123" s="779"/>
      <c r="N123" s="779"/>
      <c r="O123" s="779"/>
      <c r="P123" s="779"/>
      <c r="Q123" s="779"/>
      <c r="R123" s="779"/>
      <c r="S123" s="785"/>
      <c r="T123" s="785"/>
      <c r="U123" s="779"/>
      <c r="V123" s="783"/>
      <c r="W123" s="779"/>
      <c r="X123" s="779"/>
      <c r="Y123" s="779"/>
      <c r="Z123" s="779"/>
      <c r="AA123" s="779"/>
      <c r="AB123" s="779"/>
      <c r="AC123" s="779"/>
      <c r="AD123" s="779"/>
      <c r="AE123" s="779"/>
      <c r="AF123" s="1110"/>
      <c r="AG123" s="1111"/>
      <c r="AH123" s="1059"/>
      <c r="AI123" s="1059"/>
      <c r="AJ123" s="1059"/>
      <c r="AK123" s="1059"/>
      <c r="AL123" s="1059"/>
      <c r="AM123" s="1059"/>
      <c r="AN123" s="1114"/>
      <c r="AO123" s="1114"/>
      <c r="AP123" s="1114"/>
      <c r="AQ123" s="1059"/>
      <c r="AR123" s="1059"/>
      <c r="AS123" s="1059"/>
      <c r="AT123" s="1059"/>
      <c r="AU123" s="1059"/>
      <c r="AV123" s="1059"/>
      <c r="AW123" s="1059"/>
      <c r="AX123" s="1059"/>
      <c r="AY123" s="1059"/>
      <c r="AZ123" s="559"/>
      <c r="BB123" s="609">
        <f t="shared" si="93"/>
        <v>0</v>
      </c>
      <c r="BC123" s="610">
        <f t="shared" si="94"/>
        <v>0</v>
      </c>
      <c r="BD123" s="610">
        <f t="shared" si="95"/>
        <v>0</v>
      </c>
    </row>
    <row r="124" spans="1:56" ht="18" customHeight="1" x14ac:dyDescent="0.25">
      <c r="A124" s="1107"/>
      <c r="B124" s="1107"/>
      <c r="C124" s="1109" t="s">
        <v>486</v>
      </c>
      <c r="D124" s="504" t="s">
        <v>41</v>
      </c>
      <c r="E124" s="585">
        <v>0.05</v>
      </c>
      <c r="F124" s="585">
        <v>0.05</v>
      </c>
      <c r="G124" s="778">
        <v>0.05</v>
      </c>
      <c r="H124" s="779">
        <v>0.05</v>
      </c>
      <c r="I124" s="779">
        <v>0.05</v>
      </c>
      <c r="J124" s="779"/>
      <c r="K124" s="779"/>
      <c r="L124" s="779"/>
      <c r="M124" s="779"/>
      <c r="N124" s="779"/>
      <c r="O124" s="779"/>
      <c r="P124" s="779"/>
      <c r="Q124" s="779"/>
      <c r="R124" s="779"/>
      <c r="S124" s="780"/>
      <c r="T124" s="782">
        <v>3.7499999999999999E-3</v>
      </c>
      <c r="U124" s="781">
        <f>0.23/20</f>
        <v>1.15E-2</v>
      </c>
      <c r="V124" s="781">
        <f>0.46/20</f>
        <v>2.3E-2</v>
      </c>
      <c r="W124" s="781"/>
      <c r="X124" s="781"/>
      <c r="Y124" s="781"/>
      <c r="Z124" s="781"/>
      <c r="AA124" s="781"/>
      <c r="AB124" s="781"/>
      <c r="AC124" s="781"/>
      <c r="AD124" s="781"/>
      <c r="AE124" s="781"/>
      <c r="AF124" s="1110" t="s">
        <v>756</v>
      </c>
      <c r="AG124" s="1111" t="s">
        <v>487</v>
      </c>
      <c r="AH124" s="1059" t="s">
        <v>71</v>
      </c>
      <c r="AI124" s="1123" t="s">
        <v>71</v>
      </c>
      <c r="AJ124" s="1059" t="s">
        <v>734</v>
      </c>
      <c r="AK124" s="1059" t="s">
        <v>435</v>
      </c>
      <c r="AL124" s="1123" t="s">
        <v>71</v>
      </c>
      <c r="AM124" s="1059" t="s">
        <v>71</v>
      </c>
      <c r="AN124" s="1059" t="s">
        <v>71</v>
      </c>
      <c r="AO124" s="1123" t="s">
        <v>71</v>
      </c>
      <c r="AP124" s="1123" t="s">
        <v>71</v>
      </c>
      <c r="AQ124" s="1123" t="s">
        <v>71</v>
      </c>
      <c r="AR124" s="1123" t="s">
        <v>71</v>
      </c>
      <c r="AS124" s="1059" t="s">
        <v>71</v>
      </c>
      <c r="AT124" s="1059" t="s">
        <v>71</v>
      </c>
      <c r="AU124" s="1059" t="s">
        <v>71</v>
      </c>
      <c r="AV124" s="1060" t="s">
        <v>71</v>
      </c>
      <c r="AW124" s="1059" t="s">
        <v>71</v>
      </c>
      <c r="AX124" s="1059" t="s">
        <v>71</v>
      </c>
      <c r="AY124" s="1059"/>
      <c r="BB124" s="609">
        <f t="shared" si="93"/>
        <v>-2.7000000000000003E-2</v>
      </c>
      <c r="BC124" s="610">
        <f t="shared" si="94"/>
        <v>-1.15E-2</v>
      </c>
      <c r="BD124" s="610">
        <f t="shared" si="95"/>
        <v>-1.15E-2</v>
      </c>
    </row>
    <row r="125" spans="1:56" ht="18" x14ac:dyDescent="0.25">
      <c r="A125" s="1107"/>
      <c r="B125" s="1107"/>
      <c r="C125" s="1109"/>
      <c r="D125" s="503" t="s">
        <v>3</v>
      </c>
      <c r="E125" s="585">
        <f>34903655.1112904+5662260534</f>
        <v>5697164189.11129</v>
      </c>
      <c r="F125" s="585">
        <f>34903655.1112904+5662260534</f>
        <v>5697164189.11129</v>
      </c>
      <c r="G125" s="778">
        <f>34903655.1112904+5662260534</f>
        <v>5697164189.11129</v>
      </c>
      <c r="H125" s="779">
        <f>320493156.678121+5148948600</f>
        <v>5469441756.6781206</v>
      </c>
      <c r="I125" s="779">
        <f>550697241+4557531599.76</f>
        <v>5108228840.7600002</v>
      </c>
      <c r="J125" s="779"/>
      <c r="K125" s="779"/>
      <c r="L125" s="779"/>
      <c r="M125" s="779"/>
      <c r="N125" s="779"/>
      <c r="O125" s="779"/>
      <c r="P125" s="779"/>
      <c r="Q125" s="779"/>
      <c r="R125" s="779"/>
      <c r="S125" s="509"/>
      <c r="T125" s="509">
        <v>34903655.111290447</v>
      </c>
      <c r="U125" s="510">
        <v>320493156.67812127</v>
      </c>
      <c r="V125" s="510">
        <v>550697241</v>
      </c>
      <c r="W125" s="510"/>
      <c r="X125" s="510"/>
      <c r="Y125" s="510"/>
      <c r="Z125" s="510"/>
      <c r="AA125" s="510"/>
      <c r="AB125" s="510"/>
      <c r="AC125" s="510"/>
      <c r="AD125" s="510"/>
      <c r="AE125" s="510"/>
      <c r="AF125" s="1110"/>
      <c r="AG125" s="1111"/>
      <c r="AH125" s="1059"/>
      <c r="AI125" s="1123"/>
      <c r="AJ125" s="1059"/>
      <c r="AK125" s="1059"/>
      <c r="AL125" s="1123"/>
      <c r="AM125" s="1059"/>
      <c r="AN125" s="1059"/>
      <c r="AO125" s="1123"/>
      <c r="AP125" s="1123"/>
      <c r="AQ125" s="1123"/>
      <c r="AR125" s="1123"/>
      <c r="AS125" s="1059"/>
      <c r="AT125" s="1059"/>
      <c r="AU125" s="1059"/>
      <c r="AV125" s="1061"/>
      <c r="AW125" s="1059"/>
      <c r="AX125" s="1059"/>
      <c r="AY125" s="1059"/>
      <c r="BB125" s="609">
        <f t="shared" si="93"/>
        <v>-4557531599.7600002</v>
      </c>
      <c r="BC125" s="610">
        <f t="shared" si="94"/>
        <v>-230204084.32187873</v>
      </c>
      <c r="BD125" s="610">
        <f t="shared" si="95"/>
        <v>-230204084.32187873</v>
      </c>
    </row>
    <row r="126" spans="1:56" ht="18" x14ac:dyDescent="0.25">
      <c r="A126" s="1107"/>
      <c r="B126" s="1107"/>
      <c r="C126" s="1109"/>
      <c r="D126" s="502" t="s">
        <v>42</v>
      </c>
      <c r="E126" s="585">
        <v>0.03</v>
      </c>
      <c r="F126" s="585">
        <v>0.03</v>
      </c>
      <c r="G126" s="778">
        <v>0.01</v>
      </c>
      <c r="H126" s="779">
        <v>0.01</v>
      </c>
      <c r="I126" s="779">
        <v>0</v>
      </c>
      <c r="J126" s="779"/>
      <c r="K126" s="779"/>
      <c r="L126" s="779"/>
      <c r="M126" s="779"/>
      <c r="N126" s="779"/>
      <c r="O126" s="779"/>
      <c r="P126" s="779"/>
      <c r="Q126" s="779"/>
      <c r="R126" s="779"/>
      <c r="S126" s="782"/>
      <c r="T126" s="782">
        <v>0</v>
      </c>
      <c r="U126" s="783">
        <v>0</v>
      </c>
      <c r="V126" s="783">
        <v>0</v>
      </c>
      <c r="W126" s="783"/>
      <c r="X126" s="783"/>
      <c r="Y126" s="783"/>
      <c r="Z126" s="783"/>
      <c r="AA126" s="783"/>
      <c r="AB126" s="783"/>
      <c r="AC126" s="783"/>
      <c r="AD126" s="783"/>
      <c r="AE126" s="783"/>
      <c r="AF126" s="1110"/>
      <c r="AG126" s="1111"/>
      <c r="AH126" s="1059"/>
      <c r="AI126" s="1123"/>
      <c r="AJ126" s="1059"/>
      <c r="AK126" s="1059"/>
      <c r="AL126" s="1123"/>
      <c r="AM126" s="1059"/>
      <c r="AN126" s="1059"/>
      <c r="AO126" s="1123"/>
      <c r="AP126" s="1123"/>
      <c r="AQ126" s="1123"/>
      <c r="AR126" s="1123"/>
      <c r="AS126" s="1059"/>
      <c r="AT126" s="1059"/>
      <c r="AU126" s="1059"/>
      <c r="AV126" s="1061"/>
      <c r="AW126" s="1059"/>
      <c r="AX126" s="1059"/>
      <c r="AY126" s="1059"/>
      <c r="BB126" s="609">
        <f t="shared" si="93"/>
        <v>0</v>
      </c>
      <c r="BC126" s="610">
        <f t="shared" si="94"/>
        <v>0</v>
      </c>
      <c r="BD126" s="610">
        <f t="shared" si="95"/>
        <v>0</v>
      </c>
    </row>
    <row r="127" spans="1:56" ht="18" x14ac:dyDescent="0.25">
      <c r="A127" s="1107"/>
      <c r="B127" s="1107"/>
      <c r="C127" s="1109"/>
      <c r="D127" s="503" t="s">
        <v>4</v>
      </c>
      <c r="E127" s="585">
        <f>26846472.0871379+359375977</f>
        <v>386222449.08713788</v>
      </c>
      <c r="F127" s="585">
        <f>26846472.0871379+359375977</f>
        <v>386222449.08713788</v>
      </c>
      <c r="G127" s="778">
        <f>26846472.0871379+359375977</f>
        <v>386222449.08713788</v>
      </c>
      <c r="H127" s="779">
        <f>26846472.0871379+244335721+115040256</f>
        <v>386222449.08713788</v>
      </c>
      <c r="I127" s="779">
        <f>26846472.0871379+244335721+57392578+57647678</f>
        <v>386222449.08713788</v>
      </c>
      <c r="J127" s="788"/>
      <c r="K127" s="788"/>
      <c r="L127" s="788"/>
      <c r="M127" s="788"/>
      <c r="N127" s="788"/>
      <c r="O127" s="788"/>
      <c r="P127" s="788"/>
      <c r="Q127" s="788"/>
      <c r="R127" s="788"/>
      <c r="S127" s="789"/>
      <c r="T127" s="509">
        <v>26846472.087137856</v>
      </c>
      <c r="U127" s="783">
        <f>26846472.0871379+244335721</f>
        <v>271182193.08713788</v>
      </c>
      <c r="V127" s="783">
        <f>26846472.0871379+244335721+57392578</f>
        <v>328574771.08713788</v>
      </c>
      <c r="W127" s="783"/>
      <c r="X127" s="783"/>
      <c r="Y127" s="783"/>
      <c r="Z127" s="783"/>
      <c r="AA127" s="783"/>
      <c r="AB127" s="783"/>
      <c r="AC127" s="783"/>
      <c r="AD127" s="783"/>
      <c r="AE127" s="783"/>
      <c r="AF127" s="1110"/>
      <c r="AG127" s="1111"/>
      <c r="AH127" s="1059"/>
      <c r="AI127" s="1123"/>
      <c r="AJ127" s="1059"/>
      <c r="AK127" s="1059"/>
      <c r="AL127" s="1123"/>
      <c r="AM127" s="1059"/>
      <c r="AN127" s="1059"/>
      <c r="AO127" s="1123"/>
      <c r="AP127" s="1123"/>
      <c r="AQ127" s="1123"/>
      <c r="AR127" s="1123"/>
      <c r="AS127" s="1059"/>
      <c r="AT127" s="1059"/>
      <c r="AU127" s="1059"/>
      <c r="AV127" s="1061"/>
      <c r="AW127" s="1059"/>
      <c r="AX127" s="1059"/>
      <c r="AY127" s="1059"/>
      <c r="BB127" s="609">
        <f t="shared" si="93"/>
        <v>-57647678</v>
      </c>
      <c r="BC127" s="610">
        <f t="shared" si="94"/>
        <v>-57392578</v>
      </c>
      <c r="BD127" s="610">
        <f t="shared" si="95"/>
        <v>-57392578</v>
      </c>
    </row>
    <row r="128" spans="1:56" ht="18" x14ac:dyDescent="0.25">
      <c r="A128" s="1107"/>
      <c r="B128" s="1107"/>
      <c r="C128" s="1109"/>
      <c r="D128" s="502" t="s">
        <v>43</v>
      </c>
      <c r="E128" s="585">
        <f t="shared" ref="E128:F128" si="163">E124+E126</f>
        <v>0.08</v>
      </c>
      <c r="F128" s="585">
        <f t="shared" si="163"/>
        <v>0.08</v>
      </c>
      <c r="G128" s="778">
        <f t="shared" ref="G128:H129" si="164">G124+G126</f>
        <v>6.0000000000000005E-2</v>
      </c>
      <c r="H128" s="779">
        <f>H124+H126</f>
        <v>6.0000000000000005E-2</v>
      </c>
      <c r="I128" s="779">
        <f t="shared" ref="I128:I129" si="165">I124+I126</f>
        <v>0.05</v>
      </c>
      <c r="J128" s="779"/>
      <c r="K128" s="779"/>
      <c r="L128" s="779"/>
      <c r="M128" s="779"/>
      <c r="N128" s="779"/>
      <c r="O128" s="779"/>
      <c r="P128" s="779"/>
      <c r="Q128" s="779"/>
      <c r="R128" s="779"/>
      <c r="S128" s="782"/>
      <c r="T128" s="782">
        <f t="shared" ref="T128:T129" si="166">T124+T126</f>
        <v>3.7499999999999999E-3</v>
      </c>
      <c r="U128" s="784">
        <f t="shared" ref="U128" si="167">U124+U126</f>
        <v>1.15E-2</v>
      </c>
      <c r="V128" s="784">
        <f t="shared" ref="V128" si="168">V124+V126</f>
        <v>2.3E-2</v>
      </c>
      <c r="W128" s="783"/>
      <c r="X128" s="783"/>
      <c r="Y128" s="783"/>
      <c r="Z128" s="783"/>
      <c r="AA128" s="783"/>
      <c r="AB128" s="783"/>
      <c r="AC128" s="783"/>
      <c r="AD128" s="783"/>
      <c r="AE128" s="783"/>
      <c r="AF128" s="1110"/>
      <c r="AG128" s="1111"/>
      <c r="AH128" s="1059"/>
      <c r="AI128" s="1123"/>
      <c r="AJ128" s="1059"/>
      <c r="AK128" s="1059"/>
      <c r="AL128" s="1123"/>
      <c r="AM128" s="1059"/>
      <c r="AN128" s="1059"/>
      <c r="AO128" s="1123"/>
      <c r="AP128" s="1123"/>
      <c r="AQ128" s="1123"/>
      <c r="AR128" s="1123"/>
      <c r="AS128" s="1059"/>
      <c r="AT128" s="1059"/>
      <c r="AU128" s="1059"/>
      <c r="AV128" s="1061"/>
      <c r="AW128" s="1059"/>
      <c r="AX128" s="1059"/>
      <c r="AY128" s="1059"/>
      <c r="BB128" s="609">
        <f t="shared" si="93"/>
        <v>-2.7000000000000003E-2</v>
      </c>
      <c r="BC128" s="610">
        <f t="shared" si="94"/>
        <v>-1.15E-2</v>
      </c>
      <c r="BD128" s="610">
        <f t="shared" si="95"/>
        <v>-1.15E-2</v>
      </c>
    </row>
    <row r="129" spans="1:58" ht="27.75" thickBot="1" x14ac:dyDescent="0.3">
      <c r="A129" s="1107"/>
      <c r="B129" s="1107"/>
      <c r="C129" s="1122"/>
      <c r="D129" s="611" t="s">
        <v>45</v>
      </c>
      <c r="E129" s="612">
        <f t="shared" ref="E129:F129" si="169">E125+E127</f>
        <v>6083386638.1984282</v>
      </c>
      <c r="F129" s="612">
        <f t="shared" si="169"/>
        <v>6083386638.1984282</v>
      </c>
      <c r="G129" s="790">
        <f t="shared" si="164"/>
        <v>6083386638.1984282</v>
      </c>
      <c r="H129" s="791">
        <f t="shared" si="164"/>
        <v>5855664205.7652588</v>
      </c>
      <c r="I129" s="791">
        <f t="shared" si="165"/>
        <v>5494451289.8471384</v>
      </c>
      <c r="J129" s="791"/>
      <c r="K129" s="791"/>
      <c r="L129" s="791"/>
      <c r="M129" s="791"/>
      <c r="N129" s="791"/>
      <c r="O129" s="791"/>
      <c r="P129" s="791"/>
      <c r="Q129" s="791"/>
      <c r="R129" s="791"/>
      <c r="S129" s="792"/>
      <c r="T129" s="793">
        <f t="shared" si="166"/>
        <v>61750127.198428303</v>
      </c>
      <c r="U129" s="791">
        <f t="shared" ref="U129" si="170">U125+U127</f>
        <v>591675349.76525915</v>
      </c>
      <c r="V129" s="791">
        <f t="shared" ref="V129" si="171">V125+V127</f>
        <v>879272012.08713794</v>
      </c>
      <c r="W129" s="791"/>
      <c r="X129" s="791"/>
      <c r="Y129" s="791"/>
      <c r="Z129" s="791"/>
      <c r="AA129" s="791"/>
      <c r="AB129" s="791"/>
      <c r="AC129" s="791"/>
      <c r="AD129" s="791"/>
      <c r="AE129" s="791"/>
      <c r="AF129" s="1110"/>
      <c r="AG129" s="1111"/>
      <c r="AH129" s="1059"/>
      <c r="AI129" s="1123"/>
      <c r="AJ129" s="1059"/>
      <c r="AK129" s="1059"/>
      <c r="AL129" s="1123"/>
      <c r="AM129" s="1059"/>
      <c r="AN129" s="1059"/>
      <c r="AO129" s="1123"/>
      <c r="AP129" s="1123"/>
      <c r="AQ129" s="1123"/>
      <c r="AR129" s="1123"/>
      <c r="AS129" s="1059"/>
      <c r="AT129" s="1059"/>
      <c r="AU129" s="1059"/>
      <c r="AV129" s="1061"/>
      <c r="AW129" s="1059"/>
      <c r="AX129" s="1059"/>
      <c r="AY129" s="1059"/>
      <c r="BB129" s="609">
        <f t="shared" si="93"/>
        <v>-4615179277.7600002</v>
      </c>
      <c r="BC129" s="610">
        <f t="shared" si="94"/>
        <v>-287596662.32187879</v>
      </c>
      <c r="BD129" s="610">
        <f t="shared" si="95"/>
        <v>-287596662.32187879</v>
      </c>
    </row>
    <row r="130" spans="1:58" ht="18" customHeight="1" x14ac:dyDescent="0.25">
      <c r="A130" s="1107"/>
      <c r="B130" s="1108"/>
      <c r="C130" s="1131" t="s">
        <v>45</v>
      </c>
      <c r="D130" s="614" t="s">
        <v>41</v>
      </c>
      <c r="E130" s="615">
        <f t="shared" ref="E130:F130" si="172">(E124+E118+E112+E106+E100+E94+E88+E82+E76+E70+E64+E58+E52+E46+E40+E34+E28+E22+E16+E10)</f>
        <v>1.0000000000000002</v>
      </c>
      <c r="F130" s="615">
        <f t="shared" si="172"/>
        <v>1.0000000000000002</v>
      </c>
      <c r="G130" s="794">
        <f>(G124+G118+G112+G106+G100+G94+G88+G82+G76+G70+G64+G58+G52+G46+G40+G34+G28+G22+G16+G10)</f>
        <v>1.0000000000000002</v>
      </c>
      <c r="H130" s="795">
        <f>(H124+H118+H112+H106+H100+H94+H88+H82+H76+H70+H64+H58+H52+H46+H40+H34+H28+H22+H16+H10)</f>
        <v>1.0000000000000002</v>
      </c>
      <c r="I130" s="795">
        <f>(I124+I118+I112+I106+I100+I94+I88+I82+I76+I70+I64+I58+I52+I46+I40+I34+I28+I22+I16+I10)</f>
        <v>1.0000000000000002</v>
      </c>
      <c r="J130" s="795"/>
      <c r="K130" s="795"/>
      <c r="L130" s="795"/>
      <c r="M130" s="795"/>
      <c r="N130" s="795"/>
      <c r="O130" s="795"/>
      <c r="P130" s="795"/>
      <c r="Q130" s="795"/>
      <c r="R130" s="795"/>
      <c r="S130" s="796"/>
      <c r="T130" s="794">
        <f t="shared" ref="T130" si="173">(T124+T118+T112+T106+T100+T94+T88+T82+T76+T70+T64+T58+T52+T46+T40+T34+T28+T22+T16+T10)</f>
        <v>7.5000000000000039E-2</v>
      </c>
      <c r="U130" s="797">
        <f t="shared" ref="U130" si="174">(U124+U118+U112+U106+U100+U94+U88+U82+U76+U70+U64+U58+U52+U46+U40+U34+U28+U22+U16+U10)</f>
        <v>0.23000000000000007</v>
      </c>
      <c r="V130" s="794">
        <f t="shared" ref="V130" si="175">(V124+V118+V112+V106+V100+V94+V88+V82+V76+V70+V64+V58+V52+V46+V40+V34+V28+V22+V16+V10)</f>
        <v>0.46000000000000013</v>
      </c>
      <c r="W130" s="797"/>
      <c r="X130" s="797"/>
      <c r="Y130" s="797"/>
      <c r="Z130" s="797"/>
      <c r="AA130" s="797"/>
      <c r="AB130" s="797"/>
      <c r="AC130" s="797"/>
      <c r="AD130" s="797"/>
      <c r="AE130" s="798"/>
      <c r="AF130" s="1134" t="s">
        <v>711</v>
      </c>
      <c r="AG130" s="1059" t="s">
        <v>516</v>
      </c>
      <c r="AH130" s="1059" t="s">
        <v>662</v>
      </c>
      <c r="AI130" s="1123" t="s">
        <v>71</v>
      </c>
      <c r="AJ130" s="1059" t="s">
        <v>735</v>
      </c>
      <c r="AK130" s="1059" t="s">
        <v>663</v>
      </c>
      <c r="AL130" s="1059" t="s">
        <v>605</v>
      </c>
      <c r="AM130" s="1059" t="s">
        <v>71</v>
      </c>
      <c r="AN130" s="1114">
        <f>SUM(AN10:AN123)</f>
        <v>8002180</v>
      </c>
      <c r="AO130" s="1114">
        <f>SUM(AO10:AO123)</f>
        <v>3831130</v>
      </c>
      <c r="AP130" s="1114">
        <f>SUM(AP10:AP123)</f>
        <v>4171050</v>
      </c>
      <c r="AQ130" s="1059" t="s">
        <v>71</v>
      </c>
      <c r="AR130" s="1059" t="s">
        <v>71</v>
      </c>
      <c r="AS130" s="1059" t="s">
        <v>71</v>
      </c>
      <c r="AT130" s="1114" t="s">
        <v>71</v>
      </c>
      <c r="AU130" s="1059" t="s">
        <v>71</v>
      </c>
      <c r="AV130" s="1060" t="s">
        <v>71</v>
      </c>
      <c r="AW130" s="1059" t="s">
        <v>71</v>
      </c>
      <c r="AX130" s="1059" t="s">
        <v>71</v>
      </c>
      <c r="AY130" s="1059"/>
      <c r="BB130" s="609">
        <f t="shared" si="93"/>
        <v>-0.54</v>
      </c>
      <c r="BC130" s="610">
        <f t="shared" si="94"/>
        <v>-0.23000000000000007</v>
      </c>
      <c r="BD130" s="610">
        <f t="shared" si="95"/>
        <v>-0.23000000000000007</v>
      </c>
      <c r="BE130" s="609">
        <f>V130-INVERSIÓN!EQ10</f>
        <v>0</v>
      </c>
      <c r="BF130" s="609">
        <f>I130-INVERSIÓN!EP10</f>
        <v>0</v>
      </c>
    </row>
    <row r="131" spans="1:58" ht="18" x14ac:dyDescent="0.25">
      <c r="A131" s="1107"/>
      <c r="B131" s="1108"/>
      <c r="C131" s="1132"/>
      <c r="D131" s="503" t="s">
        <v>3</v>
      </c>
      <c r="E131" s="585">
        <f t="shared" ref="E131:F131" si="176">E125+E119+E113+E107+E101+E95+E89+E83+E77+E71+E65+E59+E53+E47+E41+E35+E29+E23+E17+E11</f>
        <v>6162383000</v>
      </c>
      <c r="F131" s="585">
        <f t="shared" si="176"/>
        <v>6162383000</v>
      </c>
      <c r="G131" s="778">
        <f t="shared" ref="G131" si="177">G125+G119+G113+G107+G101+G95+G89+G83+G77+G71+G65+G59+G53+G47+G41+G35+G29+G23+G17+G11</f>
        <v>6162383000</v>
      </c>
      <c r="H131" s="779">
        <f t="shared" ref="H131:I133" si="178">H125+H119+H113+H107+H101+H95+H89+H83+H77+H71+H65+H59+H53+H47+H41+H35+H29+H23+H17+H11</f>
        <v>6162382999.999999</v>
      </c>
      <c r="I131" s="779">
        <f t="shared" si="178"/>
        <v>6162382999.9974499</v>
      </c>
      <c r="J131" s="779"/>
      <c r="K131" s="779"/>
      <c r="L131" s="779"/>
      <c r="M131" s="779"/>
      <c r="N131" s="779"/>
      <c r="O131" s="779"/>
      <c r="P131" s="779"/>
      <c r="Q131" s="779"/>
      <c r="R131" s="779"/>
      <c r="S131" s="785"/>
      <c r="T131" s="509">
        <f t="shared" ref="T131" si="179">T125+T119+T113+T107+T101+T95+T89+T83+T77+T71+T65+T59+T53+T47+T41+T35+T29+T23+T17+T11</f>
        <v>500122465.99999994</v>
      </c>
      <c r="U131" s="507">
        <f t="shared" ref="U131:V133" si="180">U125+U119+U113+U107+U101+U95+U89+U83+U77+U71+U65+U59+U53+U47+U41+U35+U29+U23+U17+U11</f>
        <v>1013434400.0000001</v>
      </c>
      <c r="V131" s="783">
        <f>V125+V119+V113+V107+V101+V95+V89+V83+V77+V71+V65+V59+V53+V47+V41+V35+V29+V23+V17+V11</f>
        <v>1604851399.9990835</v>
      </c>
      <c r="W131" s="779"/>
      <c r="X131" s="779"/>
      <c r="Y131" s="779"/>
      <c r="Z131" s="779"/>
      <c r="AA131" s="779"/>
      <c r="AB131" s="779"/>
      <c r="AC131" s="779"/>
      <c r="AD131" s="779"/>
      <c r="AE131" s="799"/>
      <c r="AF131" s="1134"/>
      <c r="AG131" s="1059"/>
      <c r="AH131" s="1059"/>
      <c r="AI131" s="1123"/>
      <c r="AJ131" s="1059"/>
      <c r="AK131" s="1059"/>
      <c r="AL131" s="1059"/>
      <c r="AM131" s="1059"/>
      <c r="AN131" s="1114"/>
      <c r="AO131" s="1114"/>
      <c r="AP131" s="1114"/>
      <c r="AQ131" s="1059"/>
      <c r="AR131" s="1059"/>
      <c r="AS131" s="1059"/>
      <c r="AT131" s="1114"/>
      <c r="AU131" s="1059"/>
      <c r="AV131" s="1061"/>
      <c r="AW131" s="1059"/>
      <c r="AX131" s="1059"/>
      <c r="AY131" s="1059"/>
      <c r="BB131" s="609">
        <f t="shared" si="93"/>
        <v>-4557531599.9983664</v>
      </c>
      <c r="BC131" s="610">
        <f t="shared" si="94"/>
        <v>-591416999.9990834</v>
      </c>
      <c r="BD131" s="610">
        <f t="shared" si="95"/>
        <v>-591416999.9990834</v>
      </c>
      <c r="BE131" s="609">
        <f>V131-INVERSIÓN!EQ11</f>
        <v>-9.1648101806640625E-4</v>
      </c>
      <c r="BF131" s="609">
        <f>I131-INVERSIÓN!EP11</f>
        <v>-2.5501251220703125E-3</v>
      </c>
    </row>
    <row r="132" spans="1:58" ht="18" x14ac:dyDescent="0.25">
      <c r="A132" s="1107"/>
      <c r="B132" s="1108"/>
      <c r="C132" s="1132"/>
      <c r="D132" s="502" t="s">
        <v>42</v>
      </c>
      <c r="E132" s="585">
        <f>E126+E120+E114+E108+E102+E96+E90+E84+E78+E72+E66+E60+E54+E48+E42+E36+E30+E24+E18+E12</f>
        <v>0.03</v>
      </c>
      <c r="F132" s="585">
        <f>F126+F120+F114+F108+F102+F96+F90+F84+F78+F72+F66+F60+F54+F48+F42+F36+F30+F24+F18+F12</f>
        <v>0.03</v>
      </c>
      <c r="G132" s="778">
        <v>0</v>
      </c>
      <c r="H132" s="779">
        <v>0</v>
      </c>
      <c r="I132" s="779">
        <f t="shared" si="178"/>
        <v>0</v>
      </c>
      <c r="J132" s="779"/>
      <c r="K132" s="779"/>
      <c r="L132" s="779"/>
      <c r="M132" s="779"/>
      <c r="N132" s="779"/>
      <c r="O132" s="779"/>
      <c r="P132" s="779"/>
      <c r="Q132" s="779"/>
      <c r="R132" s="779"/>
      <c r="S132" s="785"/>
      <c r="T132" s="779">
        <f>T126+T120+T114+T108+T102+T96+T90+T84+T78+T72+T66+T60+T54+T48+T42+T36+T30+T24+T18+T12</f>
        <v>0</v>
      </c>
      <c r="U132" s="779">
        <f t="shared" si="180"/>
        <v>0</v>
      </c>
      <c r="V132" s="800">
        <f t="shared" si="180"/>
        <v>0</v>
      </c>
      <c r="W132" s="779"/>
      <c r="X132" s="779"/>
      <c r="Y132" s="779"/>
      <c r="Z132" s="779"/>
      <c r="AA132" s="779"/>
      <c r="AB132" s="779"/>
      <c r="AC132" s="779"/>
      <c r="AD132" s="779"/>
      <c r="AE132" s="799"/>
      <c r="AF132" s="1134"/>
      <c r="AG132" s="1059"/>
      <c r="AH132" s="1059"/>
      <c r="AI132" s="1123"/>
      <c r="AJ132" s="1059"/>
      <c r="AK132" s="1059"/>
      <c r="AL132" s="1059"/>
      <c r="AM132" s="1059"/>
      <c r="AN132" s="1114"/>
      <c r="AO132" s="1114"/>
      <c r="AP132" s="1114"/>
      <c r="AQ132" s="1059"/>
      <c r="AR132" s="1059"/>
      <c r="AS132" s="1059"/>
      <c r="AT132" s="1114"/>
      <c r="AU132" s="1059"/>
      <c r="AV132" s="1061"/>
      <c r="AW132" s="1059"/>
      <c r="AX132" s="1059"/>
      <c r="AY132" s="1059"/>
      <c r="BB132" s="609">
        <f t="shared" si="93"/>
        <v>0</v>
      </c>
      <c r="BC132" s="610">
        <f t="shared" si="94"/>
        <v>0</v>
      </c>
      <c r="BD132" s="610">
        <f t="shared" si="95"/>
        <v>0</v>
      </c>
      <c r="BE132" s="609">
        <f>V132-INVERSIÓN!EQ13</f>
        <v>0</v>
      </c>
      <c r="BF132" s="609">
        <f>I132-INVERSIÓN!EP13</f>
        <v>0</v>
      </c>
    </row>
    <row r="133" spans="1:58" ht="18" x14ac:dyDescent="0.25">
      <c r="A133" s="1107"/>
      <c r="B133" s="1108"/>
      <c r="C133" s="1132"/>
      <c r="D133" s="503" t="s">
        <v>4</v>
      </c>
      <c r="E133" s="585">
        <f>E127+E121+E115+E109+E103+E97+E91+E85+E79+E73+E67+E61+E55+E49+E43+E37+E31+E25+E19+E13</f>
        <v>475281977</v>
      </c>
      <c r="F133" s="585">
        <f>F127+F121+F115+F109+F103+F97+F91+F85+F79+F73+F67+F61+F55+F49+F43+F37+F31+F25+F19+F13</f>
        <v>475281977</v>
      </c>
      <c r="G133" s="778">
        <f>G127+G121+G115+G109+G103+G97+G91+G85+G79+G73+G67+G61+G55+G49+G43+G37+G31+G25+G19+G13</f>
        <v>475281977</v>
      </c>
      <c r="H133" s="779">
        <f t="shared" si="178"/>
        <v>475281977</v>
      </c>
      <c r="I133" s="779">
        <f t="shared" si="178"/>
        <v>475281977</v>
      </c>
      <c r="J133" s="779"/>
      <c r="K133" s="779"/>
      <c r="L133" s="779"/>
      <c r="M133" s="779"/>
      <c r="N133" s="779"/>
      <c r="O133" s="779"/>
      <c r="P133" s="779"/>
      <c r="Q133" s="779"/>
      <c r="R133" s="779"/>
      <c r="S133" s="785"/>
      <c r="T133" s="509">
        <f>T127+T121+T115+T109+T103+T97+T91+T85+T79+T73+T67+T61+T55+T49+T43+T37+T31+T25+T19+T13</f>
        <v>115906000.00000003</v>
      </c>
      <c r="U133" s="507">
        <f t="shared" si="180"/>
        <v>360241721</v>
      </c>
      <c r="V133" s="789">
        <f t="shared" si="180"/>
        <v>417634299</v>
      </c>
      <c r="W133" s="779"/>
      <c r="X133" s="779"/>
      <c r="Y133" s="779"/>
      <c r="Z133" s="779"/>
      <c r="AA133" s="779"/>
      <c r="AB133" s="779"/>
      <c r="AC133" s="779"/>
      <c r="AD133" s="779"/>
      <c r="AE133" s="799"/>
      <c r="AF133" s="1134"/>
      <c r="AG133" s="1059"/>
      <c r="AH133" s="1059"/>
      <c r="AI133" s="1123"/>
      <c r="AJ133" s="1059"/>
      <c r="AK133" s="1059"/>
      <c r="AL133" s="1059"/>
      <c r="AM133" s="1059"/>
      <c r="AN133" s="1114"/>
      <c r="AO133" s="1114"/>
      <c r="AP133" s="1114"/>
      <c r="AQ133" s="1059"/>
      <c r="AR133" s="1059"/>
      <c r="AS133" s="1059"/>
      <c r="AT133" s="1114"/>
      <c r="AU133" s="1059"/>
      <c r="AV133" s="1061"/>
      <c r="AW133" s="1059"/>
      <c r="AX133" s="1059"/>
      <c r="AY133" s="1059"/>
      <c r="BB133" s="609">
        <f t="shared" si="93"/>
        <v>-57647678</v>
      </c>
      <c r="BC133" s="610">
        <f t="shared" si="94"/>
        <v>-57392578</v>
      </c>
      <c r="BD133" s="610">
        <f t="shared" si="95"/>
        <v>-57392578</v>
      </c>
      <c r="BE133" s="609">
        <f>V133-INVERSIÓN!EQ14</f>
        <v>0</v>
      </c>
      <c r="BF133" s="639">
        <f>I133-INVERSIÓN!EP14</f>
        <v>0</v>
      </c>
    </row>
    <row r="134" spans="1:58" ht="18" x14ac:dyDescent="0.25">
      <c r="A134" s="1107"/>
      <c r="B134" s="1108"/>
      <c r="C134" s="1132"/>
      <c r="D134" s="502" t="s">
        <v>43</v>
      </c>
      <c r="E134" s="585">
        <f t="shared" ref="E134:F134" si="181">E130+E132</f>
        <v>1.0300000000000002</v>
      </c>
      <c r="F134" s="585">
        <f t="shared" si="181"/>
        <v>1.0300000000000002</v>
      </c>
      <c r="G134" s="778">
        <f>G130+G132</f>
        <v>1.0000000000000002</v>
      </c>
      <c r="H134" s="779">
        <f t="shared" ref="H134" si="182">H130+H132</f>
        <v>1.0000000000000002</v>
      </c>
      <c r="I134" s="779">
        <f t="shared" ref="I134" si="183">I130+I132</f>
        <v>1.0000000000000002</v>
      </c>
      <c r="J134" s="779"/>
      <c r="K134" s="779"/>
      <c r="L134" s="779"/>
      <c r="M134" s="779"/>
      <c r="N134" s="779"/>
      <c r="O134" s="779"/>
      <c r="P134" s="779"/>
      <c r="Q134" s="779"/>
      <c r="R134" s="779"/>
      <c r="S134" s="785"/>
      <c r="T134" s="785">
        <f t="shared" ref="T134" si="184">T130+T132</f>
        <v>7.5000000000000039E-2</v>
      </c>
      <c r="U134" s="779">
        <f t="shared" ref="U134" si="185">U130+U132</f>
        <v>0.23000000000000007</v>
      </c>
      <c r="V134" s="779">
        <f t="shared" ref="V134" si="186">V130+V132</f>
        <v>0.46000000000000013</v>
      </c>
      <c r="W134" s="801"/>
      <c r="X134" s="801"/>
      <c r="Y134" s="801"/>
      <c r="Z134" s="801"/>
      <c r="AA134" s="801"/>
      <c r="AB134" s="801"/>
      <c r="AC134" s="801"/>
      <c r="AD134" s="801"/>
      <c r="AE134" s="802"/>
      <c r="AF134" s="1134"/>
      <c r="AG134" s="1059"/>
      <c r="AH134" s="1059"/>
      <c r="AI134" s="1123"/>
      <c r="AJ134" s="1059"/>
      <c r="AK134" s="1059"/>
      <c r="AL134" s="1059"/>
      <c r="AM134" s="1059"/>
      <c r="AN134" s="1114"/>
      <c r="AO134" s="1114"/>
      <c r="AP134" s="1114"/>
      <c r="AQ134" s="1059"/>
      <c r="AR134" s="1059"/>
      <c r="AS134" s="1059"/>
      <c r="AT134" s="1114"/>
      <c r="AU134" s="1059"/>
      <c r="AV134" s="1061"/>
      <c r="AW134" s="1059"/>
      <c r="AX134" s="1059"/>
      <c r="AY134" s="1059"/>
      <c r="BB134" s="609">
        <f t="shared" si="93"/>
        <v>-0.54</v>
      </c>
      <c r="BC134" s="610">
        <f t="shared" si="94"/>
        <v>-0.23000000000000007</v>
      </c>
      <c r="BD134" s="610">
        <f t="shared" si="95"/>
        <v>-0.23000000000000007</v>
      </c>
      <c r="BE134" s="609">
        <f>V134-INVERSIÓN!EQ15</f>
        <v>0</v>
      </c>
      <c r="BF134" s="609">
        <f>I134-INVERSIÓN!EP15</f>
        <v>0</v>
      </c>
    </row>
    <row r="135" spans="1:58" ht="27.75" thickBot="1" x14ac:dyDescent="0.3">
      <c r="A135" s="1107"/>
      <c r="B135" s="1108"/>
      <c r="C135" s="1133"/>
      <c r="D135" s="616" t="s">
        <v>45</v>
      </c>
      <c r="E135" s="617">
        <f>E131+E133</f>
        <v>6637664977</v>
      </c>
      <c r="F135" s="617">
        <f>F131+F133</f>
        <v>6637664977</v>
      </c>
      <c r="G135" s="803">
        <f>G131+G133</f>
        <v>6637664977</v>
      </c>
      <c r="H135" s="804">
        <f>H131+H133</f>
        <v>6637664976.999999</v>
      </c>
      <c r="I135" s="804">
        <f>I131+I133</f>
        <v>6637664976.9974499</v>
      </c>
      <c r="J135" s="804"/>
      <c r="K135" s="804"/>
      <c r="L135" s="804"/>
      <c r="M135" s="804"/>
      <c r="N135" s="804"/>
      <c r="O135" s="804"/>
      <c r="P135" s="804"/>
      <c r="Q135" s="804"/>
      <c r="R135" s="804"/>
      <c r="S135" s="805"/>
      <c r="T135" s="806">
        <f>T131+T133</f>
        <v>616028466</v>
      </c>
      <c r="U135" s="807">
        <f>U131+U133</f>
        <v>1373676121</v>
      </c>
      <c r="V135" s="807">
        <f>V131+V133</f>
        <v>2022485698.9990835</v>
      </c>
      <c r="W135" s="804"/>
      <c r="X135" s="804"/>
      <c r="Y135" s="804"/>
      <c r="Z135" s="804"/>
      <c r="AA135" s="804"/>
      <c r="AB135" s="804"/>
      <c r="AC135" s="804"/>
      <c r="AD135" s="804"/>
      <c r="AE135" s="808"/>
      <c r="AF135" s="1134"/>
      <c r="AG135" s="1059"/>
      <c r="AH135" s="1059"/>
      <c r="AI135" s="1123"/>
      <c r="AJ135" s="1059"/>
      <c r="AK135" s="1059"/>
      <c r="AL135" s="1059"/>
      <c r="AM135" s="1059"/>
      <c r="AN135" s="1114"/>
      <c r="AO135" s="1114"/>
      <c r="AP135" s="1114"/>
      <c r="AQ135" s="1059"/>
      <c r="AR135" s="1059"/>
      <c r="AS135" s="1059"/>
      <c r="AT135" s="1114"/>
      <c r="AU135" s="1059"/>
      <c r="AV135" s="1061"/>
      <c r="AW135" s="1059"/>
      <c r="AX135" s="1059"/>
      <c r="AY135" s="1059"/>
      <c r="BB135" s="609">
        <f t="shared" si="93"/>
        <v>-4615179277.9983664</v>
      </c>
      <c r="BC135" s="610">
        <f t="shared" si="94"/>
        <v>-648809577.99908352</v>
      </c>
      <c r="BD135" s="610">
        <f t="shared" si="95"/>
        <v>-648809577.99908352</v>
      </c>
      <c r="BE135" s="609">
        <f>V135-INVERSIÓN!EQ16</f>
        <v>-9.1648101806640625E-4</v>
      </c>
      <c r="BF135" s="609">
        <f>I135-INVERSIÓN!EP16</f>
        <v>-2.5501251220703125E-3</v>
      </c>
    </row>
    <row r="136" spans="1:58" x14ac:dyDescent="0.25">
      <c r="A136" s="1107">
        <v>2</v>
      </c>
      <c r="B136" s="1107" t="s">
        <v>394</v>
      </c>
      <c r="C136" s="1124" t="s">
        <v>395</v>
      </c>
      <c r="D136" s="504" t="s">
        <v>41</v>
      </c>
      <c r="E136" s="613">
        <v>12.5</v>
      </c>
      <c r="F136" s="613">
        <v>12.5</v>
      </c>
      <c r="G136" s="809">
        <v>12.5</v>
      </c>
      <c r="H136" s="810">
        <v>12.5</v>
      </c>
      <c r="I136" s="811">
        <v>12.5</v>
      </c>
      <c r="J136" s="810"/>
      <c r="K136" s="810"/>
      <c r="L136" s="810"/>
      <c r="M136" s="810"/>
      <c r="N136" s="810"/>
      <c r="O136" s="810"/>
      <c r="P136" s="810"/>
      <c r="Q136" s="810"/>
      <c r="R136" s="810"/>
      <c r="S136" s="812"/>
      <c r="T136" s="809">
        <v>1.4</v>
      </c>
      <c r="U136" s="813">
        <v>4.0999999999999996</v>
      </c>
      <c r="V136" s="813">
        <v>6.8</v>
      </c>
      <c r="W136" s="813"/>
      <c r="X136" s="813"/>
      <c r="Y136" s="813"/>
      <c r="Z136" s="813"/>
      <c r="AA136" s="813"/>
      <c r="AB136" s="813"/>
      <c r="AC136" s="813"/>
      <c r="AD136" s="813"/>
      <c r="AE136" s="813"/>
      <c r="AF136" s="1126" t="s">
        <v>757</v>
      </c>
      <c r="AG136" s="1129"/>
      <c r="AH136" s="1059"/>
      <c r="AI136" s="1059"/>
      <c r="AJ136" s="1059"/>
      <c r="AK136" s="1059" t="s">
        <v>685</v>
      </c>
      <c r="AL136" s="1059"/>
      <c r="AM136" s="1059"/>
      <c r="AN136" s="1114"/>
      <c r="AO136" s="1136"/>
      <c r="AP136" s="1137"/>
      <c r="AQ136" s="1059" t="s">
        <v>71</v>
      </c>
      <c r="AR136" s="1059" t="s">
        <v>71</v>
      </c>
      <c r="AS136" s="1059"/>
      <c r="AT136" s="1114" t="s">
        <v>71</v>
      </c>
      <c r="AU136" s="1135"/>
      <c r="AV136" s="1060" t="s">
        <v>71</v>
      </c>
      <c r="AW136" s="1060"/>
      <c r="AX136" s="1060"/>
      <c r="AY136" s="1060"/>
      <c r="BB136" s="609">
        <f t="shared" si="93"/>
        <v>-5.7</v>
      </c>
      <c r="BC136" s="610">
        <f t="shared" si="94"/>
        <v>-2.7</v>
      </c>
      <c r="BD136" s="610">
        <f t="shared" si="95"/>
        <v>-2.7</v>
      </c>
      <c r="BE136" s="609">
        <f>V136-INVERSIÓN!EQ17</f>
        <v>0</v>
      </c>
      <c r="BF136" s="609">
        <f>I136-INVERSIÓN!EP17</f>
        <v>0</v>
      </c>
    </row>
    <row r="137" spans="1:58" ht="18" x14ac:dyDescent="0.25">
      <c r="A137" s="1107"/>
      <c r="B137" s="1107"/>
      <c r="C137" s="1125"/>
      <c r="D137" s="503" t="s">
        <v>3</v>
      </c>
      <c r="E137" s="583">
        <v>418836000</v>
      </c>
      <c r="F137" s="583">
        <v>418836000</v>
      </c>
      <c r="G137" s="814">
        <v>418836000</v>
      </c>
      <c r="H137" s="785">
        <v>418836000</v>
      </c>
      <c r="I137" s="779">
        <v>418836000</v>
      </c>
      <c r="J137" s="785"/>
      <c r="K137" s="785"/>
      <c r="L137" s="785"/>
      <c r="M137" s="785"/>
      <c r="N137" s="785"/>
      <c r="O137" s="785"/>
      <c r="P137" s="785"/>
      <c r="Q137" s="785"/>
      <c r="R137" s="785"/>
      <c r="S137" s="508"/>
      <c r="T137" s="814">
        <v>0</v>
      </c>
      <c r="U137" s="508">
        <v>59030000</v>
      </c>
      <c r="V137" s="508">
        <v>72302000</v>
      </c>
      <c r="W137" s="506"/>
      <c r="X137" s="506"/>
      <c r="Y137" s="506"/>
      <c r="Z137" s="506"/>
      <c r="AA137" s="506"/>
      <c r="AB137" s="506"/>
      <c r="AC137" s="506"/>
      <c r="AD137" s="506"/>
      <c r="AE137" s="506"/>
      <c r="AF137" s="1127"/>
      <c r="AG137" s="1130"/>
      <c r="AH137" s="1059"/>
      <c r="AI137" s="1059"/>
      <c r="AJ137" s="1059"/>
      <c r="AK137" s="1059"/>
      <c r="AL137" s="1059"/>
      <c r="AM137" s="1059"/>
      <c r="AN137" s="1114"/>
      <c r="AO137" s="1136"/>
      <c r="AP137" s="1137"/>
      <c r="AQ137" s="1059"/>
      <c r="AR137" s="1059"/>
      <c r="AS137" s="1059"/>
      <c r="AT137" s="1114"/>
      <c r="AU137" s="1135"/>
      <c r="AV137" s="1061"/>
      <c r="AW137" s="1061"/>
      <c r="AX137" s="1061"/>
      <c r="AY137" s="1061"/>
      <c r="BB137" s="609">
        <f t="shared" si="93"/>
        <v>-346534000</v>
      </c>
      <c r="BC137" s="610">
        <f t="shared" si="94"/>
        <v>-13272000</v>
      </c>
      <c r="BD137" s="610">
        <f t="shared" si="95"/>
        <v>-13272000</v>
      </c>
      <c r="BE137" s="609">
        <f>V137-INVERSIÓN!EQ18</f>
        <v>0</v>
      </c>
      <c r="BF137" s="609">
        <f>I137-INVERSIÓN!EP18</f>
        <v>0</v>
      </c>
    </row>
    <row r="138" spans="1:58" ht="18" x14ac:dyDescent="0.25">
      <c r="A138" s="1107"/>
      <c r="B138" s="1107"/>
      <c r="C138" s="1125"/>
      <c r="D138" s="502" t="s">
        <v>42</v>
      </c>
      <c r="E138" s="583">
        <v>0</v>
      </c>
      <c r="F138" s="583">
        <v>0</v>
      </c>
      <c r="G138" s="814">
        <v>0</v>
      </c>
      <c r="H138" s="779">
        <v>0</v>
      </c>
      <c r="I138" s="779">
        <v>0</v>
      </c>
      <c r="J138" s="779"/>
      <c r="K138" s="779"/>
      <c r="L138" s="779"/>
      <c r="M138" s="779"/>
      <c r="N138" s="779"/>
      <c r="O138" s="779"/>
      <c r="P138" s="779"/>
      <c r="Q138" s="779"/>
      <c r="R138" s="779"/>
      <c r="S138" s="782"/>
      <c r="T138" s="814">
        <v>0</v>
      </c>
      <c r="U138" s="779">
        <v>0</v>
      </c>
      <c r="V138" s="779">
        <v>0</v>
      </c>
      <c r="W138" s="783"/>
      <c r="X138" s="783"/>
      <c r="Y138" s="783"/>
      <c r="Z138" s="783"/>
      <c r="AA138" s="783"/>
      <c r="AB138" s="783"/>
      <c r="AC138" s="783"/>
      <c r="AD138" s="783"/>
      <c r="AE138" s="783"/>
      <c r="AF138" s="1127"/>
      <c r="AG138" s="1130"/>
      <c r="AH138" s="1059"/>
      <c r="AI138" s="1059"/>
      <c r="AJ138" s="1059"/>
      <c r="AK138" s="1059"/>
      <c r="AL138" s="1059"/>
      <c r="AM138" s="1059"/>
      <c r="AN138" s="1114"/>
      <c r="AO138" s="1136"/>
      <c r="AP138" s="1137"/>
      <c r="AQ138" s="1059"/>
      <c r="AR138" s="1059"/>
      <c r="AS138" s="1059"/>
      <c r="AT138" s="1114"/>
      <c r="AU138" s="1135"/>
      <c r="AV138" s="1061"/>
      <c r="AW138" s="1061"/>
      <c r="AX138" s="1061"/>
      <c r="AY138" s="1061"/>
      <c r="BB138" s="609">
        <f t="shared" si="93"/>
        <v>0</v>
      </c>
      <c r="BC138" s="610">
        <f t="shared" si="94"/>
        <v>0</v>
      </c>
      <c r="BD138" s="610">
        <f t="shared" si="95"/>
        <v>0</v>
      </c>
      <c r="BE138" s="609">
        <f>V138-INVERSIÓN!EQ20</f>
        <v>0</v>
      </c>
      <c r="BF138" s="609">
        <f>I138-INVERSIÓN!EP20</f>
        <v>0</v>
      </c>
    </row>
    <row r="139" spans="1:58" ht="18" x14ac:dyDescent="0.25">
      <c r="A139" s="1107"/>
      <c r="B139" s="1107"/>
      <c r="C139" s="1125"/>
      <c r="D139" s="503" t="s">
        <v>4</v>
      </c>
      <c r="E139" s="584">
        <v>19259333</v>
      </c>
      <c r="F139" s="584">
        <v>19259333</v>
      </c>
      <c r="G139" s="814">
        <v>19259333</v>
      </c>
      <c r="H139" s="785">
        <v>19259333</v>
      </c>
      <c r="I139" s="779">
        <v>19259333</v>
      </c>
      <c r="J139" s="779"/>
      <c r="K139" s="779"/>
      <c r="L139" s="779"/>
      <c r="M139" s="779"/>
      <c r="N139" s="779"/>
      <c r="O139" s="779"/>
      <c r="P139" s="779"/>
      <c r="Q139" s="779"/>
      <c r="R139" s="779"/>
      <c r="S139" s="782"/>
      <c r="T139" s="814">
        <v>4400933</v>
      </c>
      <c r="U139" s="815">
        <v>7525266</v>
      </c>
      <c r="V139" s="779">
        <v>9559533</v>
      </c>
      <c r="W139" s="779"/>
      <c r="X139" s="779"/>
      <c r="Y139" s="779"/>
      <c r="Z139" s="779"/>
      <c r="AA139" s="779"/>
      <c r="AB139" s="779"/>
      <c r="AC139" s="779"/>
      <c r="AD139" s="779"/>
      <c r="AE139" s="779"/>
      <c r="AF139" s="1127"/>
      <c r="AG139" s="1130"/>
      <c r="AH139" s="1059"/>
      <c r="AI139" s="1059"/>
      <c r="AJ139" s="1059"/>
      <c r="AK139" s="1059"/>
      <c r="AL139" s="1059"/>
      <c r="AM139" s="1059"/>
      <c r="AN139" s="1114"/>
      <c r="AO139" s="1136"/>
      <c r="AP139" s="1137"/>
      <c r="AQ139" s="1059"/>
      <c r="AR139" s="1059"/>
      <c r="AS139" s="1059"/>
      <c r="AT139" s="1114"/>
      <c r="AU139" s="1135"/>
      <c r="AV139" s="1061"/>
      <c r="AW139" s="1061"/>
      <c r="AX139" s="1061"/>
      <c r="AY139" s="1061"/>
      <c r="BB139" s="609">
        <f t="shared" ref="BB139:BB150" si="187">V139-I139</f>
        <v>-9699800</v>
      </c>
      <c r="BC139" s="610">
        <f t="shared" ref="BC139:BC150" si="188">U139-V139</f>
        <v>-2034267</v>
      </c>
      <c r="BD139" s="610">
        <f t="shared" ref="BD139:BD150" si="189">U139-V139</f>
        <v>-2034267</v>
      </c>
      <c r="BE139" s="609">
        <f>V139-INVERSIÓN!EQ21</f>
        <v>0</v>
      </c>
      <c r="BF139" s="609">
        <f>I139-INVERSIÓN!EP21</f>
        <v>0</v>
      </c>
    </row>
    <row r="140" spans="1:58" ht="18" x14ac:dyDescent="0.25">
      <c r="A140" s="1107"/>
      <c r="B140" s="1107"/>
      <c r="C140" s="1125"/>
      <c r="D140" s="502" t="s">
        <v>43</v>
      </c>
      <c r="E140" s="583">
        <v>12.5</v>
      </c>
      <c r="F140" s="583">
        <v>12.5</v>
      </c>
      <c r="G140" s="814">
        <v>12.5</v>
      </c>
      <c r="H140" s="779">
        <v>12.5</v>
      </c>
      <c r="I140" s="779">
        <v>12.5</v>
      </c>
      <c r="J140" s="779"/>
      <c r="K140" s="779"/>
      <c r="L140" s="779"/>
      <c r="M140" s="779"/>
      <c r="N140" s="779"/>
      <c r="O140" s="779"/>
      <c r="P140" s="779"/>
      <c r="Q140" s="779"/>
      <c r="R140" s="779"/>
      <c r="S140" s="785"/>
      <c r="T140" s="814">
        <v>1.4</v>
      </c>
      <c r="U140" s="779">
        <v>4.0999999999999996</v>
      </c>
      <c r="V140" s="779">
        <v>6.8</v>
      </c>
      <c r="W140" s="779"/>
      <c r="X140" s="779"/>
      <c r="Y140" s="779"/>
      <c r="Z140" s="779"/>
      <c r="AA140" s="779"/>
      <c r="AB140" s="779"/>
      <c r="AC140" s="779"/>
      <c r="AD140" s="779"/>
      <c r="AE140" s="779"/>
      <c r="AF140" s="1127"/>
      <c r="AG140" s="1130"/>
      <c r="AH140" s="1059"/>
      <c r="AI140" s="1059"/>
      <c r="AJ140" s="1059"/>
      <c r="AK140" s="1059"/>
      <c r="AL140" s="1059"/>
      <c r="AM140" s="1059"/>
      <c r="AN140" s="1114"/>
      <c r="AO140" s="1136"/>
      <c r="AP140" s="1137"/>
      <c r="AQ140" s="1059"/>
      <c r="AR140" s="1059"/>
      <c r="AS140" s="1059"/>
      <c r="AT140" s="1114"/>
      <c r="AU140" s="1135"/>
      <c r="AV140" s="1061"/>
      <c r="AW140" s="1061"/>
      <c r="AX140" s="1061"/>
      <c r="AY140" s="1061"/>
      <c r="BB140" s="609">
        <f t="shared" si="187"/>
        <v>-5.7</v>
      </c>
      <c r="BC140" s="610">
        <f t="shared" si="188"/>
        <v>-2.7</v>
      </c>
      <c r="BD140" s="610">
        <f t="shared" si="189"/>
        <v>-2.7</v>
      </c>
      <c r="BE140" s="609">
        <f>V140-INVERSIÓN!EQ22</f>
        <v>0</v>
      </c>
      <c r="BF140" s="609">
        <f>I140-INVERSIÓN!EP22</f>
        <v>0</v>
      </c>
    </row>
    <row r="141" spans="1:58" ht="27" x14ac:dyDescent="0.25">
      <c r="A141" s="1107"/>
      <c r="B141" s="1107"/>
      <c r="C141" s="1125"/>
      <c r="D141" s="503" t="s">
        <v>45</v>
      </c>
      <c r="E141" s="586">
        <v>438095333</v>
      </c>
      <c r="F141" s="586">
        <v>438095333</v>
      </c>
      <c r="G141" s="816">
        <f>G137+G139</f>
        <v>438095333</v>
      </c>
      <c r="H141" s="785">
        <v>438095333</v>
      </c>
      <c r="I141" s="791">
        <v>438095333</v>
      </c>
      <c r="J141" s="791"/>
      <c r="K141" s="791"/>
      <c r="L141" s="791"/>
      <c r="M141" s="791"/>
      <c r="N141" s="791"/>
      <c r="O141" s="791"/>
      <c r="P141" s="791"/>
      <c r="Q141" s="791"/>
      <c r="R141" s="791"/>
      <c r="S141" s="792"/>
      <c r="T141" s="816">
        <f>T139+T137</f>
        <v>4400933</v>
      </c>
      <c r="U141" s="815">
        <v>66555266</v>
      </c>
      <c r="V141" s="815">
        <v>81861533</v>
      </c>
      <c r="W141" s="780"/>
      <c r="X141" s="780"/>
      <c r="Y141" s="780"/>
      <c r="Z141" s="780"/>
      <c r="AA141" s="780"/>
      <c r="AB141" s="780"/>
      <c r="AC141" s="780"/>
      <c r="AD141" s="780"/>
      <c r="AE141" s="780"/>
      <c r="AF141" s="1128"/>
      <c r="AG141" s="1130"/>
      <c r="AH141" s="1059"/>
      <c r="AI141" s="1059"/>
      <c r="AJ141" s="1059"/>
      <c r="AK141" s="1059"/>
      <c r="AL141" s="1059"/>
      <c r="AM141" s="1059"/>
      <c r="AN141" s="1114"/>
      <c r="AO141" s="1136"/>
      <c r="AP141" s="1137"/>
      <c r="AQ141" s="1059"/>
      <c r="AR141" s="1059"/>
      <c r="AS141" s="1059"/>
      <c r="AT141" s="1114"/>
      <c r="AU141" s="1135"/>
      <c r="AV141" s="1061"/>
      <c r="AW141" s="1061"/>
      <c r="AX141" s="1061"/>
      <c r="AY141" s="1061"/>
      <c r="BB141" s="609">
        <f t="shared" si="187"/>
        <v>-356233800</v>
      </c>
      <c r="BC141" s="610">
        <f t="shared" si="188"/>
        <v>-15306267</v>
      </c>
      <c r="BD141" s="610">
        <f t="shared" si="189"/>
        <v>-15306267</v>
      </c>
      <c r="BE141" s="609">
        <f>V141-INVERSIÓN!EQ23</f>
        <v>0</v>
      </c>
      <c r="BF141" s="609">
        <f>I141-INVERSIÓN!EP23</f>
        <v>0</v>
      </c>
    </row>
    <row r="142" spans="1:58" x14ac:dyDescent="0.25">
      <c r="A142" s="1107">
        <v>3</v>
      </c>
      <c r="B142" s="1107" t="s">
        <v>381</v>
      </c>
      <c r="C142" s="1125" t="s">
        <v>554</v>
      </c>
      <c r="D142" s="504" t="s">
        <v>41</v>
      </c>
      <c r="E142" s="587">
        <v>5</v>
      </c>
      <c r="F142" s="587">
        <v>5</v>
      </c>
      <c r="G142" s="817">
        <v>5</v>
      </c>
      <c r="H142" s="779">
        <v>5</v>
      </c>
      <c r="I142" s="779">
        <v>5</v>
      </c>
      <c r="J142" s="785"/>
      <c r="K142" s="785"/>
      <c r="L142" s="785"/>
      <c r="M142" s="785"/>
      <c r="N142" s="785"/>
      <c r="O142" s="785"/>
      <c r="P142" s="785"/>
      <c r="Q142" s="785"/>
      <c r="R142" s="785"/>
      <c r="S142" s="818"/>
      <c r="T142" s="819">
        <v>5</v>
      </c>
      <c r="U142" s="820">
        <v>5</v>
      </c>
      <c r="V142" s="820">
        <v>5</v>
      </c>
      <c r="W142" s="815"/>
      <c r="X142" s="815"/>
      <c r="Y142" s="815"/>
      <c r="Z142" s="815"/>
      <c r="AA142" s="815"/>
      <c r="AB142" s="815"/>
      <c r="AC142" s="815"/>
      <c r="AD142" s="815"/>
      <c r="AE142" s="815"/>
      <c r="AF142" s="1110" t="s">
        <v>758</v>
      </c>
      <c r="AG142" s="1129"/>
      <c r="AH142" s="1129"/>
      <c r="AI142" s="1129"/>
      <c r="AJ142" s="1129"/>
      <c r="AK142" s="1129"/>
      <c r="AL142" s="1129"/>
      <c r="AM142" s="1060"/>
      <c r="AN142" s="1060"/>
      <c r="AO142" s="1060"/>
      <c r="AP142" s="1060"/>
      <c r="AQ142" s="1060"/>
      <c r="AR142" s="1060"/>
      <c r="AS142" s="1060"/>
      <c r="AT142" s="1060"/>
      <c r="AU142" s="1060"/>
      <c r="AV142" s="1060"/>
      <c r="AW142" s="1060"/>
      <c r="AX142" s="1060"/>
      <c r="AY142" s="1060"/>
      <c r="BB142" s="609">
        <f t="shared" si="187"/>
        <v>0</v>
      </c>
      <c r="BC142" s="610">
        <f t="shared" si="188"/>
        <v>0</v>
      </c>
      <c r="BD142" s="610">
        <f t="shared" si="189"/>
        <v>0</v>
      </c>
      <c r="BE142" s="609">
        <f>V142-INVERSIÓN!EQ24</f>
        <v>0</v>
      </c>
      <c r="BF142" s="609">
        <f>I142-INVERSIÓN!EP24</f>
        <v>0</v>
      </c>
    </row>
    <row r="143" spans="1:58" ht="18" x14ac:dyDescent="0.25">
      <c r="A143" s="1107"/>
      <c r="B143" s="1107"/>
      <c r="C143" s="1125"/>
      <c r="D143" s="503" t="s">
        <v>3</v>
      </c>
      <c r="E143" s="583">
        <v>340219000</v>
      </c>
      <c r="F143" s="583">
        <v>340219000</v>
      </c>
      <c r="G143" s="814">
        <v>340219000</v>
      </c>
      <c r="H143" s="779">
        <v>340219000</v>
      </c>
      <c r="I143" s="779">
        <v>340219000</v>
      </c>
      <c r="J143" s="785"/>
      <c r="K143" s="785"/>
      <c r="L143" s="785"/>
      <c r="M143" s="785"/>
      <c r="N143" s="785"/>
      <c r="O143" s="785"/>
      <c r="P143" s="785"/>
      <c r="Q143" s="785"/>
      <c r="R143" s="785"/>
      <c r="S143" s="505"/>
      <c r="T143" s="528">
        <v>0</v>
      </c>
      <c r="U143" s="528">
        <v>102231000</v>
      </c>
      <c r="V143" s="528">
        <v>115503000</v>
      </c>
      <c r="W143" s="528"/>
      <c r="X143" s="528"/>
      <c r="Y143" s="528"/>
      <c r="Z143" s="528"/>
      <c r="AA143" s="528"/>
      <c r="AB143" s="528"/>
      <c r="AC143" s="528"/>
      <c r="AD143" s="528"/>
      <c r="AE143" s="528"/>
      <c r="AF143" s="1110"/>
      <c r="AG143" s="1130"/>
      <c r="AH143" s="1130"/>
      <c r="AI143" s="1129"/>
      <c r="AJ143" s="1129"/>
      <c r="AK143" s="1129"/>
      <c r="AL143" s="1129"/>
      <c r="AM143" s="1062"/>
      <c r="AN143" s="1062"/>
      <c r="AO143" s="1062"/>
      <c r="AP143" s="1062"/>
      <c r="AQ143" s="1062"/>
      <c r="AR143" s="1062"/>
      <c r="AS143" s="1062"/>
      <c r="AT143" s="1062"/>
      <c r="AU143" s="1062"/>
      <c r="AV143" s="1062"/>
      <c r="AW143" s="1062"/>
      <c r="AX143" s="1062"/>
      <c r="AY143" s="1062"/>
      <c r="BB143" s="609">
        <f t="shared" si="187"/>
        <v>-224716000</v>
      </c>
      <c r="BC143" s="610">
        <f t="shared" si="188"/>
        <v>-13272000</v>
      </c>
      <c r="BD143" s="610">
        <f t="shared" si="189"/>
        <v>-13272000</v>
      </c>
      <c r="BE143" s="609">
        <f>V143-INVERSIÓN!EQ25</f>
        <v>0</v>
      </c>
      <c r="BF143" s="609">
        <f>I143-INVERSIÓN!EP25</f>
        <v>0</v>
      </c>
    </row>
    <row r="144" spans="1:58" ht="18" x14ac:dyDescent="0.25">
      <c r="A144" s="1107"/>
      <c r="B144" s="1107"/>
      <c r="C144" s="1125"/>
      <c r="D144" s="502" t="s">
        <v>42</v>
      </c>
      <c r="E144" s="583">
        <v>0</v>
      </c>
      <c r="F144" s="583">
        <v>0</v>
      </c>
      <c r="G144" s="814">
        <v>0</v>
      </c>
      <c r="H144" s="820">
        <v>0</v>
      </c>
      <c r="I144" s="779">
        <v>0</v>
      </c>
      <c r="J144" s="779"/>
      <c r="K144" s="779"/>
      <c r="L144" s="779"/>
      <c r="M144" s="779"/>
      <c r="N144" s="779"/>
      <c r="O144" s="779"/>
      <c r="P144" s="779"/>
      <c r="Q144" s="779"/>
      <c r="R144" s="779"/>
      <c r="S144" s="821"/>
      <c r="T144" s="822">
        <v>0</v>
      </c>
      <c r="U144" s="820">
        <v>0</v>
      </c>
      <c r="V144" s="820">
        <v>0</v>
      </c>
      <c r="W144" s="815"/>
      <c r="X144" s="815"/>
      <c r="Y144" s="815"/>
      <c r="Z144" s="815"/>
      <c r="AA144" s="815"/>
      <c r="AB144" s="815"/>
      <c r="AC144" s="815"/>
      <c r="AD144" s="815"/>
      <c r="AE144" s="815"/>
      <c r="AF144" s="1110"/>
      <c r="AG144" s="1130"/>
      <c r="AH144" s="1130"/>
      <c r="AI144" s="1129"/>
      <c r="AJ144" s="1129"/>
      <c r="AK144" s="1129"/>
      <c r="AL144" s="1129"/>
      <c r="AM144" s="1062"/>
      <c r="AN144" s="1062"/>
      <c r="AO144" s="1062"/>
      <c r="AP144" s="1062"/>
      <c r="AQ144" s="1062"/>
      <c r="AR144" s="1062"/>
      <c r="AS144" s="1062"/>
      <c r="AT144" s="1062"/>
      <c r="AU144" s="1062"/>
      <c r="AV144" s="1062"/>
      <c r="AW144" s="1062"/>
      <c r="AX144" s="1062"/>
      <c r="AY144" s="1062"/>
      <c r="BB144" s="609">
        <f t="shared" si="187"/>
        <v>0</v>
      </c>
      <c r="BC144" s="610">
        <f t="shared" si="188"/>
        <v>0</v>
      </c>
      <c r="BD144" s="610">
        <f t="shared" si="189"/>
        <v>0</v>
      </c>
      <c r="BE144" s="609">
        <f>V144-INVERSIÓN!EQ27</f>
        <v>0</v>
      </c>
      <c r="BF144" s="609">
        <f>I144-INVERSIÓN!EP27</f>
        <v>0</v>
      </c>
    </row>
    <row r="145" spans="1:58" ht="18" x14ac:dyDescent="0.25">
      <c r="A145" s="1107"/>
      <c r="B145" s="1107"/>
      <c r="C145" s="1125"/>
      <c r="D145" s="503" t="s">
        <v>4</v>
      </c>
      <c r="E145" s="588">
        <v>40755366</v>
      </c>
      <c r="F145" s="588">
        <v>40755366</v>
      </c>
      <c r="G145" s="823">
        <v>40755366</v>
      </c>
      <c r="H145" s="824">
        <v>40755366</v>
      </c>
      <c r="I145" s="825">
        <v>40755366</v>
      </c>
      <c r="J145" s="779"/>
      <c r="K145" s="779"/>
      <c r="L145" s="779"/>
      <c r="M145" s="779"/>
      <c r="N145" s="779"/>
      <c r="O145" s="779"/>
      <c r="P145" s="779"/>
      <c r="Q145" s="779"/>
      <c r="R145" s="779"/>
      <c r="S145" s="821"/>
      <c r="T145" s="819">
        <v>11503000</v>
      </c>
      <c r="U145" s="826">
        <v>40755366</v>
      </c>
      <c r="V145" s="827">
        <v>40755366</v>
      </c>
      <c r="W145" s="507"/>
      <c r="X145" s="507"/>
      <c r="Y145" s="507"/>
      <c r="Z145" s="507"/>
      <c r="AA145" s="507"/>
      <c r="AB145" s="507"/>
      <c r="AC145" s="507"/>
      <c r="AD145" s="507"/>
      <c r="AE145" s="507"/>
      <c r="AF145" s="1110"/>
      <c r="AG145" s="1130"/>
      <c r="AH145" s="1130"/>
      <c r="AI145" s="1129"/>
      <c r="AJ145" s="1129"/>
      <c r="AK145" s="1129"/>
      <c r="AL145" s="1129"/>
      <c r="AM145" s="1062"/>
      <c r="AN145" s="1062"/>
      <c r="AO145" s="1062"/>
      <c r="AP145" s="1062"/>
      <c r="AQ145" s="1062"/>
      <c r="AR145" s="1062"/>
      <c r="AS145" s="1062"/>
      <c r="AT145" s="1062"/>
      <c r="AU145" s="1062"/>
      <c r="AV145" s="1062"/>
      <c r="AW145" s="1062"/>
      <c r="AX145" s="1062"/>
      <c r="AY145" s="1062"/>
      <c r="BB145" s="609">
        <f t="shared" si="187"/>
        <v>0</v>
      </c>
      <c r="BC145" s="610">
        <f t="shared" si="188"/>
        <v>0</v>
      </c>
      <c r="BD145" s="610">
        <f t="shared" si="189"/>
        <v>0</v>
      </c>
      <c r="BE145" s="609">
        <f>V145-INVERSIÓN!EQ28</f>
        <v>0</v>
      </c>
      <c r="BF145" s="609">
        <f>I145-INVERSIÓN!EP28</f>
        <v>0</v>
      </c>
    </row>
    <row r="146" spans="1:58" ht="18" x14ac:dyDescent="0.25">
      <c r="A146" s="1107"/>
      <c r="B146" s="1107"/>
      <c r="C146" s="1125"/>
      <c r="D146" s="502" t="s">
        <v>43</v>
      </c>
      <c r="E146" s="587">
        <v>5</v>
      </c>
      <c r="F146" s="587">
        <v>5</v>
      </c>
      <c r="G146" s="823">
        <v>5</v>
      </c>
      <c r="H146" s="820">
        <v>5</v>
      </c>
      <c r="I146" s="779">
        <v>5</v>
      </c>
      <c r="J146" s="828"/>
      <c r="K146" s="828"/>
      <c r="L146" s="828"/>
      <c r="M146" s="828"/>
      <c r="N146" s="828"/>
      <c r="O146" s="828"/>
      <c r="P146" s="828"/>
      <c r="Q146" s="828"/>
      <c r="R146" s="828"/>
      <c r="S146" s="785"/>
      <c r="T146" s="779">
        <v>5</v>
      </c>
      <c r="U146" s="820">
        <v>5</v>
      </c>
      <c r="V146" s="820">
        <v>5</v>
      </c>
      <c r="W146" s="815"/>
      <c r="X146" s="815"/>
      <c r="Y146" s="815"/>
      <c r="Z146" s="815"/>
      <c r="AA146" s="815"/>
      <c r="AB146" s="815"/>
      <c r="AC146" s="815"/>
      <c r="AD146" s="815"/>
      <c r="AE146" s="815"/>
      <c r="AF146" s="1110"/>
      <c r="AG146" s="1130"/>
      <c r="AH146" s="1130"/>
      <c r="AI146" s="1129"/>
      <c r="AJ146" s="1129"/>
      <c r="AK146" s="1129"/>
      <c r="AL146" s="1129"/>
      <c r="AM146" s="1062"/>
      <c r="AN146" s="1062"/>
      <c r="AO146" s="1062"/>
      <c r="AP146" s="1062"/>
      <c r="AQ146" s="1062"/>
      <c r="AR146" s="1062"/>
      <c r="AS146" s="1062"/>
      <c r="AT146" s="1062"/>
      <c r="AU146" s="1062"/>
      <c r="AV146" s="1062"/>
      <c r="AW146" s="1062"/>
      <c r="AX146" s="1062"/>
      <c r="AY146" s="1062"/>
      <c r="BB146" s="609">
        <f t="shared" si="187"/>
        <v>0</v>
      </c>
      <c r="BC146" s="610">
        <f t="shared" si="188"/>
        <v>0</v>
      </c>
      <c r="BD146" s="610">
        <f t="shared" si="189"/>
        <v>0</v>
      </c>
      <c r="BE146" s="609">
        <f>V146-INVERSIÓN!EQ29</f>
        <v>0</v>
      </c>
      <c r="BF146" s="609">
        <f>I146-INVERSIÓN!EP29</f>
        <v>0</v>
      </c>
    </row>
    <row r="147" spans="1:58" ht="27" x14ac:dyDescent="0.25">
      <c r="A147" s="1107"/>
      <c r="B147" s="1107"/>
      <c r="C147" s="1125"/>
      <c r="D147" s="503" t="s">
        <v>45</v>
      </c>
      <c r="E147" s="589">
        <v>380974366</v>
      </c>
      <c r="F147" s="589">
        <v>380974366</v>
      </c>
      <c r="G147" s="823">
        <f>G143+G145</f>
        <v>380974366</v>
      </c>
      <c r="H147" s="820">
        <v>380974366</v>
      </c>
      <c r="I147" s="779">
        <v>380974366</v>
      </c>
      <c r="J147" s="779"/>
      <c r="K147" s="779"/>
      <c r="L147" s="779"/>
      <c r="M147" s="779"/>
      <c r="N147" s="779"/>
      <c r="O147" s="779"/>
      <c r="P147" s="779"/>
      <c r="Q147" s="779"/>
      <c r="R147" s="779"/>
      <c r="S147" s="785"/>
      <c r="T147" s="827">
        <f>T145+T143</f>
        <v>11503000</v>
      </c>
      <c r="U147" s="829">
        <v>11503000</v>
      </c>
      <c r="V147" s="829">
        <v>11503000</v>
      </c>
      <c r="W147" s="830"/>
      <c r="X147" s="830"/>
      <c r="Y147" s="830"/>
      <c r="Z147" s="830"/>
      <c r="AA147" s="830"/>
      <c r="AB147" s="830"/>
      <c r="AC147" s="830"/>
      <c r="AD147" s="830"/>
      <c r="AE147" s="830"/>
      <c r="AF147" s="1110"/>
      <c r="AG147" s="1130"/>
      <c r="AH147" s="1130"/>
      <c r="AI147" s="1129"/>
      <c r="AJ147" s="1129"/>
      <c r="AK147" s="1129"/>
      <c r="AL147" s="1129"/>
      <c r="AM147" s="1062"/>
      <c r="AN147" s="1062"/>
      <c r="AO147" s="1062"/>
      <c r="AP147" s="1062"/>
      <c r="AQ147" s="1062"/>
      <c r="AR147" s="1062"/>
      <c r="AS147" s="1062"/>
      <c r="AT147" s="1062"/>
      <c r="AU147" s="1062"/>
      <c r="AV147" s="1062"/>
      <c r="AW147" s="1062"/>
      <c r="AX147" s="1062"/>
      <c r="AY147" s="1062"/>
      <c r="BB147" s="609">
        <f t="shared" si="187"/>
        <v>-369471366</v>
      </c>
      <c r="BC147" s="610">
        <f t="shared" si="188"/>
        <v>0</v>
      </c>
      <c r="BD147" s="610">
        <f t="shared" si="189"/>
        <v>0</v>
      </c>
      <c r="BE147" s="609">
        <f>V147-INVERSIÓN!EQ30</f>
        <v>-144755366</v>
      </c>
      <c r="BF147" s="609">
        <f>I147-INVERSIÓN!EP30</f>
        <v>0</v>
      </c>
    </row>
    <row r="148" spans="1:58" ht="24" x14ac:dyDescent="0.25">
      <c r="A148" s="1138" t="s">
        <v>22</v>
      </c>
      <c r="B148" s="1139"/>
      <c r="C148" s="1139"/>
      <c r="D148" s="522" t="s">
        <v>34</v>
      </c>
      <c r="E148" s="501">
        <f t="shared" ref="E148:I148" si="190">E131+E137+E143</f>
        <v>6921438000</v>
      </c>
      <c r="F148" s="501">
        <f t="shared" ref="F148" si="191">F131+F137+F143</f>
        <v>6921438000</v>
      </c>
      <c r="G148" s="501">
        <f t="shared" si="190"/>
        <v>6921438000</v>
      </c>
      <c r="H148" s="501">
        <f t="shared" si="190"/>
        <v>6921437999.999999</v>
      </c>
      <c r="I148" s="501">
        <f t="shared" si="190"/>
        <v>6921437999.9974499</v>
      </c>
      <c r="J148" s="501"/>
      <c r="K148" s="501"/>
      <c r="L148" s="501"/>
      <c r="M148" s="501"/>
      <c r="N148" s="501"/>
      <c r="O148" s="501"/>
      <c r="P148" s="501"/>
      <c r="Q148" s="501"/>
      <c r="R148" s="501"/>
      <c r="S148" s="501"/>
      <c r="T148" s="501">
        <f t="shared" ref="T148" si="192">T131+T137+T143</f>
        <v>500122465.99999994</v>
      </c>
      <c r="U148" s="501">
        <f t="shared" ref="U148:V148" si="193">U131+U137+U143</f>
        <v>1174695400</v>
      </c>
      <c r="V148" s="501">
        <f t="shared" si="193"/>
        <v>1792656399.9990835</v>
      </c>
      <c r="W148" s="501"/>
      <c r="X148" s="500"/>
      <c r="Y148" s="500"/>
      <c r="Z148" s="500"/>
      <c r="AA148" s="500"/>
      <c r="AB148" s="500"/>
      <c r="AC148" s="500"/>
      <c r="AD148" s="500"/>
      <c r="AE148" s="500"/>
      <c r="AF148" s="500"/>
      <c r="AG148" s="499"/>
      <c r="AH148" s="498"/>
      <c r="AI148" s="498"/>
      <c r="AJ148" s="498"/>
      <c r="AK148" s="498"/>
      <c r="AL148" s="498"/>
      <c r="AM148" s="498"/>
      <c r="AN148" s="498"/>
      <c r="AO148" s="498"/>
      <c r="AP148" s="523"/>
      <c r="AQ148" s="523"/>
      <c r="AR148" s="498"/>
      <c r="AS148" s="498"/>
      <c r="AT148" s="498"/>
      <c r="AU148" s="498"/>
      <c r="AV148" s="498"/>
      <c r="AW148" s="498"/>
      <c r="AX148" s="523"/>
      <c r="AY148" s="497"/>
      <c r="BB148" s="609">
        <f t="shared" si="187"/>
        <v>-5128781599.9983664</v>
      </c>
      <c r="BC148" s="610">
        <f t="shared" si="188"/>
        <v>-617960999.99908352</v>
      </c>
      <c r="BD148" s="610">
        <f t="shared" si="189"/>
        <v>-617960999.99908352</v>
      </c>
      <c r="BE148" s="609">
        <f>V148-INVERSIÓN!EQ31</f>
        <v>-9.1648101806640625E-4</v>
      </c>
      <c r="BF148" s="609">
        <f>I148-INVERSIÓN!EP31</f>
        <v>-2.5501251220703125E-3</v>
      </c>
    </row>
    <row r="149" spans="1:58" ht="24" x14ac:dyDescent="0.25">
      <c r="A149" s="1140"/>
      <c r="B149" s="1141"/>
      <c r="C149" s="1141"/>
      <c r="D149" s="524" t="s">
        <v>33</v>
      </c>
      <c r="E149" s="496">
        <f t="shared" ref="E149:I149" si="194">E133++E139+E145</f>
        <v>535296676</v>
      </c>
      <c r="F149" s="496">
        <f t="shared" ref="F149" si="195">F133++F139+F145</f>
        <v>535296676</v>
      </c>
      <c r="G149" s="496">
        <f t="shared" si="194"/>
        <v>535296676</v>
      </c>
      <c r="H149" s="496">
        <f t="shared" si="194"/>
        <v>535296676</v>
      </c>
      <c r="I149" s="496">
        <f t="shared" si="194"/>
        <v>535296676</v>
      </c>
      <c r="J149" s="496"/>
      <c r="K149" s="496"/>
      <c r="L149" s="496"/>
      <c r="M149" s="496"/>
      <c r="N149" s="496"/>
      <c r="O149" s="496"/>
      <c r="P149" s="496"/>
      <c r="Q149" s="496"/>
      <c r="R149" s="496"/>
      <c r="S149" s="496"/>
      <c r="T149" s="496">
        <f t="shared" ref="T149" si="196">T133++T139+T145</f>
        <v>131809933.00000003</v>
      </c>
      <c r="U149" s="496">
        <f t="shared" ref="U149:V149" si="197">U133++U139+U145</f>
        <v>408522353</v>
      </c>
      <c r="V149" s="496">
        <f t="shared" si="197"/>
        <v>467949198</v>
      </c>
      <c r="W149" s="496"/>
      <c r="X149" s="500"/>
      <c r="Y149" s="500"/>
      <c r="Z149" s="500"/>
      <c r="AA149" s="500"/>
      <c r="AB149" s="500"/>
      <c r="AC149" s="500"/>
      <c r="AD149" s="500"/>
      <c r="AE149" s="500"/>
      <c r="AF149" s="495"/>
      <c r="AG149" s="499"/>
      <c r="AH149" s="498"/>
      <c r="AI149" s="498"/>
      <c r="AJ149" s="498"/>
      <c r="AK149" s="498"/>
      <c r="AL149" s="498"/>
      <c r="AM149" s="498"/>
      <c r="AN149" s="498"/>
      <c r="AO149" s="498"/>
      <c r="AP149" s="523"/>
      <c r="AQ149" s="523"/>
      <c r="AR149" s="498"/>
      <c r="AS149" s="498"/>
      <c r="AT149" s="498"/>
      <c r="AU149" s="498"/>
      <c r="AV149" s="498"/>
      <c r="AW149" s="498"/>
      <c r="AX149" s="523"/>
      <c r="AY149" s="497"/>
      <c r="BB149" s="609">
        <f t="shared" si="187"/>
        <v>-67347478</v>
      </c>
      <c r="BC149" s="610">
        <f t="shared" si="188"/>
        <v>-59426845</v>
      </c>
      <c r="BD149" s="610">
        <f t="shared" si="189"/>
        <v>-59426845</v>
      </c>
      <c r="BE149" s="609">
        <f>V149-INVERSIÓN!EQ32</f>
        <v>0</v>
      </c>
      <c r="BF149" s="609">
        <f>I149-INVERSIÓN!EP32</f>
        <v>0</v>
      </c>
    </row>
    <row r="150" spans="1:58" ht="24.75" thickBot="1" x14ac:dyDescent="0.3">
      <c r="A150" s="1142"/>
      <c r="B150" s="1143"/>
      <c r="C150" s="1143"/>
      <c r="D150" s="525" t="s">
        <v>32</v>
      </c>
      <c r="E150" s="496">
        <f t="shared" ref="E150:I150" si="198">E148+E149</f>
        <v>7456734676</v>
      </c>
      <c r="F150" s="496">
        <f t="shared" ref="F150" si="199">F148+F149</f>
        <v>7456734676</v>
      </c>
      <c r="G150" s="496">
        <f t="shared" si="198"/>
        <v>7456734676</v>
      </c>
      <c r="H150" s="496">
        <f t="shared" si="198"/>
        <v>7456734675.999999</v>
      </c>
      <c r="I150" s="496">
        <f t="shared" si="198"/>
        <v>7456734675.9974499</v>
      </c>
      <c r="J150" s="496"/>
      <c r="K150" s="496"/>
      <c r="L150" s="496"/>
      <c r="M150" s="496"/>
      <c r="N150" s="496"/>
      <c r="O150" s="496"/>
      <c r="P150" s="496"/>
      <c r="Q150" s="496"/>
      <c r="R150" s="496"/>
      <c r="S150" s="496"/>
      <c r="T150" s="496">
        <f t="shared" ref="T150" si="200">T148+T149</f>
        <v>631932399</v>
      </c>
      <c r="U150" s="496">
        <f t="shared" ref="U150:V150" si="201">U148+U149</f>
        <v>1583217753</v>
      </c>
      <c r="V150" s="496">
        <f t="shared" si="201"/>
        <v>2260605597.9990835</v>
      </c>
      <c r="W150" s="496"/>
      <c r="X150" s="495"/>
      <c r="Y150" s="495"/>
      <c r="Z150" s="495"/>
      <c r="AA150" s="495"/>
      <c r="AB150" s="495"/>
      <c r="AC150" s="495"/>
      <c r="AD150" s="495"/>
      <c r="AE150" s="495"/>
      <c r="AF150" s="495"/>
      <c r="AG150" s="494"/>
      <c r="AH150" s="493"/>
      <c r="AI150" s="493"/>
      <c r="AJ150" s="493"/>
      <c r="AK150" s="493"/>
      <c r="AL150" s="493"/>
      <c r="AM150" s="493"/>
      <c r="AN150" s="493"/>
      <c r="AO150" s="493"/>
      <c r="AP150" s="526"/>
      <c r="AQ150" s="526"/>
      <c r="AR150" s="493"/>
      <c r="AS150" s="493"/>
      <c r="AT150" s="493"/>
      <c r="AU150" s="493"/>
      <c r="AV150" s="493"/>
      <c r="AW150" s="493"/>
      <c r="AX150" s="526"/>
      <c r="AY150" s="492"/>
      <c r="BB150" s="609">
        <f t="shared" si="187"/>
        <v>-5196129077.9983664</v>
      </c>
      <c r="BC150" s="610">
        <f t="shared" si="188"/>
        <v>-677387844.99908352</v>
      </c>
      <c r="BD150" s="610">
        <f t="shared" si="189"/>
        <v>-677387844.99908352</v>
      </c>
      <c r="BE150" s="609">
        <f>V150-INVERSIÓN!EQ33</f>
        <v>-9.1648101806640625E-4</v>
      </c>
      <c r="BF150" s="609">
        <f>I150-INVERSIÓN!EP33</f>
        <v>-2.5501251220703125E-3</v>
      </c>
    </row>
    <row r="151" spans="1:58" x14ac:dyDescent="0.25">
      <c r="R151" s="511"/>
      <c r="S151" s="511"/>
      <c r="T151" s="511"/>
      <c r="U151" s="511"/>
      <c r="V151" s="511"/>
      <c r="W151" s="511"/>
      <c r="X151" s="511"/>
      <c r="Y151" s="511"/>
      <c r="Z151" s="511"/>
      <c r="AA151" s="511"/>
      <c r="AB151" s="511"/>
      <c r="AC151" s="511"/>
      <c r="AD151" s="511"/>
      <c r="AE151" s="511"/>
      <c r="BB151" s="609"/>
      <c r="BC151" s="610"/>
      <c r="BD151" s="610"/>
    </row>
    <row r="152" spans="1:58" x14ac:dyDescent="0.25">
      <c r="B152" s="26" t="s">
        <v>35</v>
      </c>
      <c r="C152" s="24"/>
      <c r="D152" s="24"/>
      <c r="E152" s="24"/>
      <c r="F152" s="25"/>
      <c r="G152" s="25"/>
      <c r="H152" s="25"/>
      <c r="I152" s="25"/>
      <c r="J152" s="25"/>
      <c r="K152" s="25"/>
      <c r="L152" s="25"/>
      <c r="M152" s="25"/>
      <c r="N152" s="25"/>
      <c r="O152" s="25"/>
      <c r="R152" s="511"/>
      <c r="S152" s="511"/>
      <c r="W152" s="511"/>
      <c r="X152" s="511"/>
      <c r="Y152" s="511"/>
      <c r="Z152" s="511"/>
      <c r="AA152" s="511"/>
      <c r="AB152" s="511"/>
      <c r="AC152" s="511"/>
      <c r="AD152" s="511"/>
      <c r="AE152" s="511"/>
      <c r="BB152" s="609"/>
      <c r="BC152" s="610"/>
      <c r="BD152" s="610"/>
    </row>
    <row r="153" spans="1:58" x14ac:dyDescent="0.25">
      <c r="B153" s="29" t="s">
        <v>36</v>
      </c>
      <c r="C153" s="879" t="s">
        <v>37</v>
      </c>
      <c r="D153" s="880"/>
      <c r="E153" s="881"/>
      <c r="F153" s="882" t="s">
        <v>38</v>
      </c>
      <c r="G153" s="883"/>
      <c r="H153" s="883"/>
      <c r="I153" s="883"/>
      <c r="J153" s="883"/>
      <c r="K153" s="883"/>
      <c r="L153" s="883"/>
      <c r="M153" s="883"/>
      <c r="N153" s="883"/>
      <c r="O153" s="883"/>
      <c r="R153" s="511"/>
      <c r="S153" s="511"/>
      <c r="W153" s="511"/>
      <c r="X153" s="511"/>
      <c r="Y153" s="511"/>
      <c r="Z153" s="511"/>
      <c r="AA153" s="511"/>
      <c r="AB153" s="511"/>
      <c r="AC153" s="511"/>
      <c r="AD153" s="511"/>
      <c r="BB153" s="609"/>
      <c r="BC153" s="610"/>
      <c r="BD153" s="610"/>
    </row>
    <row r="154" spans="1:58" x14ac:dyDescent="0.25">
      <c r="B154" s="101">
        <v>13</v>
      </c>
      <c r="C154" s="884" t="s">
        <v>95</v>
      </c>
      <c r="D154" s="885"/>
      <c r="E154" s="886"/>
      <c r="F154" s="887" t="s">
        <v>86</v>
      </c>
      <c r="G154" s="888"/>
      <c r="H154" s="888"/>
      <c r="I154" s="888"/>
      <c r="J154" s="888"/>
      <c r="K154" s="888"/>
      <c r="L154" s="888"/>
      <c r="M154" s="888"/>
      <c r="N154" s="888"/>
      <c r="O154" s="888"/>
      <c r="R154" s="511"/>
      <c r="S154" s="511"/>
      <c r="T154" s="511"/>
      <c r="U154" s="511"/>
      <c r="V154" s="511"/>
      <c r="W154" s="511"/>
      <c r="X154" s="511"/>
      <c r="Y154" s="511"/>
      <c r="Z154" s="511"/>
      <c r="AA154" s="511"/>
      <c r="AB154" s="511"/>
      <c r="AC154" s="511"/>
      <c r="AD154" s="511"/>
      <c r="BB154" s="609"/>
      <c r="BC154" s="610"/>
      <c r="BD154" s="610"/>
    </row>
    <row r="155" spans="1:58" x14ac:dyDescent="0.25">
      <c r="B155" s="101">
        <v>14</v>
      </c>
      <c r="C155" s="884" t="s">
        <v>598</v>
      </c>
      <c r="D155" s="885"/>
      <c r="E155" s="886"/>
      <c r="F155" s="887" t="s">
        <v>599</v>
      </c>
      <c r="G155" s="888"/>
      <c r="H155" s="888"/>
      <c r="I155" s="888"/>
      <c r="J155" s="888"/>
      <c r="K155" s="888"/>
      <c r="L155" s="888"/>
      <c r="M155" s="888"/>
      <c r="N155" s="888"/>
      <c r="O155" s="888"/>
      <c r="R155" s="511"/>
      <c r="S155" s="511"/>
      <c r="T155" s="511"/>
      <c r="U155" s="511"/>
      <c r="V155" s="511"/>
      <c r="W155" s="511"/>
      <c r="X155" s="511"/>
      <c r="Y155" s="511"/>
      <c r="Z155" s="511"/>
      <c r="AA155" s="511"/>
      <c r="AB155" s="511"/>
      <c r="AC155" s="511"/>
      <c r="AD155" s="511"/>
      <c r="BB155" s="609"/>
      <c r="BC155" s="610"/>
      <c r="BD155" s="610"/>
    </row>
    <row r="156" spans="1:58" x14ac:dyDescent="0.25">
      <c r="R156" s="511"/>
      <c r="S156" s="511"/>
      <c r="T156" s="511"/>
      <c r="U156" s="511"/>
      <c r="V156" s="511"/>
      <c r="W156" s="511"/>
      <c r="X156" s="511"/>
      <c r="Y156" s="511"/>
      <c r="Z156" s="511"/>
      <c r="AA156" s="511"/>
      <c r="AB156" s="511"/>
      <c r="AC156" s="511"/>
      <c r="AD156" s="511"/>
      <c r="BB156" s="609"/>
      <c r="BC156" s="610"/>
      <c r="BD156" s="610"/>
    </row>
    <row r="157" spans="1:58" x14ac:dyDescent="0.25">
      <c r="R157" s="511"/>
      <c r="S157" s="511"/>
      <c r="T157" s="511"/>
      <c r="U157" s="511"/>
      <c r="V157" s="511"/>
      <c r="W157" s="511"/>
      <c r="X157" s="511"/>
      <c r="Y157" s="511"/>
      <c r="Z157" s="511"/>
      <c r="AA157" s="511"/>
      <c r="AB157" s="511"/>
      <c r="AC157" s="511"/>
      <c r="AD157" s="511"/>
      <c r="BB157" s="609"/>
      <c r="BC157" s="610"/>
      <c r="BD157" s="610"/>
    </row>
    <row r="158" spans="1:58" x14ac:dyDescent="0.25">
      <c r="R158" s="511"/>
      <c r="S158" s="511"/>
      <c r="T158" s="511"/>
      <c r="U158" s="511"/>
      <c r="V158" s="511"/>
      <c r="W158" s="511"/>
      <c r="X158" s="511"/>
      <c r="Y158" s="511"/>
      <c r="Z158" s="511"/>
      <c r="AA158" s="511"/>
      <c r="AB158" s="511"/>
      <c r="AC158" s="511"/>
      <c r="AD158" s="511"/>
      <c r="BB158" s="609"/>
      <c r="BC158" s="610"/>
      <c r="BD158" s="610"/>
    </row>
    <row r="159" spans="1:58" x14ac:dyDescent="0.25">
      <c r="R159" s="511"/>
      <c r="S159" s="511"/>
      <c r="T159" s="511"/>
      <c r="U159" s="511"/>
      <c r="V159" s="511"/>
      <c r="W159" s="511"/>
      <c r="X159" s="511"/>
      <c r="Y159" s="511"/>
      <c r="Z159" s="511"/>
      <c r="AA159" s="511"/>
      <c r="AB159" s="511"/>
      <c r="AC159" s="511"/>
      <c r="AD159" s="511"/>
      <c r="BB159" s="609"/>
      <c r="BC159" s="610"/>
      <c r="BD159" s="610"/>
    </row>
    <row r="160" spans="1:58" x14ac:dyDescent="0.25">
      <c r="R160" s="511"/>
      <c r="S160" s="511"/>
      <c r="T160" s="511"/>
      <c r="U160" s="511"/>
      <c r="V160" s="511"/>
      <c r="W160" s="511"/>
      <c r="X160" s="511"/>
      <c r="Y160" s="511"/>
      <c r="Z160" s="511"/>
      <c r="AA160" s="511"/>
      <c r="AB160" s="511"/>
      <c r="AC160" s="511"/>
      <c r="AD160" s="511"/>
      <c r="BB160" s="609"/>
      <c r="BC160" s="610"/>
      <c r="BD160" s="610"/>
    </row>
    <row r="161" spans="18:56" x14ac:dyDescent="0.25">
      <c r="R161" s="511"/>
      <c r="S161" s="511"/>
      <c r="T161" s="511"/>
      <c r="U161" s="511"/>
      <c r="V161" s="511"/>
      <c r="W161" s="511"/>
      <c r="X161" s="511"/>
      <c r="Y161" s="511"/>
      <c r="Z161" s="511"/>
      <c r="AA161" s="511"/>
      <c r="AB161" s="511"/>
      <c r="AC161" s="511"/>
      <c r="AD161" s="511"/>
      <c r="BB161" s="609"/>
      <c r="BC161" s="610"/>
      <c r="BD161" s="610"/>
    </row>
    <row r="162" spans="18:56" x14ac:dyDescent="0.25">
      <c r="R162" s="511"/>
      <c r="S162" s="511"/>
      <c r="T162" s="511"/>
      <c r="U162" s="511"/>
      <c r="V162" s="511"/>
      <c r="W162" s="511"/>
      <c r="X162" s="511"/>
      <c r="Y162" s="511"/>
      <c r="Z162" s="511"/>
      <c r="AA162" s="511"/>
      <c r="AB162" s="511"/>
      <c r="AC162" s="511"/>
      <c r="AD162" s="511"/>
      <c r="BB162" s="609"/>
      <c r="BC162" s="610"/>
      <c r="BD162" s="610"/>
    </row>
    <row r="163" spans="18:56" x14ac:dyDescent="0.25">
      <c r="R163" s="511"/>
      <c r="S163" s="511"/>
      <c r="T163" s="511"/>
      <c r="U163" s="511"/>
      <c r="V163" s="511"/>
      <c r="W163" s="511"/>
      <c r="X163" s="511"/>
      <c r="Y163" s="511"/>
      <c r="Z163" s="511"/>
      <c r="AA163" s="511"/>
      <c r="AB163" s="511"/>
      <c r="AC163" s="511"/>
      <c r="AD163" s="511"/>
      <c r="BB163" s="609"/>
      <c r="BC163" s="610"/>
      <c r="BD163" s="610"/>
    </row>
    <row r="164" spans="18:56" x14ac:dyDescent="0.25">
      <c r="R164" s="511"/>
      <c r="S164" s="511"/>
      <c r="T164" s="511"/>
      <c r="U164" s="511"/>
      <c r="V164" s="511"/>
      <c r="W164" s="511"/>
      <c r="X164" s="511"/>
      <c r="Y164" s="511"/>
      <c r="Z164" s="511"/>
      <c r="AA164" s="511"/>
      <c r="AB164" s="511"/>
      <c r="AC164" s="511"/>
      <c r="AD164" s="511"/>
      <c r="BB164" s="609"/>
      <c r="BC164" s="610"/>
      <c r="BD164" s="610"/>
    </row>
    <row r="165" spans="18:56" x14ac:dyDescent="0.25">
      <c r="R165" s="511"/>
      <c r="S165" s="511"/>
      <c r="T165" s="511"/>
      <c r="U165" s="511"/>
      <c r="V165" s="511"/>
      <c r="W165" s="511"/>
      <c r="X165" s="511"/>
      <c r="Y165" s="511"/>
      <c r="Z165" s="511"/>
      <c r="AA165" s="511"/>
      <c r="AB165" s="511"/>
      <c r="AC165" s="511"/>
      <c r="AD165" s="511"/>
      <c r="BB165" s="609"/>
      <c r="BC165" s="610"/>
      <c r="BD165" s="610"/>
    </row>
    <row r="166" spans="18:56" x14ac:dyDescent="0.25">
      <c r="R166" s="511"/>
      <c r="S166" s="511"/>
      <c r="T166" s="511"/>
      <c r="U166" s="511"/>
      <c r="V166" s="511"/>
      <c r="W166" s="511"/>
      <c r="X166" s="511"/>
      <c r="Y166" s="511"/>
      <c r="Z166" s="511"/>
      <c r="AA166" s="511"/>
      <c r="AB166" s="511"/>
      <c r="AC166" s="511"/>
      <c r="AD166" s="511"/>
      <c r="BB166" s="609"/>
      <c r="BC166" s="610"/>
      <c r="BD166" s="610"/>
    </row>
    <row r="167" spans="18:56" x14ac:dyDescent="0.25">
      <c r="R167" s="511"/>
      <c r="S167" s="511"/>
      <c r="T167" s="511"/>
      <c r="U167" s="511"/>
      <c r="V167" s="511"/>
      <c r="W167" s="511"/>
      <c r="X167" s="511"/>
      <c r="Y167" s="511"/>
      <c r="Z167" s="511"/>
      <c r="AA167" s="511"/>
      <c r="AB167" s="511"/>
      <c r="AC167" s="511"/>
      <c r="AD167" s="511"/>
      <c r="BB167" s="609"/>
      <c r="BC167" s="610"/>
      <c r="BD167" s="610"/>
    </row>
    <row r="168" spans="18:56" x14ac:dyDescent="0.25">
      <c r="R168" s="511"/>
      <c r="S168" s="511"/>
      <c r="T168" s="511"/>
      <c r="U168" s="511"/>
      <c r="V168" s="511"/>
      <c r="W168" s="511"/>
      <c r="X168" s="511"/>
      <c r="Y168" s="511"/>
      <c r="Z168" s="511"/>
      <c r="AA168" s="511"/>
      <c r="AB168" s="511"/>
      <c r="AC168" s="511"/>
      <c r="AD168" s="511"/>
      <c r="BB168" s="609"/>
      <c r="BC168" s="610"/>
      <c r="BD168" s="610"/>
    </row>
    <row r="169" spans="18:56" x14ac:dyDescent="0.25">
      <c r="R169" s="511"/>
      <c r="S169" s="511"/>
      <c r="T169" s="511"/>
      <c r="U169" s="511"/>
      <c r="V169" s="511"/>
      <c r="W169" s="511"/>
      <c r="X169" s="511"/>
      <c r="Y169" s="511"/>
      <c r="Z169" s="511"/>
      <c r="AA169" s="511"/>
      <c r="AB169" s="511"/>
      <c r="AC169" s="511"/>
      <c r="AD169" s="511"/>
      <c r="BB169" s="609"/>
      <c r="BC169" s="610"/>
      <c r="BD169" s="610"/>
    </row>
    <row r="170" spans="18:56" x14ac:dyDescent="0.25">
      <c r="R170" s="511"/>
      <c r="S170" s="511"/>
      <c r="T170" s="511"/>
      <c r="U170" s="511"/>
      <c r="V170" s="511"/>
      <c r="W170" s="511"/>
      <c r="X170" s="511"/>
      <c r="Y170" s="511"/>
      <c r="Z170" s="511"/>
      <c r="AA170" s="511"/>
      <c r="AB170" s="511"/>
      <c r="AC170" s="511"/>
      <c r="AD170" s="511"/>
      <c r="BB170" s="609"/>
      <c r="BC170" s="610"/>
      <c r="BD170" s="610"/>
    </row>
    <row r="171" spans="18:56" x14ac:dyDescent="0.25">
      <c r="R171" s="511"/>
      <c r="S171" s="511"/>
      <c r="T171" s="511"/>
      <c r="U171" s="511"/>
      <c r="V171" s="511"/>
      <c r="W171" s="511"/>
      <c r="X171" s="511"/>
      <c r="Y171" s="511"/>
      <c r="Z171" s="511"/>
      <c r="AA171" s="511"/>
      <c r="AB171" s="511"/>
      <c r="AC171" s="511"/>
      <c r="AD171" s="511"/>
      <c r="BB171" s="609"/>
      <c r="BC171" s="610"/>
      <c r="BD171" s="610"/>
    </row>
    <row r="172" spans="18:56" x14ac:dyDescent="0.25">
      <c r="R172" s="511"/>
      <c r="S172" s="511"/>
      <c r="T172" s="511"/>
      <c r="U172" s="511"/>
      <c r="V172" s="511"/>
      <c r="W172" s="511"/>
      <c r="X172" s="511"/>
      <c r="Y172" s="511"/>
      <c r="Z172" s="511"/>
      <c r="AA172" s="511"/>
      <c r="AB172" s="511"/>
      <c r="AC172" s="511"/>
      <c r="AD172" s="511"/>
      <c r="BB172" s="609"/>
      <c r="BC172" s="610"/>
      <c r="BD172" s="610"/>
    </row>
    <row r="173" spans="18:56" x14ac:dyDescent="0.25">
      <c r="R173" s="511"/>
      <c r="S173" s="511"/>
      <c r="T173" s="511"/>
      <c r="U173" s="511"/>
      <c r="V173" s="511"/>
      <c r="W173" s="511"/>
      <c r="X173" s="511"/>
      <c r="Y173" s="511"/>
      <c r="Z173" s="511"/>
      <c r="AA173" s="511"/>
      <c r="AB173" s="511"/>
      <c r="AC173" s="511"/>
      <c r="AD173" s="511"/>
      <c r="BB173" s="609"/>
      <c r="BC173" s="610"/>
      <c r="BD173" s="610"/>
    </row>
    <row r="174" spans="18:56" x14ac:dyDescent="0.25">
      <c r="R174" s="511"/>
      <c r="S174" s="511"/>
      <c r="T174" s="511"/>
      <c r="U174" s="511"/>
      <c r="V174" s="511"/>
      <c r="W174" s="511"/>
      <c r="X174" s="511"/>
      <c r="Y174" s="511"/>
      <c r="Z174" s="511"/>
      <c r="AA174" s="511"/>
      <c r="AB174" s="511"/>
      <c r="AC174" s="511"/>
      <c r="AD174" s="511"/>
      <c r="BB174" s="609"/>
      <c r="BC174" s="610"/>
      <c r="BD174" s="610"/>
    </row>
    <row r="175" spans="18:56" x14ac:dyDescent="0.25">
      <c r="R175" s="511"/>
      <c r="S175" s="511"/>
      <c r="T175" s="511"/>
      <c r="U175" s="511"/>
      <c r="V175" s="511"/>
      <c r="W175" s="511"/>
      <c r="X175" s="511"/>
      <c r="Y175" s="511"/>
      <c r="Z175" s="511"/>
      <c r="AA175" s="511"/>
      <c r="AB175" s="511"/>
      <c r="AC175" s="511"/>
      <c r="AD175" s="511"/>
      <c r="BB175" s="609"/>
      <c r="BC175" s="610"/>
      <c r="BD175" s="610"/>
    </row>
    <row r="176" spans="18:56" x14ac:dyDescent="0.25">
      <c r="R176" s="511"/>
      <c r="S176" s="511"/>
      <c r="T176" s="511"/>
      <c r="U176" s="511"/>
      <c r="V176" s="511"/>
      <c r="W176" s="511"/>
      <c r="X176" s="511"/>
      <c r="Y176" s="511"/>
      <c r="Z176" s="511"/>
      <c r="AA176" s="511"/>
      <c r="AB176" s="511"/>
      <c r="AC176" s="511"/>
      <c r="AD176" s="511"/>
      <c r="BB176" s="609"/>
      <c r="BC176" s="610"/>
      <c r="BD176" s="610"/>
    </row>
    <row r="177" spans="18:56" x14ac:dyDescent="0.25">
      <c r="R177" s="511"/>
      <c r="S177" s="511"/>
      <c r="T177" s="511"/>
      <c r="U177" s="511"/>
      <c r="V177" s="511"/>
      <c r="W177" s="511"/>
      <c r="X177" s="511"/>
      <c r="Y177" s="511"/>
      <c r="Z177" s="511"/>
      <c r="AA177" s="511"/>
      <c r="AB177" s="511"/>
      <c r="AC177" s="511"/>
      <c r="AD177" s="511"/>
      <c r="BB177" s="609"/>
      <c r="BC177" s="610"/>
      <c r="BD177" s="610"/>
    </row>
    <row r="178" spans="18:56" x14ac:dyDescent="0.25">
      <c r="R178" s="511"/>
      <c r="S178" s="511"/>
      <c r="T178" s="511"/>
      <c r="U178" s="511"/>
      <c r="V178" s="511"/>
      <c r="W178" s="511"/>
      <c r="X178" s="511"/>
      <c r="Y178" s="511"/>
      <c r="Z178" s="511"/>
      <c r="AA178" s="511"/>
      <c r="AB178" s="511"/>
      <c r="AC178" s="511"/>
      <c r="AD178" s="511"/>
      <c r="BB178" s="609"/>
      <c r="BC178" s="610"/>
      <c r="BD178" s="610"/>
    </row>
    <row r="179" spans="18:56" x14ac:dyDescent="0.25">
      <c r="R179" s="511"/>
      <c r="S179" s="511"/>
      <c r="T179" s="511"/>
      <c r="U179" s="511"/>
      <c r="V179" s="511"/>
      <c r="W179" s="511"/>
      <c r="X179" s="511"/>
      <c r="Y179" s="511"/>
      <c r="Z179" s="511"/>
      <c r="AA179" s="511"/>
      <c r="AB179" s="511"/>
      <c r="AC179" s="511"/>
      <c r="AD179" s="511"/>
      <c r="BB179" s="609"/>
      <c r="BC179" s="610"/>
      <c r="BD179" s="610"/>
    </row>
    <row r="180" spans="18:56" x14ac:dyDescent="0.25">
      <c r="R180" s="511"/>
      <c r="S180" s="511"/>
      <c r="T180" s="511"/>
      <c r="U180" s="511"/>
      <c r="V180" s="511"/>
      <c r="W180" s="511"/>
      <c r="X180" s="511"/>
      <c r="Y180" s="511"/>
      <c r="Z180" s="511"/>
      <c r="AA180" s="511"/>
      <c r="AB180" s="511"/>
      <c r="AC180" s="511"/>
      <c r="AD180" s="511"/>
      <c r="BB180" s="609"/>
      <c r="BC180" s="610"/>
      <c r="BD180" s="610"/>
    </row>
    <row r="181" spans="18:56" x14ac:dyDescent="0.25">
      <c r="R181" s="511"/>
      <c r="S181" s="511"/>
      <c r="T181" s="511"/>
      <c r="U181" s="511"/>
      <c r="V181" s="511"/>
      <c r="W181" s="511"/>
      <c r="X181" s="511"/>
      <c r="Y181" s="511"/>
      <c r="Z181" s="511"/>
      <c r="AA181" s="511"/>
      <c r="AB181" s="511"/>
      <c r="AC181" s="511"/>
      <c r="AD181" s="511"/>
      <c r="BB181" s="609"/>
      <c r="BC181" s="610"/>
      <c r="BD181" s="610"/>
    </row>
    <row r="182" spans="18:56" x14ac:dyDescent="0.25">
      <c r="R182" s="511"/>
      <c r="S182" s="511"/>
      <c r="T182" s="511"/>
      <c r="U182" s="511"/>
      <c r="V182" s="511"/>
      <c r="W182" s="511"/>
      <c r="X182" s="511"/>
      <c r="Y182" s="511"/>
      <c r="Z182" s="511"/>
      <c r="AA182" s="511"/>
      <c r="AB182" s="511"/>
      <c r="AC182" s="511"/>
      <c r="AD182" s="511"/>
      <c r="BB182" s="609"/>
      <c r="BC182" s="610"/>
      <c r="BD182" s="610"/>
    </row>
    <row r="183" spans="18:56" x14ac:dyDescent="0.25">
      <c r="R183" s="511"/>
      <c r="S183" s="511"/>
      <c r="T183" s="511"/>
      <c r="U183" s="511"/>
      <c r="V183" s="511"/>
      <c r="W183" s="511"/>
      <c r="X183" s="511"/>
      <c r="Y183" s="511"/>
      <c r="Z183" s="511"/>
      <c r="AA183" s="511"/>
      <c r="AB183" s="511"/>
      <c r="AC183" s="511"/>
      <c r="AD183" s="511"/>
      <c r="BB183" s="609"/>
      <c r="BC183" s="610"/>
      <c r="BD183" s="610"/>
    </row>
    <row r="184" spans="18:56" x14ac:dyDescent="0.25">
      <c r="R184" s="511"/>
      <c r="S184" s="511"/>
      <c r="T184" s="511"/>
      <c r="U184" s="511"/>
      <c r="V184" s="511"/>
      <c r="W184" s="511"/>
      <c r="X184" s="511"/>
      <c r="Y184" s="511"/>
      <c r="Z184" s="511"/>
      <c r="AA184" s="511"/>
      <c r="AB184" s="511"/>
      <c r="AC184" s="511"/>
      <c r="AD184" s="511"/>
      <c r="BB184" s="609"/>
      <c r="BC184" s="610"/>
      <c r="BD184" s="610"/>
    </row>
    <row r="185" spans="18:56" x14ac:dyDescent="0.25">
      <c r="R185" s="511"/>
      <c r="S185" s="511"/>
      <c r="T185" s="511"/>
      <c r="U185" s="511"/>
      <c r="V185" s="511"/>
      <c r="W185" s="511"/>
      <c r="X185" s="511"/>
      <c r="Y185" s="511"/>
      <c r="Z185" s="511"/>
      <c r="AA185" s="511"/>
      <c r="AB185" s="511"/>
      <c r="AC185" s="511"/>
      <c r="AD185" s="511"/>
      <c r="BB185" s="609"/>
      <c r="BC185" s="610"/>
      <c r="BD185" s="610"/>
    </row>
    <row r="186" spans="18:56" x14ac:dyDescent="0.25">
      <c r="R186" s="511"/>
      <c r="S186" s="511"/>
      <c r="T186" s="511"/>
      <c r="U186" s="511"/>
      <c r="V186" s="511"/>
      <c r="W186" s="511"/>
      <c r="X186" s="511"/>
      <c r="Y186" s="511"/>
      <c r="Z186" s="511"/>
      <c r="AA186" s="511"/>
      <c r="AB186" s="511"/>
      <c r="AC186" s="511"/>
      <c r="AD186" s="511"/>
      <c r="BB186" s="609"/>
      <c r="BC186" s="610"/>
      <c r="BD186" s="610"/>
    </row>
    <row r="187" spans="18:56" x14ac:dyDescent="0.25">
      <c r="R187" s="511"/>
      <c r="S187" s="511"/>
      <c r="T187" s="511"/>
      <c r="U187" s="511"/>
      <c r="V187" s="511"/>
      <c r="W187" s="511"/>
      <c r="X187" s="511"/>
      <c r="Y187" s="511"/>
      <c r="Z187" s="511"/>
      <c r="AA187" s="511"/>
      <c r="AB187" s="511"/>
      <c r="AC187" s="511"/>
      <c r="AD187" s="511"/>
      <c r="BB187" s="609"/>
      <c r="BC187" s="610"/>
      <c r="BD187" s="610"/>
    </row>
    <row r="188" spans="18:56" x14ac:dyDescent="0.25">
      <c r="R188" s="511"/>
      <c r="S188" s="511"/>
      <c r="T188" s="511"/>
      <c r="U188" s="511"/>
      <c r="V188" s="511"/>
      <c r="W188" s="511"/>
      <c r="X188" s="511"/>
      <c r="Y188" s="511"/>
      <c r="Z188" s="511"/>
      <c r="AA188" s="511"/>
      <c r="AB188" s="511"/>
      <c r="AC188" s="511"/>
      <c r="AD188" s="511"/>
      <c r="BB188" s="609"/>
      <c r="BC188" s="610"/>
      <c r="BD188" s="610"/>
    </row>
    <row r="189" spans="18:56" x14ac:dyDescent="0.25">
      <c r="R189" s="511"/>
      <c r="S189" s="511"/>
      <c r="T189" s="511"/>
      <c r="U189" s="511"/>
      <c r="V189" s="511"/>
      <c r="W189" s="511"/>
      <c r="X189" s="511"/>
      <c r="Y189" s="511"/>
      <c r="Z189" s="511"/>
      <c r="AA189" s="511"/>
      <c r="AB189" s="511"/>
      <c r="AC189" s="511"/>
      <c r="AD189" s="511"/>
      <c r="BB189" s="609"/>
      <c r="BC189" s="610"/>
      <c r="BD189" s="610"/>
    </row>
    <row r="190" spans="18:56" x14ac:dyDescent="0.25">
      <c r="R190" s="511"/>
      <c r="S190" s="511"/>
      <c r="T190" s="511"/>
      <c r="U190" s="511"/>
      <c r="V190" s="511"/>
      <c r="W190" s="511"/>
      <c r="X190" s="511"/>
      <c r="Y190" s="511"/>
      <c r="Z190" s="511"/>
      <c r="AA190" s="511"/>
      <c r="AB190" s="511"/>
      <c r="AC190" s="511"/>
      <c r="AD190" s="511"/>
      <c r="BB190" s="609"/>
      <c r="BC190" s="610"/>
      <c r="BD190" s="610"/>
    </row>
    <row r="191" spans="18:56" x14ac:dyDescent="0.25">
      <c r="R191" s="511"/>
      <c r="S191" s="511"/>
      <c r="T191" s="511"/>
      <c r="U191" s="511"/>
      <c r="V191" s="511"/>
      <c r="W191" s="511"/>
      <c r="X191" s="511"/>
      <c r="Y191" s="511"/>
      <c r="Z191" s="511"/>
      <c r="AA191" s="511"/>
      <c r="AB191" s="511"/>
      <c r="AC191" s="511"/>
      <c r="AD191" s="511"/>
      <c r="BB191" s="609"/>
      <c r="BC191" s="610"/>
      <c r="BD191" s="610"/>
    </row>
    <row r="192" spans="18:56" x14ac:dyDescent="0.25">
      <c r="R192" s="511"/>
      <c r="S192" s="511"/>
      <c r="T192" s="511"/>
      <c r="U192" s="511"/>
      <c r="V192" s="511"/>
      <c r="W192" s="511"/>
      <c r="X192" s="511"/>
      <c r="Y192" s="511"/>
      <c r="Z192" s="511"/>
      <c r="AA192" s="511"/>
      <c r="AB192" s="511"/>
      <c r="AC192" s="511"/>
      <c r="AD192" s="511"/>
      <c r="BB192" s="609"/>
      <c r="BC192" s="610"/>
      <c r="BD192" s="610"/>
    </row>
    <row r="193" spans="18:56" x14ac:dyDescent="0.25">
      <c r="R193" s="511"/>
      <c r="S193" s="511"/>
      <c r="T193" s="511"/>
      <c r="U193" s="511"/>
      <c r="V193" s="511"/>
      <c r="W193" s="511"/>
      <c r="X193" s="511"/>
      <c r="Y193" s="511"/>
      <c r="Z193" s="511"/>
      <c r="AA193" s="511"/>
      <c r="AB193" s="511"/>
      <c r="AC193" s="511"/>
      <c r="AD193" s="511"/>
      <c r="BB193" s="609"/>
      <c r="BC193" s="610"/>
      <c r="BD193" s="610"/>
    </row>
    <row r="194" spans="18:56" x14ac:dyDescent="0.25">
      <c r="R194" s="511"/>
      <c r="S194" s="511"/>
      <c r="T194" s="511"/>
      <c r="U194" s="511"/>
      <c r="V194" s="511"/>
      <c r="W194" s="511"/>
      <c r="X194" s="511"/>
      <c r="Y194" s="511"/>
      <c r="Z194" s="511"/>
      <c r="AA194" s="511"/>
      <c r="AB194" s="511"/>
      <c r="AC194" s="511"/>
      <c r="AD194" s="511"/>
      <c r="BB194" s="609"/>
      <c r="BC194" s="610"/>
      <c r="BD194" s="610"/>
    </row>
    <row r="195" spans="18:56" x14ac:dyDescent="0.25">
      <c r="R195" s="511"/>
      <c r="S195" s="511"/>
      <c r="T195" s="511"/>
      <c r="U195" s="511"/>
      <c r="V195" s="511"/>
      <c r="W195" s="511"/>
      <c r="X195" s="511"/>
      <c r="Y195" s="511"/>
      <c r="Z195" s="511"/>
      <c r="AA195" s="511"/>
      <c r="AB195" s="511"/>
      <c r="AC195" s="511"/>
      <c r="AD195" s="511"/>
      <c r="BB195" s="609"/>
      <c r="BC195" s="610"/>
      <c r="BD195" s="610"/>
    </row>
    <row r="196" spans="18:56" x14ac:dyDescent="0.25">
      <c r="R196" s="511"/>
      <c r="S196" s="511"/>
      <c r="T196" s="511"/>
      <c r="U196" s="511"/>
      <c r="V196" s="511"/>
      <c r="W196" s="511"/>
      <c r="X196" s="511"/>
      <c r="Y196" s="511"/>
      <c r="Z196" s="511"/>
      <c r="AA196" s="511"/>
      <c r="AB196" s="511"/>
      <c r="AC196" s="511"/>
      <c r="AD196" s="511"/>
      <c r="BB196" s="609"/>
      <c r="BC196" s="610"/>
      <c r="BD196" s="610"/>
    </row>
    <row r="197" spans="18:56" x14ac:dyDescent="0.25">
      <c r="R197" s="511"/>
      <c r="S197" s="511"/>
      <c r="T197" s="511"/>
      <c r="U197" s="511"/>
      <c r="V197" s="511"/>
      <c r="W197" s="511"/>
      <c r="X197" s="511"/>
      <c r="Y197" s="511"/>
      <c r="Z197" s="511"/>
      <c r="AA197" s="511"/>
      <c r="AB197" s="511"/>
      <c r="AC197" s="511"/>
      <c r="AD197" s="511"/>
      <c r="BB197" s="609"/>
      <c r="BC197" s="610"/>
      <c r="BD197" s="610"/>
    </row>
    <row r="198" spans="18:56" x14ac:dyDescent="0.25">
      <c r="R198" s="511"/>
      <c r="S198" s="511"/>
      <c r="T198" s="511"/>
      <c r="U198" s="511"/>
      <c r="V198" s="511"/>
      <c r="W198" s="511"/>
      <c r="X198" s="511"/>
      <c r="Y198" s="511"/>
      <c r="Z198" s="511"/>
      <c r="AA198" s="511"/>
      <c r="AB198" s="511"/>
      <c r="AC198" s="511"/>
      <c r="AD198" s="511"/>
      <c r="BB198" s="609"/>
      <c r="BC198" s="610"/>
      <c r="BD198" s="610"/>
    </row>
    <row r="199" spans="18:56" x14ac:dyDescent="0.25">
      <c r="R199" s="511"/>
      <c r="S199" s="511"/>
      <c r="T199" s="511"/>
      <c r="U199" s="511"/>
      <c r="V199" s="511"/>
      <c r="W199" s="511"/>
      <c r="X199" s="511"/>
      <c r="Y199" s="511"/>
      <c r="Z199" s="511"/>
      <c r="AA199" s="511"/>
      <c r="AB199" s="511"/>
      <c r="AC199" s="511"/>
      <c r="AD199" s="511"/>
      <c r="BB199" s="609"/>
      <c r="BC199" s="610"/>
      <c r="BD199" s="610"/>
    </row>
    <row r="200" spans="18:56" x14ac:dyDescent="0.25">
      <c r="R200" s="511"/>
      <c r="S200" s="511"/>
      <c r="T200" s="511"/>
      <c r="U200" s="511"/>
      <c r="V200" s="511"/>
      <c r="W200" s="511"/>
      <c r="X200" s="511"/>
      <c r="Y200" s="511"/>
      <c r="Z200" s="511"/>
      <c r="AA200" s="511"/>
      <c r="AB200" s="511"/>
      <c r="AC200" s="511"/>
      <c r="AD200" s="511"/>
      <c r="BB200" s="609"/>
      <c r="BC200" s="610"/>
      <c r="BD200" s="610"/>
    </row>
    <row r="201" spans="18:56" x14ac:dyDescent="0.25">
      <c r="R201" s="511"/>
      <c r="S201" s="511"/>
      <c r="T201" s="511"/>
      <c r="U201" s="511"/>
      <c r="V201" s="511"/>
      <c r="W201" s="511"/>
      <c r="X201" s="511"/>
      <c r="Y201" s="511"/>
      <c r="Z201" s="511"/>
      <c r="AA201" s="511"/>
      <c r="AB201" s="511"/>
      <c r="AC201" s="511"/>
      <c r="AD201" s="511"/>
      <c r="BB201" s="609"/>
      <c r="BC201" s="610"/>
      <c r="BD201" s="610"/>
    </row>
    <row r="202" spans="18:56" x14ac:dyDescent="0.25">
      <c r="R202" s="511"/>
      <c r="S202" s="511"/>
      <c r="T202" s="511"/>
      <c r="U202" s="511"/>
      <c r="V202" s="511"/>
      <c r="W202" s="511"/>
      <c r="X202" s="511"/>
      <c r="Y202" s="511"/>
      <c r="Z202" s="511"/>
      <c r="AA202" s="511"/>
      <c r="AB202" s="511"/>
      <c r="AC202" s="511"/>
      <c r="AD202" s="511"/>
      <c r="BB202" s="609"/>
      <c r="BC202" s="610"/>
      <c r="BD202" s="610"/>
    </row>
    <row r="203" spans="18:56" x14ac:dyDescent="0.25">
      <c r="R203" s="511"/>
      <c r="S203" s="511"/>
      <c r="T203" s="511"/>
      <c r="U203" s="511"/>
      <c r="V203" s="511"/>
      <c r="W203" s="511"/>
      <c r="X203" s="511"/>
      <c r="Y203" s="511"/>
      <c r="Z203" s="511"/>
      <c r="AA203" s="511"/>
      <c r="AB203" s="511"/>
      <c r="AC203" s="511"/>
      <c r="AD203" s="511"/>
      <c r="BB203" s="609"/>
      <c r="BC203" s="610"/>
      <c r="BD203" s="610"/>
    </row>
    <row r="204" spans="18:56" x14ac:dyDescent="0.25">
      <c r="R204" s="511"/>
      <c r="S204" s="511"/>
      <c r="T204" s="511"/>
      <c r="U204" s="511"/>
      <c r="V204" s="511"/>
      <c r="W204" s="511"/>
      <c r="X204" s="511"/>
      <c r="Y204" s="511"/>
      <c r="Z204" s="511"/>
      <c r="AA204" s="511"/>
      <c r="AB204" s="511"/>
      <c r="AC204" s="511"/>
      <c r="AD204" s="511"/>
      <c r="BB204" s="609"/>
      <c r="BC204" s="610"/>
      <c r="BD204" s="610"/>
    </row>
    <row r="205" spans="18:56" x14ac:dyDescent="0.25">
      <c r="R205" s="511"/>
      <c r="S205" s="511"/>
      <c r="T205" s="511"/>
      <c r="U205" s="511"/>
      <c r="V205" s="511"/>
      <c r="W205" s="511"/>
      <c r="X205" s="511"/>
      <c r="Y205" s="511"/>
      <c r="Z205" s="511"/>
      <c r="AA205" s="511"/>
      <c r="AB205" s="511"/>
      <c r="AC205" s="511"/>
      <c r="AD205" s="511"/>
      <c r="BB205" s="609"/>
      <c r="BC205" s="610"/>
      <c r="BD205" s="610"/>
    </row>
    <row r="206" spans="18:56" x14ac:dyDescent="0.25">
      <c r="R206" s="511"/>
      <c r="S206" s="511"/>
      <c r="T206" s="511"/>
      <c r="U206" s="511"/>
      <c r="V206" s="511"/>
      <c r="W206" s="511"/>
      <c r="X206" s="511"/>
      <c r="Y206" s="511"/>
      <c r="Z206" s="511"/>
      <c r="AA206" s="511"/>
      <c r="AB206" s="511"/>
      <c r="AC206" s="511"/>
      <c r="AD206" s="511"/>
      <c r="BB206" s="609"/>
      <c r="BC206" s="610"/>
      <c r="BD206" s="610"/>
    </row>
    <row r="207" spans="18:56" x14ac:dyDescent="0.25">
      <c r="R207" s="511"/>
      <c r="S207" s="511"/>
      <c r="T207" s="511"/>
      <c r="U207" s="511"/>
      <c r="V207" s="511"/>
      <c r="W207" s="511"/>
      <c r="X207" s="511"/>
      <c r="Y207" s="511"/>
      <c r="Z207" s="511"/>
      <c r="AA207" s="511"/>
      <c r="AB207" s="511"/>
      <c r="AC207" s="511"/>
      <c r="AD207" s="511"/>
      <c r="BB207" s="609"/>
      <c r="BC207" s="610"/>
      <c r="BD207" s="610"/>
    </row>
    <row r="208" spans="18:56" x14ac:dyDescent="0.25">
      <c r="R208" s="511"/>
      <c r="S208" s="511"/>
      <c r="T208" s="511"/>
      <c r="U208" s="511"/>
      <c r="V208" s="511"/>
      <c r="W208" s="511"/>
      <c r="X208" s="511"/>
      <c r="Y208" s="511"/>
      <c r="Z208" s="511"/>
      <c r="AA208" s="511"/>
      <c r="AB208" s="511"/>
      <c r="AC208" s="511"/>
      <c r="AD208" s="511"/>
      <c r="BB208" s="609"/>
      <c r="BC208" s="610"/>
      <c r="BD208" s="610"/>
    </row>
    <row r="209" spans="18:56" x14ac:dyDescent="0.25">
      <c r="R209" s="511"/>
      <c r="S209" s="511"/>
      <c r="T209" s="511"/>
      <c r="U209" s="511"/>
      <c r="V209" s="511"/>
      <c r="W209" s="511"/>
      <c r="X209" s="511"/>
      <c r="Y209" s="511"/>
      <c r="Z209" s="511"/>
      <c r="AA209" s="511"/>
      <c r="AB209" s="511"/>
      <c r="AC209" s="511"/>
      <c r="AD209" s="511"/>
      <c r="BB209" s="609"/>
      <c r="BC209" s="610"/>
      <c r="BD209" s="610"/>
    </row>
    <row r="210" spans="18:56" x14ac:dyDescent="0.25">
      <c r="R210" s="511"/>
      <c r="S210" s="511"/>
      <c r="T210" s="511"/>
      <c r="U210" s="511"/>
      <c r="V210" s="511"/>
      <c r="W210" s="511"/>
      <c r="X210" s="511"/>
      <c r="Y210" s="511"/>
      <c r="Z210" s="511"/>
      <c r="AA210" s="511"/>
      <c r="AB210" s="511"/>
      <c r="AC210" s="511"/>
      <c r="AD210" s="511"/>
      <c r="BB210" s="609"/>
      <c r="BC210" s="610"/>
      <c r="BD210" s="610"/>
    </row>
    <row r="211" spans="18:56" x14ac:dyDescent="0.25">
      <c r="R211" s="511"/>
      <c r="S211" s="511"/>
      <c r="T211" s="511"/>
      <c r="U211" s="511"/>
      <c r="V211" s="511"/>
      <c r="W211" s="511"/>
      <c r="X211" s="511"/>
      <c r="Y211" s="511"/>
      <c r="Z211" s="511"/>
      <c r="AA211" s="511"/>
      <c r="AB211" s="511"/>
      <c r="AC211" s="511"/>
      <c r="AD211" s="511"/>
      <c r="BB211" s="609"/>
      <c r="BC211" s="610"/>
      <c r="BD211" s="610"/>
    </row>
    <row r="212" spans="18:56" x14ac:dyDescent="0.25">
      <c r="R212" s="511"/>
      <c r="S212" s="511"/>
      <c r="T212" s="511"/>
      <c r="U212" s="511"/>
      <c r="V212" s="511"/>
      <c r="W212" s="511"/>
      <c r="X212" s="511"/>
      <c r="Y212" s="511"/>
      <c r="Z212" s="511"/>
      <c r="AA212" s="511"/>
      <c r="AB212" s="511"/>
      <c r="AC212" s="511"/>
      <c r="AD212" s="511"/>
      <c r="BB212" s="609"/>
      <c r="BC212" s="610"/>
      <c r="BD212" s="610"/>
    </row>
    <row r="213" spans="18:56" x14ac:dyDescent="0.25">
      <c r="R213" s="511"/>
      <c r="S213" s="511"/>
      <c r="T213" s="511"/>
      <c r="U213" s="511"/>
      <c r="V213" s="511"/>
      <c r="W213" s="511"/>
      <c r="X213" s="511"/>
      <c r="Y213" s="511"/>
      <c r="Z213" s="511"/>
      <c r="AA213" s="511"/>
      <c r="AB213" s="511"/>
      <c r="AC213" s="511"/>
      <c r="AD213" s="511"/>
      <c r="BB213" s="609"/>
      <c r="BC213" s="610"/>
      <c r="BD213" s="610"/>
    </row>
    <row r="214" spans="18:56" x14ac:dyDescent="0.25">
      <c r="R214" s="511"/>
      <c r="S214" s="511"/>
      <c r="T214" s="511"/>
      <c r="U214" s="511"/>
      <c r="V214" s="511"/>
      <c r="W214" s="511"/>
      <c r="X214" s="511"/>
      <c r="Y214" s="511"/>
      <c r="Z214" s="511"/>
      <c r="AA214" s="511"/>
      <c r="AB214" s="511"/>
      <c r="AC214" s="511"/>
      <c r="AD214" s="511"/>
      <c r="BB214" s="609"/>
      <c r="BC214" s="610"/>
      <c r="BD214" s="610"/>
    </row>
    <row r="215" spans="18:56" x14ac:dyDescent="0.25">
      <c r="R215" s="511"/>
      <c r="S215" s="511"/>
      <c r="T215" s="511"/>
      <c r="U215" s="511"/>
      <c r="V215" s="511"/>
      <c r="W215" s="511"/>
      <c r="X215" s="511"/>
      <c r="Y215" s="511"/>
      <c r="Z215" s="511"/>
      <c r="AA215" s="511"/>
      <c r="AB215" s="511"/>
      <c r="AC215" s="511"/>
      <c r="AD215" s="511"/>
      <c r="BB215" s="609"/>
      <c r="BC215" s="610"/>
      <c r="BD215" s="610"/>
    </row>
    <row r="216" spans="18:56" x14ac:dyDescent="0.25">
      <c r="R216" s="511"/>
      <c r="S216" s="511"/>
      <c r="T216" s="511"/>
      <c r="U216" s="511"/>
      <c r="V216" s="511"/>
      <c r="W216" s="511"/>
      <c r="X216" s="511"/>
      <c r="Y216" s="511"/>
      <c r="Z216" s="511"/>
      <c r="AA216" s="511"/>
      <c r="AB216" s="511"/>
      <c r="AC216" s="511"/>
      <c r="AD216" s="511"/>
      <c r="BB216" s="609"/>
      <c r="BC216" s="610"/>
      <c r="BD216" s="610"/>
    </row>
    <row r="217" spans="18:56" x14ac:dyDescent="0.25">
      <c r="R217" s="511"/>
      <c r="S217" s="511"/>
      <c r="T217" s="511"/>
      <c r="U217" s="511"/>
      <c r="V217" s="511"/>
      <c r="W217" s="511"/>
      <c r="X217" s="511"/>
      <c r="Y217" s="511"/>
      <c r="Z217" s="511"/>
      <c r="AA217" s="511"/>
      <c r="AB217" s="511"/>
      <c r="AC217" s="511"/>
      <c r="AD217" s="511"/>
      <c r="BB217" s="609"/>
      <c r="BC217" s="610"/>
      <c r="BD217" s="610"/>
    </row>
    <row r="218" spans="18:56" x14ac:dyDescent="0.25">
      <c r="R218" s="511"/>
      <c r="S218" s="511"/>
      <c r="T218" s="511"/>
      <c r="U218" s="511"/>
      <c r="V218" s="511"/>
      <c r="W218" s="511"/>
      <c r="X218" s="511"/>
      <c r="Y218" s="511"/>
      <c r="Z218" s="511"/>
      <c r="AA218" s="511"/>
      <c r="AB218" s="511"/>
      <c r="AC218" s="511"/>
      <c r="AD218" s="511"/>
      <c r="BB218" s="609"/>
      <c r="BC218" s="610"/>
      <c r="BD218" s="610"/>
    </row>
    <row r="219" spans="18:56" x14ac:dyDescent="0.25">
      <c r="R219" s="511"/>
      <c r="S219" s="511"/>
      <c r="T219" s="511"/>
      <c r="U219" s="511"/>
      <c r="V219" s="511"/>
      <c r="W219" s="511"/>
      <c r="X219" s="511"/>
      <c r="Y219" s="511"/>
      <c r="Z219" s="511"/>
      <c r="AA219" s="511"/>
      <c r="AB219" s="511"/>
      <c r="AC219" s="511"/>
      <c r="AD219" s="511"/>
      <c r="BB219" s="609"/>
      <c r="BC219" s="610"/>
      <c r="BD219" s="610"/>
    </row>
    <row r="220" spans="18:56" x14ac:dyDescent="0.25">
      <c r="R220" s="511"/>
      <c r="S220" s="511"/>
      <c r="T220" s="511"/>
      <c r="U220" s="511"/>
      <c r="V220" s="511"/>
      <c r="W220" s="511"/>
      <c r="X220" s="511"/>
      <c r="Y220" s="511"/>
      <c r="Z220" s="511"/>
      <c r="AA220" s="511"/>
      <c r="AB220" s="511"/>
      <c r="AC220" s="511"/>
      <c r="AD220" s="511"/>
      <c r="BB220" s="609"/>
      <c r="BC220" s="610"/>
      <c r="BD220" s="610"/>
    </row>
    <row r="221" spans="18:56" x14ac:dyDescent="0.25">
      <c r="R221" s="511"/>
      <c r="S221" s="511"/>
      <c r="T221" s="511"/>
      <c r="U221" s="511"/>
      <c r="V221" s="511"/>
      <c r="W221" s="511"/>
      <c r="X221" s="511"/>
      <c r="Y221" s="511"/>
      <c r="Z221" s="511"/>
      <c r="AA221" s="511"/>
      <c r="AB221" s="511"/>
      <c r="AC221" s="511"/>
      <c r="AD221" s="511"/>
      <c r="BB221" s="609"/>
      <c r="BC221" s="610"/>
      <c r="BD221" s="610"/>
    </row>
    <row r="222" spans="18:56" x14ac:dyDescent="0.25">
      <c r="R222" s="511"/>
      <c r="S222" s="511"/>
      <c r="T222" s="511"/>
      <c r="U222" s="511"/>
      <c r="V222" s="511"/>
      <c r="W222" s="511"/>
      <c r="X222" s="511"/>
      <c r="Y222" s="511"/>
      <c r="Z222" s="511"/>
      <c r="AA222" s="511"/>
      <c r="AB222" s="511"/>
      <c r="AC222" s="511"/>
      <c r="AD222" s="511"/>
      <c r="BB222" s="609"/>
      <c r="BC222" s="610"/>
      <c r="BD222" s="610"/>
    </row>
    <row r="223" spans="18:56" x14ac:dyDescent="0.25">
      <c r="R223" s="511"/>
      <c r="S223" s="511"/>
      <c r="T223" s="511"/>
      <c r="U223" s="511"/>
      <c r="V223" s="511"/>
      <c r="W223" s="511"/>
      <c r="X223" s="511"/>
      <c r="Y223" s="511"/>
      <c r="Z223" s="511"/>
      <c r="AA223" s="511"/>
      <c r="AB223" s="511"/>
      <c r="AC223" s="511"/>
      <c r="AD223" s="511"/>
      <c r="BB223" s="609"/>
      <c r="BC223" s="610"/>
      <c r="BD223" s="610"/>
    </row>
    <row r="224" spans="18:56" x14ac:dyDescent="0.25">
      <c r="R224" s="511"/>
      <c r="S224" s="511"/>
      <c r="T224" s="511"/>
      <c r="U224" s="511"/>
      <c r="V224" s="511"/>
      <c r="W224" s="511"/>
      <c r="X224" s="511"/>
      <c r="Y224" s="511"/>
      <c r="Z224" s="511"/>
      <c r="AA224" s="511"/>
      <c r="AB224" s="511"/>
      <c r="AC224" s="511"/>
      <c r="AD224" s="511"/>
      <c r="BB224" s="609"/>
      <c r="BC224" s="610"/>
      <c r="BD224" s="610"/>
    </row>
    <row r="225" spans="18:56" x14ac:dyDescent="0.25">
      <c r="R225" s="511"/>
      <c r="S225" s="511"/>
      <c r="T225" s="511"/>
      <c r="U225" s="511"/>
      <c r="V225" s="511"/>
      <c r="W225" s="511"/>
      <c r="X225" s="511"/>
      <c r="Y225" s="511"/>
      <c r="Z225" s="511"/>
      <c r="AA225" s="511"/>
      <c r="AB225" s="511"/>
      <c r="AC225" s="511"/>
      <c r="AD225" s="511"/>
      <c r="BB225" s="609"/>
      <c r="BC225" s="610"/>
      <c r="BD225" s="610"/>
    </row>
    <row r="226" spans="18:56" x14ac:dyDescent="0.25">
      <c r="R226" s="511"/>
      <c r="S226" s="511"/>
      <c r="T226" s="511"/>
      <c r="U226" s="511"/>
      <c r="V226" s="511"/>
      <c r="W226" s="511"/>
      <c r="X226" s="511"/>
      <c r="Y226" s="511"/>
      <c r="Z226" s="511"/>
      <c r="AA226" s="511"/>
      <c r="AB226" s="511"/>
      <c r="AC226" s="511"/>
      <c r="AD226" s="511"/>
      <c r="BB226" s="609"/>
      <c r="BC226" s="610"/>
      <c r="BD226" s="610"/>
    </row>
    <row r="227" spans="18:56" x14ac:dyDescent="0.25">
      <c r="R227" s="511"/>
      <c r="S227" s="511"/>
      <c r="T227" s="511"/>
      <c r="U227" s="511"/>
      <c r="V227" s="511"/>
      <c r="W227" s="511"/>
      <c r="X227" s="511"/>
      <c r="Y227" s="511"/>
      <c r="Z227" s="511"/>
      <c r="AA227" s="511"/>
      <c r="AB227" s="511"/>
      <c r="AC227" s="511"/>
      <c r="AD227" s="511"/>
      <c r="BB227" s="609"/>
      <c r="BC227" s="610"/>
      <c r="BD227" s="610"/>
    </row>
    <row r="228" spans="18:56" x14ac:dyDescent="0.25">
      <c r="R228" s="511"/>
      <c r="S228" s="511"/>
      <c r="T228" s="511"/>
      <c r="U228" s="511"/>
      <c r="V228" s="511"/>
      <c r="W228" s="511"/>
      <c r="X228" s="511"/>
      <c r="Y228" s="511"/>
      <c r="Z228" s="511"/>
      <c r="AA228" s="511"/>
      <c r="AB228" s="511"/>
      <c r="AC228" s="511"/>
      <c r="AD228" s="511"/>
      <c r="BB228" s="609"/>
      <c r="BC228" s="610"/>
      <c r="BD228" s="610"/>
    </row>
    <row r="229" spans="18:56" x14ac:dyDescent="0.25">
      <c r="R229" s="511"/>
      <c r="S229" s="511"/>
      <c r="T229" s="511"/>
      <c r="U229" s="511"/>
      <c r="V229" s="511"/>
      <c r="W229" s="511"/>
      <c r="X229" s="511"/>
      <c r="Y229" s="511"/>
      <c r="Z229" s="511"/>
      <c r="AA229" s="511"/>
      <c r="AB229" s="511"/>
      <c r="AC229" s="511"/>
      <c r="AD229" s="511"/>
      <c r="BB229" s="609"/>
      <c r="BC229" s="610"/>
      <c r="BD229" s="610"/>
    </row>
    <row r="230" spans="18:56" x14ac:dyDescent="0.25">
      <c r="R230" s="511"/>
      <c r="S230" s="511"/>
      <c r="T230" s="511"/>
      <c r="U230" s="511"/>
      <c r="V230" s="511"/>
      <c r="W230" s="511"/>
      <c r="X230" s="511"/>
      <c r="Y230" s="511"/>
      <c r="Z230" s="511"/>
      <c r="AA230" s="511"/>
      <c r="AB230" s="511"/>
      <c r="AC230" s="511"/>
      <c r="AD230" s="511"/>
      <c r="BB230" s="609"/>
      <c r="BC230" s="610"/>
      <c r="BD230" s="610"/>
    </row>
    <row r="231" spans="18:56" x14ac:dyDescent="0.25">
      <c r="R231" s="511"/>
      <c r="S231" s="511"/>
      <c r="T231" s="511"/>
      <c r="U231" s="511"/>
      <c r="V231" s="511"/>
      <c r="W231" s="511"/>
      <c r="X231" s="511"/>
      <c r="Y231" s="511"/>
      <c r="Z231" s="511"/>
      <c r="AA231" s="511"/>
      <c r="AB231" s="511"/>
      <c r="AC231" s="511"/>
      <c r="AD231" s="511"/>
      <c r="BB231" s="609"/>
      <c r="BC231" s="610"/>
      <c r="BD231" s="610"/>
    </row>
    <row r="232" spans="18:56" x14ac:dyDescent="0.25">
      <c r="R232" s="511"/>
      <c r="S232" s="511"/>
      <c r="T232" s="511"/>
      <c r="U232" s="511"/>
      <c r="V232" s="511"/>
      <c r="W232" s="511"/>
      <c r="X232" s="511"/>
      <c r="Y232" s="511"/>
      <c r="Z232" s="511"/>
      <c r="AA232" s="511"/>
      <c r="AB232" s="511"/>
      <c r="AC232" s="511"/>
      <c r="AD232" s="511"/>
      <c r="BB232" s="609"/>
      <c r="BC232" s="610"/>
      <c r="BD232" s="610"/>
    </row>
    <row r="233" spans="18:56" x14ac:dyDescent="0.25">
      <c r="R233" s="511"/>
      <c r="S233" s="511"/>
      <c r="T233" s="511"/>
      <c r="U233" s="511"/>
      <c r="V233" s="511"/>
      <c r="W233" s="511"/>
      <c r="X233" s="511"/>
      <c r="Y233" s="511"/>
      <c r="Z233" s="511"/>
      <c r="AA233" s="511"/>
      <c r="AB233" s="511"/>
      <c r="AC233" s="511"/>
      <c r="AD233" s="511"/>
      <c r="BB233" s="609"/>
      <c r="BC233" s="610"/>
      <c r="BD233" s="610"/>
    </row>
    <row r="234" spans="18:56" x14ac:dyDescent="0.25">
      <c r="R234" s="511"/>
      <c r="S234" s="511"/>
      <c r="T234" s="511"/>
      <c r="U234" s="511"/>
      <c r="V234" s="511"/>
      <c r="W234" s="511"/>
      <c r="X234" s="511"/>
      <c r="Y234" s="511"/>
      <c r="Z234" s="511"/>
      <c r="AA234" s="511"/>
      <c r="AB234" s="511"/>
      <c r="AC234" s="511"/>
      <c r="AD234" s="511"/>
      <c r="BB234" s="609"/>
      <c r="BC234" s="610"/>
      <c r="BD234" s="610"/>
    </row>
    <row r="235" spans="18:56" x14ac:dyDescent="0.25">
      <c r="R235" s="511"/>
      <c r="S235" s="511"/>
      <c r="T235" s="511"/>
      <c r="U235" s="511"/>
      <c r="V235" s="511"/>
      <c r="W235" s="511"/>
      <c r="X235" s="511"/>
      <c r="Y235" s="511"/>
      <c r="Z235" s="511"/>
      <c r="AA235" s="511"/>
      <c r="AB235" s="511"/>
      <c r="AC235" s="511"/>
      <c r="AD235" s="511"/>
      <c r="BB235" s="609"/>
      <c r="BC235" s="610"/>
      <c r="BD235" s="610"/>
    </row>
    <row r="236" spans="18:56" x14ac:dyDescent="0.25">
      <c r="R236" s="511"/>
      <c r="S236" s="511"/>
      <c r="T236" s="511"/>
      <c r="U236" s="511"/>
      <c r="V236" s="511"/>
      <c r="W236" s="511"/>
      <c r="X236" s="511"/>
      <c r="Y236" s="511"/>
      <c r="Z236" s="511"/>
      <c r="AA236" s="511"/>
      <c r="AB236" s="511"/>
      <c r="AC236" s="511"/>
      <c r="AD236" s="511"/>
      <c r="BB236" s="609"/>
      <c r="BC236" s="610"/>
      <c r="BD236" s="610"/>
    </row>
    <row r="237" spans="18:56" x14ac:dyDescent="0.25">
      <c r="R237" s="511"/>
      <c r="S237" s="511"/>
      <c r="T237" s="511"/>
      <c r="U237" s="511"/>
      <c r="V237" s="511"/>
      <c r="W237" s="511"/>
      <c r="X237" s="511"/>
      <c r="Y237" s="511"/>
      <c r="Z237" s="511"/>
      <c r="AA237" s="511"/>
      <c r="AB237" s="511"/>
      <c r="AC237" s="511"/>
      <c r="AD237" s="511"/>
      <c r="BB237" s="609"/>
      <c r="BC237" s="610"/>
      <c r="BD237" s="610"/>
    </row>
    <row r="238" spans="18:56" x14ac:dyDescent="0.25">
      <c r="R238" s="511"/>
      <c r="S238" s="511"/>
      <c r="T238" s="511"/>
      <c r="U238" s="511"/>
      <c r="V238" s="511"/>
      <c r="W238" s="511"/>
      <c r="X238" s="511"/>
      <c r="Y238" s="511"/>
      <c r="Z238" s="511"/>
      <c r="AA238" s="511"/>
      <c r="AB238" s="511"/>
      <c r="AC238" s="511"/>
      <c r="AD238" s="511"/>
      <c r="BB238" s="609"/>
      <c r="BC238" s="610"/>
      <c r="BD238" s="610"/>
    </row>
    <row r="239" spans="18:56" x14ac:dyDescent="0.25">
      <c r="R239" s="511"/>
      <c r="S239" s="511"/>
      <c r="T239" s="511"/>
      <c r="U239" s="511"/>
      <c r="V239" s="511"/>
      <c r="W239" s="511"/>
      <c r="X239" s="511"/>
      <c r="Y239" s="511"/>
      <c r="Z239" s="511"/>
      <c r="AA239" s="511"/>
      <c r="AB239" s="511"/>
      <c r="AC239" s="511"/>
      <c r="AD239" s="511"/>
      <c r="BB239" s="609"/>
      <c r="BC239" s="610"/>
      <c r="BD239" s="610"/>
    </row>
    <row r="240" spans="18:56" x14ac:dyDescent="0.25">
      <c r="R240" s="511"/>
      <c r="S240" s="511"/>
      <c r="T240" s="511"/>
      <c r="U240" s="511"/>
      <c r="V240" s="511"/>
      <c r="W240" s="511"/>
      <c r="X240" s="511"/>
      <c r="Y240" s="511"/>
      <c r="Z240" s="511"/>
      <c r="AA240" s="511"/>
      <c r="AB240" s="511"/>
      <c r="AC240" s="511"/>
      <c r="AD240" s="511"/>
      <c r="BB240" s="609"/>
      <c r="BC240" s="610"/>
      <c r="BD240" s="610"/>
    </row>
    <row r="241" spans="18:58" x14ac:dyDescent="0.25">
      <c r="R241" s="511"/>
      <c r="S241" s="511"/>
      <c r="T241" s="511"/>
      <c r="U241" s="511"/>
      <c r="V241" s="511"/>
      <c r="W241" s="511"/>
      <c r="X241" s="511"/>
      <c r="Y241" s="511"/>
      <c r="Z241" s="511"/>
      <c r="AA241" s="511"/>
      <c r="AB241" s="511"/>
      <c r="AC241" s="511"/>
      <c r="AD241" s="511"/>
      <c r="BB241" s="609"/>
      <c r="BC241" s="610"/>
      <c r="BD241" s="610"/>
    </row>
    <row r="242" spans="18:58" x14ac:dyDescent="0.25">
      <c r="R242" s="511"/>
      <c r="S242" s="511"/>
      <c r="T242" s="511"/>
      <c r="U242" s="511"/>
      <c r="V242" s="511"/>
      <c r="W242" s="511"/>
      <c r="X242" s="511"/>
      <c r="Y242" s="511"/>
      <c r="Z242" s="511"/>
      <c r="AA242" s="511"/>
      <c r="AB242" s="511"/>
      <c r="AC242" s="511"/>
      <c r="AD242" s="511"/>
      <c r="BB242" s="609"/>
      <c r="BC242" s="610"/>
      <c r="BD242" s="610"/>
    </row>
    <row r="243" spans="18:58" x14ac:dyDescent="0.25">
      <c r="R243" s="511"/>
      <c r="S243" s="511"/>
      <c r="T243" s="511"/>
      <c r="U243" s="511"/>
      <c r="V243" s="511"/>
      <c r="W243" s="511"/>
      <c r="X243" s="511"/>
      <c r="Y243" s="511"/>
      <c r="Z243" s="511"/>
      <c r="AA243" s="511"/>
      <c r="AB243" s="511"/>
      <c r="AC243" s="511"/>
      <c r="AD243" s="511"/>
      <c r="BB243" s="609"/>
      <c r="BC243" s="610"/>
      <c r="BD243" s="610"/>
    </row>
    <row r="244" spans="18:58" x14ac:dyDescent="0.25">
      <c r="R244" s="511"/>
      <c r="S244" s="511"/>
      <c r="T244" s="511"/>
      <c r="U244" s="511"/>
      <c r="V244" s="511"/>
      <c r="W244" s="511"/>
      <c r="X244" s="511"/>
      <c r="Y244" s="511"/>
      <c r="Z244" s="511"/>
      <c r="AA244" s="511"/>
      <c r="AB244" s="511"/>
      <c r="AC244" s="511"/>
      <c r="AD244" s="511"/>
      <c r="BB244" s="609"/>
      <c r="BC244" s="610"/>
      <c r="BD244" s="610"/>
    </row>
    <row r="245" spans="18:58" x14ac:dyDescent="0.25">
      <c r="R245" s="511"/>
      <c r="S245" s="511"/>
      <c r="T245" s="511"/>
      <c r="U245" s="511"/>
      <c r="V245" s="511"/>
      <c r="W245" s="511"/>
      <c r="X245" s="511"/>
      <c r="Y245" s="511"/>
      <c r="Z245" s="511"/>
      <c r="AA245" s="511"/>
      <c r="AB245" s="511"/>
      <c r="AC245" s="511"/>
      <c r="AD245" s="511"/>
      <c r="BB245" s="609"/>
      <c r="BC245" s="610"/>
      <c r="BD245" s="610"/>
    </row>
    <row r="246" spans="18:58" x14ac:dyDescent="0.25">
      <c r="R246" s="511"/>
      <c r="S246" s="511"/>
      <c r="T246" s="511"/>
      <c r="U246" s="511"/>
      <c r="V246" s="511"/>
      <c r="W246" s="511"/>
      <c r="X246" s="511"/>
      <c r="Y246" s="511"/>
      <c r="Z246" s="511"/>
      <c r="AA246" s="511"/>
      <c r="AB246" s="511"/>
      <c r="AC246" s="511"/>
      <c r="AD246" s="511"/>
      <c r="BB246" s="609"/>
      <c r="BC246" s="610"/>
      <c r="BD246" s="610"/>
    </row>
    <row r="247" spans="18:58" x14ac:dyDescent="0.25">
      <c r="R247" s="511"/>
      <c r="S247" s="511"/>
      <c r="T247" s="511"/>
      <c r="U247" s="511"/>
      <c r="V247" s="511"/>
      <c r="W247" s="511"/>
      <c r="X247" s="511"/>
      <c r="Y247" s="511"/>
      <c r="Z247" s="511"/>
      <c r="AA247" s="511"/>
      <c r="AB247" s="511"/>
      <c r="AC247" s="511"/>
      <c r="AD247" s="511"/>
      <c r="BB247" s="609"/>
      <c r="BC247" s="610"/>
      <c r="BD247" s="610"/>
    </row>
    <row r="248" spans="18:58" x14ac:dyDescent="0.25">
      <c r="R248" s="511"/>
      <c r="S248" s="511"/>
      <c r="T248" s="511"/>
      <c r="U248" s="511"/>
      <c r="V248" s="511"/>
      <c r="W248" s="511"/>
      <c r="X248" s="511"/>
      <c r="Y248" s="511"/>
      <c r="Z248" s="511"/>
      <c r="AA248" s="511"/>
      <c r="AB248" s="511"/>
      <c r="AC248" s="511"/>
      <c r="AD248" s="511"/>
      <c r="BB248" s="609"/>
      <c r="BC248" s="610"/>
      <c r="BD248" s="610"/>
    </row>
    <row r="249" spans="18:58" x14ac:dyDescent="0.25">
      <c r="R249" s="511"/>
      <c r="S249" s="511"/>
      <c r="T249" s="511"/>
      <c r="U249" s="511"/>
      <c r="V249" s="511"/>
      <c r="W249" s="511"/>
      <c r="X249" s="511"/>
      <c r="Y249" s="511"/>
      <c r="Z249" s="511"/>
      <c r="AA249" s="511"/>
      <c r="AB249" s="511"/>
      <c r="AC249" s="511"/>
      <c r="AD249" s="511"/>
      <c r="BB249" s="609"/>
      <c r="BC249" s="610"/>
      <c r="BD249" s="610"/>
    </row>
    <row r="250" spans="18:58" x14ac:dyDescent="0.25">
      <c r="R250" s="511"/>
      <c r="S250" s="511"/>
      <c r="T250" s="511"/>
      <c r="U250" s="511"/>
      <c r="V250" s="511"/>
      <c r="W250" s="511"/>
      <c r="X250" s="511"/>
      <c r="Y250" s="511"/>
      <c r="Z250" s="511"/>
      <c r="AA250" s="511"/>
      <c r="AB250" s="511"/>
      <c r="AC250" s="511"/>
      <c r="AD250" s="511"/>
      <c r="BB250" s="609"/>
      <c r="BC250" s="610"/>
      <c r="BD250" s="610"/>
      <c r="BE250" s="609"/>
      <c r="BF250" s="609"/>
    </row>
    <row r="251" spans="18:58" x14ac:dyDescent="0.25">
      <c r="R251" s="511"/>
      <c r="S251" s="511"/>
      <c r="T251" s="511"/>
      <c r="U251" s="511"/>
      <c r="V251" s="511"/>
      <c r="W251" s="511"/>
      <c r="X251" s="511"/>
      <c r="Y251" s="511"/>
      <c r="Z251" s="511"/>
      <c r="AA251" s="511"/>
      <c r="AB251" s="511"/>
      <c r="AC251" s="511"/>
      <c r="AD251" s="511"/>
      <c r="BB251" s="609"/>
      <c r="BC251" s="610"/>
      <c r="BD251" s="610"/>
      <c r="BE251" s="609"/>
      <c r="BF251" s="609"/>
    </row>
    <row r="252" spans="18:58" x14ac:dyDescent="0.25">
      <c r="R252" s="511"/>
      <c r="S252" s="511"/>
      <c r="T252" s="511"/>
      <c r="U252" s="511"/>
      <c r="V252" s="511"/>
      <c r="W252" s="511"/>
      <c r="X252" s="511"/>
      <c r="Y252" s="511"/>
      <c r="Z252" s="511"/>
      <c r="AA252" s="511"/>
      <c r="AB252" s="511"/>
      <c r="AC252" s="511"/>
      <c r="AD252" s="511"/>
      <c r="BB252" s="609"/>
      <c r="BC252" s="610"/>
      <c r="BD252" s="610"/>
      <c r="BE252" s="609"/>
      <c r="BF252" s="609"/>
    </row>
    <row r="253" spans="18:58" x14ac:dyDescent="0.25">
      <c r="R253" s="511"/>
      <c r="S253" s="511"/>
      <c r="T253" s="511"/>
      <c r="U253" s="511"/>
      <c r="V253" s="511"/>
      <c r="W253" s="511"/>
      <c r="X253" s="511"/>
      <c r="Y253" s="511"/>
      <c r="Z253" s="511"/>
      <c r="AA253" s="511"/>
      <c r="AB253" s="511"/>
      <c r="AC253" s="511"/>
      <c r="AD253" s="511"/>
      <c r="BB253" s="609"/>
      <c r="BC253" s="610"/>
      <c r="BD253" s="610"/>
      <c r="BE253" s="609"/>
      <c r="BF253" s="609"/>
    </row>
    <row r="254" spans="18:58" x14ac:dyDescent="0.25">
      <c r="R254" s="511"/>
      <c r="S254" s="511"/>
      <c r="T254" s="511"/>
      <c r="U254" s="511"/>
      <c r="V254" s="511"/>
      <c r="W254" s="511"/>
      <c r="X254" s="511"/>
      <c r="Y254" s="511"/>
      <c r="Z254" s="511"/>
      <c r="AA254" s="511"/>
      <c r="AB254" s="511"/>
      <c r="AC254" s="511"/>
      <c r="AD254" s="511"/>
      <c r="BB254" s="609"/>
      <c r="BC254" s="610"/>
      <c r="BD254" s="610"/>
      <c r="BE254" s="609"/>
      <c r="BF254" s="609"/>
    </row>
    <row r="255" spans="18:58" x14ac:dyDescent="0.25">
      <c r="R255" s="511"/>
      <c r="S255" s="511"/>
      <c r="T255" s="511"/>
      <c r="U255" s="511"/>
      <c r="V255" s="511"/>
      <c r="W255" s="511"/>
      <c r="X255" s="511"/>
      <c r="Y255" s="511"/>
      <c r="Z255" s="511"/>
      <c r="AA255" s="511"/>
      <c r="AB255" s="511"/>
      <c r="AC255" s="511"/>
      <c r="AD255" s="511"/>
      <c r="BB255" s="609"/>
      <c r="BC255" s="610"/>
      <c r="BD255" s="610"/>
      <c r="BE255" s="609"/>
      <c r="BF255" s="609"/>
    </row>
    <row r="256" spans="18:58" x14ac:dyDescent="0.25">
      <c r="R256" s="511"/>
      <c r="S256" s="511"/>
      <c r="T256" s="511"/>
      <c r="U256" s="511"/>
      <c r="V256" s="511"/>
      <c r="W256" s="511"/>
      <c r="X256" s="511"/>
      <c r="Y256" s="511"/>
      <c r="Z256" s="511"/>
      <c r="AA256" s="511"/>
      <c r="AB256" s="511"/>
      <c r="AC256" s="511"/>
      <c r="AD256" s="511"/>
      <c r="BB256" s="609"/>
      <c r="BC256" s="610"/>
      <c r="BD256" s="610"/>
      <c r="BE256" s="609"/>
      <c r="BF256" s="609"/>
    </row>
    <row r="257" spans="18:58" x14ac:dyDescent="0.25">
      <c r="R257" s="511"/>
      <c r="S257" s="511"/>
      <c r="T257" s="511"/>
      <c r="U257" s="511"/>
      <c r="V257" s="511"/>
      <c r="W257" s="511"/>
      <c r="X257" s="511"/>
      <c r="Y257" s="511"/>
      <c r="Z257" s="511"/>
      <c r="AA257" s="511"/>
      <c r="AB257" s="511"/>
      <c r="AC257" s="511"/>
      <c r="AD257" s="511"/>
      <c r="BB257" s="609"/>
      <c r="BC257" s="610"/>
      <c r="BD257" s="610"/>
      <c r="BE257" s="609"/>
      <c r="BF257" s="609"/>
    </row>
    <row r="258" spans="18:58" x14ac:dyDescent="0.25">
      <c r="R258" s="511"/>
      <c r="S258" s="511"/>
      <c r="T258" s="511"/>
      <c r="U258" s="511"/>
      <c r="V258" s="511"/>
      <c r="W258" s="511"/>
      <c r="X258" s="511"/>
      <c r="Y258" s="511"/>
      <c r="Z258" s="511"/>
      <c r="AA258" s="511"/>
      <c r="AB258" s="511"/>
      <c r="AC258" s="511"/>
      <c r="AD258" s="511"/>
      <c r="BB258" s="609"/>
      <c r="BC258" s="610"/>
      <c r="BD258" s="610"/>
      <c r="BE258" s="609"/>
      <c r="BF258" s="609"/>
    </row>
    <row r="259" spans="18:58" x14ac:dyDescent="0.25">
      <c r="R259" s="511"/>
      <c r="S259" s="511"/>
      <c r="T259" s="511"/>
      <c r="U259" s="511"/>
      <c r="V259" s="511"/>
      <c r="W259" s="511"/>
      <c r="X259" s="511"/>
      <c r="Y259" s="511"/>
      <c r="Z259" s="511"/>
      <c r="AA259" s="511"/>
      <c r="AB259" s="511"/>
      <c r="AC259" s="511"/>
      <c r="AD259" s="511"/>
      <c r="BB259" s="609"/>
      <c r="BC259" s="610"/>
      <c r="BD259" s="610"/>
      <c r="BE259" s="609"/>
      <c r="BF259" s="609"/>
    </row>
    <row r="260" spans="18:58" x14ac:dyDescent="0.25">
      <c r="R260" s="511"/>
      <c r="S260" s="511"/>
      <c r="T260" s="511"/>
      <c r="U260" s="511"/>
      <c r="V260" s="511"/>
      <c r="W260" s="511"/>
      <c r="X260" s="511"/>
      <c r="Y260" s="511"/>
      <c r="Z260" s="511"/>
      <c r="AA260" s="511"/>
      <c r="AB260" s="511"/>
      <c r="AC260" s="511"/>
      <c r="AD260" s="511"/>
      <c r="BB260" s="609"/>
      <c r="BC260" s="610"/>
      <c r="BD260" s="610"/>
      <c r="BE260" s="609"/>
      <c r="BF260" s="609"/>
    </row>
    <row r="261" spans="18:58" x14ac:dyDescent="0.25">
      <c r="R261" s="511"/>
      <c r="S261" s="511"/>
      <c r="T261" s="511"/>
      <c r="U261" s="511"/>
      <c r="V261" s="511"/>
      <c r="W261" s="511"/>
      <c r="X261" s="511"/>
      <c r="Y261" s="511"/>
      <c r="Z261" s="511"/>
      <c r="AA261" s="511"/>
      <c r="AB261" s="511"/>
      <c r="AC261" s="511"/>
      <c r="AD261" s="511"/>
      <c r="BB261" s="609"/>
      <c r="BC261" s="610"/>
      <c r="BD261" s="610"/>
      <c r="BE261" s="609"/>
      <c r="BF261" s="609"/>
    </row>
    <row r="262" spans="18:58" x14ac:dyDescent="0.25">
      <c r="R262" s="511"/>
      <c r="S262" s="511"/>
      <c r="T262" s="511"/>
      <c r="U262" s="511"/>
      <c r="V262" s="511"/>
      <c r="W262" s="511"/>
      <c r="X262" s="511"/>
      <c r="Y262" s="511"/>
      <c r="Z262" s="511"/>
      <c r="AA262" s="511"/>
      <c r="AB262" s="511"/>
      <c r="AC262" s="511"/>
      <c r="AD262" s="511"/>
      <c r="BB262" s="609"/>
      <c r="BC262" s="610"/>
      <c r="BD262" s="610"/>
      <c r="BE262" s="609"/>
      <c r="BF262" s="609"/>
    </row>
    <row r="263" spans="18:58" x14ac:dyDescent="0.25">
      <c r="R263" s="511"/>
      <c r="S263" s="511"/>
      <c r="T263" s="511"/>
      <c r="U263" s="511"/>
      <c r="V263" s="511"/>
      <c r="W263" s="511"/>
      <c r="X263" s="511"/>
      <c r="Y263" s="511"/>
      <c r="Z263" s="511"/>
      <c r="AA263" s="511"/>
      <c r="AB263" s="511"/>
      <c r="AC263" s="511"/>
      <c r="AD263" s="511"/>
      <c r="BB263" s="609"/>
      <c r="BC263" s="610"/>
      <c r="BD263" s="610"/>
      <c r="BE263" s="609"/>
      <c r="BF263" s="609"/>
    </row>
    <row r="264" spans="18:58" x14ac:dyDescent="0.25">
      <c r="R264" s="511"/>
      <c r="S264" s="511"/>
      <c r="T264" s="511"/>
      <c r="U264" s="511"/>
      <c r="V264" s="511"/>
      <c r="W264" s="511"/>
      <c r="X264" s="511"/>
      <c r="Y264" s="511"/>
      <c r="Z264" s="511"/>
      <c r="AA264" s="511"/>
      <c r="AB264" s="511"/>
      <c r="AC264" s="511"/>
      <c r="AD264" s="511"/>
      <c r="BB264" s="609"/>
      <c r="BC264" s="610"/>
      <c r="BD264" s="610"/>
      <c r="BE264" s="609"/>
      <c r="BF264" s="609"/>
    </row>
    <row r="265" spans="18:58" x14ac:dyDescent="0.25">
      <c r="R265" s="511"/>
      <c r="S265" s="511"/>
      <c r="T265" s="511"/>
      <c r="U265" s="511"/>
      <c r="V265" s="511"/>
      <c r="W265" s="511"/>
      <c r="X265" s="511"/>
      <c r="Y265" s="511"/>
      <c r="Z265" s="511"/>
      <c r="AA265" s="511"/>
      <c r="AB265" s="511"/>
      <c r="AC265" s="511"/>
      <c r="AD265" s="511"/>
      <c r="BB265" s="609"/>
      <c r="BC265" s="610"/>
      <c r="BD265" s="610"/>
      <c r="BE265" s="609"/>
      <c r="BF265" s="609"/>
    </row>
    <row r="266" spans="18:58" x14ac:dyDescent="0.25">
      <c r="R266" s="511"/>
      <c r="S266" s="511"/>
      <c r="T266" s="511"/>
      <c r="U266" s="511"/>
      <c r="V266" s="511"/>
      <c r="W266" s="511"/>
      <c r="X266" s="511"/>
      <c r="Y266" s="511"/>
      <c r="Z266" s="511"/>
      <c r="AA266" s="511"/>
      <c r="AB266" s="511"/>
      <c r="AC266" s="511"/>
      <c r="AD266" s="511"/>
      <c r="BB266" s="609"/>
      <c r="BC266" s="610"/>
      <c r="BD266" s="610"/>
      <c r="BE266" s="609"/>
      <c r="BF266" s="609"/>
    </row>
    <row r="267" spans="18:58" x14ac:dyDescent="0.25">
      <c r="R267" s="511"/>
      <c r="S267" s="511"/>
      <c r="T267" s="511"/>
      <c r="U267" s="511"/>
      <c r="V267" s="511"/>
      <c r="W267" s="511"/>
      <c r="X267" s="511"/>
      <c r="Y267" s="511"/>
      <c r="Z267" s="511"/>
      <c r="AA267" s="511"/>
      <c r="AB267" s="511"/>
      <c r="AC267" s="511"/>
      <c r="AD267" s="511"/>
      <c r="BB267" s="609"/>
      <c r="BC267" s="610"/>
      <c r="BD267" s="610"/>
      <c r="BE267" s="609"/>
      <c r="BF267" s="609"/>
    </row>
    <row r="268" spans="18:58" x14ac:dyDescent="0.25">
      <c r="R268" s="511"/>
      <c r="S268" s="511"/>
      <c r="T268" s="511"/>
      <c r="U268" s="511"/>
      <c r="V268" s="511"/>
      <c r="W268" s="511"/>
      <c r="X268" s="511"/>
      <c r="Y268" s="511"/>
      <c r="Z268" s="511"/>
      <c r="AA268" s="511"/>
      <c r="AB268" s="511"/>
      <c r="AC268" s="511"/>
      <c r="AD268" s="511"/>
      <c r="BB268" s="609"/>
      <c r="BC268" s="610"/>
      <c r="BD268" s="610"/>
      <c r="BE268" s="609"/>
      <c r="BF268" s="609"/>
    </row>
    <row r="269" spans="18:58" x14ac:dyDescent="0.25">
      <c r="R269" s="511"/>
      <c r="S269" s="511"/>
      <c r="T269" s="511"/>
      <c r="U269" s="511"/>
      <c r="V269" s="511"/>
      <c r="W269" s="511"/>
      <c r="X269" s="511"/>
      <c r="Y269" s="511"/>
      <c r="Z269" s="511"/>
      <c r="AA269" s="511"/>
      <c r="AB269" s="511"/>
      <c r="AC269" s="511"/>
      <c r="AD269" s="511"/>
      <c r="BB269" s="609"/>
      <c r="BC269" s="610"/>
      <c r="BD269" s="610"/>
      <c r="BE269" s="609"/>
      <c r="BF269" s="609"/>
    </row>
    <row r="270" spans="18:58" x14ac:dyDescent="0.25">
      <c r="R270" s="511"/>
      <c r="S270" s="511"/>
      <c r="T270" s="511"/>
      <c r="U270" s="511"/>
      <c r="V270" s="511"/>
      <c r="W270" s="511"/>
      <c r="X270" s="511"/>
      <c r="Y270" s="511"/>
      <c r="Z270" s="511"/>
      <c r="AA270" s="511"/>
      <c r="AB270" s="511"/>
      <c r="AC270" s="511"/>
      <c r="AD270" s="511"/>
      <c r="BB270" s="609"/>
      <c r="BC270" s="610"/>
      <c r="BD270" s="610"/>
      <c r="BE270" s="609"/>
      <c r="BF270" s="609"/>
    </row>
    <row r="271" spans="18:58" x14ac:dyDescent="0.25">
      <c r="R271" s="511"/>
      <c r="S271" s="511"/>
      <c r="T271" s="511"/>
      <c r="U271" s="511"/>
      <c r="V271" s="511"/>
      <c r="W271" s="511"/>
      <c r="X271" s="511"/>
      <c r="Y271" s="511"/>
      <c r="Z271" s="511"/>
      <c r="AA271" s="511"/>
      <c r="AB271" s="511"/>
      <c r="AC271" s="511"/>
      <c r="AD271" s="511"/>
      <c r="BB271" s="609"/>
      <c r="BC271" s="610"/>
      <c r="BD271" s="610"/>
      <c r="BE271" s="609"/>
      <c r="BF271" s="609"/>
    </row>
    <row r="272" spans="18:58" x14ac:dyDescent="0.25">
      <c r="R272" s="511"/>
      <c r="S272" s="511"/>
      <c r="T272" s="511"/>
      <c r="U272" s="511"/>
      <c r="V272" s="511"/>
      <c r="W272" s="511"/>
      <c r="X272" s="511"/>
      <c r="Y272" s="511"/>
      <c r="Z272" s="511"/>
      <c r="AA272" s="511"/>
      <c r="AB272" s="511"/>
      <c r="AC272" s="511"/>
      <c r="AD272" s="511"/>
      <c r="BB272" s="609"/>
      <c r="BC272" s="610"/>
      <c r="BD272" s="610"/>
      <c r="BE272" s="609"/>
      <c r="BF272" s="609"/>
    </row>
    <row r="273" spans="18:58" x14ac:dyDescent="0.25">
      <c r="R273" s="511"/>
      <c r="S273" s="511"/>
      <c r="T273" s="511"/>
      <c r="U273" s="511"/>
      <c r="V273" s="511"/>
      <c r="W273" s="511"/>
      <c r="X273" s="511"/>
      <c r="Y273" s="511"/>
      <c r="Z273" s="511"/>
      <c r="AA273" s="511"/>
      <c r="AB273" s="511"/>
      <c r="AC273" s="511"/>
      <c r="AD273" s="511"/>
      <c r="BB273" s="609"/>
      <c r="BC273" s="610"/>
      <c r="BD273" s="610"/>
      <c r="BE273" s="609"/>
      <c r="BF273" s="609"/>
    </row>
    <row r="274" spans="18:58" x14ac:dyDescent="0.25">
      <c r="R274" s="511"/>
      <c r="S274" s="511"/>
      <c r="T274" s="511"/>
      <c r="U274" s="511"/>
      <c r="V274" s="511"/>
      <c r="W274" s="511"/>
      <c r="X274" s="511"/>
      <c r="Y274" s="511"/>
      <c r="Z274" s="511"/>
      <c r="AA274" s="511"/>
      <c r="AB274" s="511"/>
      <c r="AC274" s="511"/>
      <c r="AD274" s="511"/>
      <c r="BB274" s="609"/>
      <c r="BC274" s="610"/>
      <c r="BD274" s="610"/>
      <c r="BE274" s="609"/>
      <c r="BF274" s="609"/>
    </row>
    <row r="275" spans="18:58" x14ac:dyDescent="0.25">
      <c r="R275" s="511"/>
      <c r="S275" s="511"/>
      <c r="T275" s="511"/>
      <c r="U275" s="511"/>
      <c r="V275" s="511"/>
      <c r="W275" s="511"/>
      <c r="X275" s="511"/>
      <c r="Y275" s="511"/>
      <c r="Z275" s="511"/>
      <c r="AA275" s="511"/>
      <c r="AB275" s="511"/>
      <c r="AC275" s="511"/>
      <c r="AD275" s="511"/>
      <c r="BB275" s="609"/>
      <c r="BC275" s="610"/>
      <c r="BD275" s="610"/>
      <c r="BE275" s="609"/>
      <c r="BF275" s="609"/>
    </row>
    <row r="276" spans="18:58" x14ac:dyDescent="0.25">
      <c r="R276" s="511"/>
      <c r="S276" s="511"/>
      <c r="T276" s="511"/>
      <c r="U276" s="511"/>
      <c r="V276" s="511"/>
      <c r="W276" s="511"/>
      <c r="X276" s="511"/>
      <c r="Y276" s="511"/>
      <c r="Z276" s="511"/>
      <c r="AA276" s="511"/>
      <c r="AB276" s="511"/>
      <c r="AC276" s="511"/>
      <c r="AD276" s="511"/>
      <c r="BB276" s="609"/>
      <c r="BC276" s="610"/>
      <c r="BD276" s="610"/>
      <c r="BE276" s="609"/>
      <c r="BF276" s="609"/>
    </row>
    <row r="277" spans="18:58" x14ac:dyDescent="0.25">
      <c r="R277" s="511"/>
      <c r="S277" s="511"/>
      <c r="T277" s="511"/>
      <c r="U277" s="511"/>
      <c r="V277" s="511"/>
      <c r="W277" s="511"/>
      <c r="X277" s="511"/>
      <c r="Y277" s="511"/>
      <c r="Z277" s="511"/>
      <c r="AA277" s="511"/>
      <c r="AB277" s="511"/>
      <c r="AC277" s="511"/>
      <c r="AD277" s="511"/>
      <c r="BB277" s="6"/>
      <c r="BC277" s="6"/>
    </row>
    <row r="278" spans="18:58" x14ac:dyDescent="0.25">
      <c r="R278" s="511"/>
      <c r="S278" s="511"/>
      <c r="T278" s="511"/>
      <c r="U278" s="511"/>
      <c r="V278" s="511"/>
      <c r="W278" s="511"/>
      <c r="X278" s="511"/>
      <c r="Y278" s="511"/>
      <c r="Z278" s="511"/>
      <c r="AA278" s="511"/>
      <c r="AB278" s="511"/>
      <c r="AC278" s="511"/>
      <c r="AD278" s="511"/>
      <c r="BB278" s="6"/>
      <c r="BC278" s="6"/>
    </row>
    <row r="279" spans="18:58" x14ac:dyDescent="0.25">
      <c r="R279" s="511"/>
      <c r="S279" s="511"/>
      <c r="T279" s="511"/>
      <c r="U279" s="511"/>
      <c r="V279" s="511"/>
      <c r="W279" s="511"/>
      <c r="X279" s="511"/>
      <c r="Y279" s="511"/>
      <c r="Z279" s="511"/>
      <c r="AA279" s="511"/>
      <c r="AB279" s="511"/>
      <c r="AC279" s="511"/>
      <c r="AD279" s="511"/>
      <c r="BB279" s="6"/>
      <c r="BC279" s="6"/>
      <c r="BD279" s="6"/>
      <c r="BE279" s="6"/>
      <c r="BF279" s="6"/>
    </row>
    <row r="280" spans="18:58" x14ac:dyDescent="0.25">
      <c r="R280" s="511"/>
      <c r="S280" s="511"/>
      <c r="T280" s="511"/>
      <c r="U280" s="511"/>
      <c r="V280" s="511"/>
      <c r="W280" s="511"/>
      <c r="X280" s="511"/>
      <c r="Y280" s="511"/>
      <c r="Z280" s="511"/>
      <c r="AA280" s="511"/>
      <c r="AB280" s="511"/>
      <c r="AC280" s="511"/>
      <c r="AD280" s="511"/>
      <c r="BB280" s="6"/>
      <c r="BC280" s="6"/>
      <c r="BD280" s="6"/>
      <c r="BE280" s="6"/>
      <c r="BF280" s="6"/>
    </row>
    <row r="281" spans="18:58" x14ac:dyDescent="0.25">
      <c r="R281" s="511"/>
      <c r="S281" s="511"/>
      <c r="T281" s="511"/>
      <c r="U281" s="511"/>
      <c r="V281" s="511"/>
      <c r="W281" s="511"/>
      <c r="X281" s="511"/>
      <c r="Y281" s="511"/>
      <c r="Z281" s="511"/>
      <c r="AA281" s="511"/>
      <c r="AB281" s="511"/>
      <c r="AC281" s="511"/>
      <c r="AD281" s="511"/>
      <c r="BB281" s="6"/>
      <c r="BC281" s="6"/>
      <c r="BD281" s="6"/>
      <c r="BE281" s="6"/>
      <c r="BF281" s="6"/>
    </row>
    <row r="282" spans="18:58" x14ac:dyDescent="0.25">
      <c r="R282" s="511"/>
      <c r="S282" s="511"/>
      <c r="T282" s="511"/>
      <c r="U282" s="511"/>
      <c r="V282" s="511"/>
      <c r="W282" s="511"/>
      <c r="X282" s="511"/>
      <c r="Y282" s="511"/>
      <c r="Z282" s="511"/>
      <c r="AA282" s="511"/>
      <c r="AB282" s="511"/>
      <c r="AC282" s="511"/>
      <c r="AD282" s="511"/>
      <c r="BB282" s="6"/>
      <c r="BC282" s="6"/>
      <c r="BD282" s="6"/>
      <c r="BE282" s="6"/>
      <c r="BF282" s="6"/>
    </row>
    <row r="283" spans="18:58" x14ac:dyDescent="0.25">
      <c r="R283" s="511"/>
      <c r="S283" s="511"/>
      <c r="T283" s="511"/>
      <c r="U283" s="511"/>
      <c r="V283" s="511"/>
      <c r="W283" s="511"/>
      <c r="X283" s="511"/>
      <c r="Y283" s="511"/>
      <c r="Z283" s="511"/>
      <c r="AA283" s="511"/>
      <c r="AB283" s="511"/>
      <c r="AC283" s="511"/>
      <c r="AD283" s="511"/>
      <c r="BB283" s="6"/>
      <c r="BC283" s="6"/>
    </row>
    <row r="284" spans="18:58" x14ac:dyDescent="0.25">
      <c r="R284" s="511"/>
      <c r="S284" s="511"/>
      <c r="T284" s="511"/>
      <c r="U284" s="511"/>
      <c r="V284" s="511"/>
      <c r="W284" s="511"/>
      <c r="X284" s="511"/>
      <c r="Y284" s="511"/>
      <c r="Z284" s="511"/>
      <c r="AA284" s="511"/>
      <c r="AB284" s="511"/>
      <c r="AC284" s="511"/>
      <c r="AD284" s="511"/>
      <c r="BB284" s="6"/>
      <c r="BC284" s="6"/>
    </row>
    <row r="285" spans="18:58" x14ac:dyDescent="0.25">
      <c r="R285" s="511"/>
      <c r="S285" s="511"/>
      <c r="T285" s="511"/>
      <c r="U285" s="511"/>
      <c r="V285" s="511"/>
      <c r="W285" s="511"/>
      <c r="X285" s="511"/>
      <c r="Y285" s="511"/>
      <c r="Z285" s="511"/>
      <c r="AA285" s="511"/>
      <c r="AB285" s="511"/>
      <c r="AC285" s="511"/>
      <c r="AD285" s="511"/>
      <c r="BB285" s="6"/>
      <c r="BC285" s="6"/>
    </row>
    <row r="286" spans="18:58" x14ac:dyDescent="0.25">
      <c r="R286" s="511"/>
      <c r="S286" s="511"/>
      <c r="T286" s="511"/>
      <c r="U286" s="511"/>
      <c r="V286" s="511"/>
      <c r="W286" s="511"/>
      <c r="X286" s="511"/>
      <c r="Y286" s="511"/>
      <c r="Z286" s="511"/>
      <c r="AA286" s="511"/>
      <c r="AB286" s="511"/>
      <c r="AC286" s="511"/>
      <c r="AD286" s="511"/>
      <c r="BB286" s="6"/>
      <c r="BC286" s="6"/>
    </row>
    <row r="287" spans="18:58" x14ac:dyDescent="0.25">
      <c r="R287" s="511"/>
      <c r="S287" s="511"/>
      <c r="T287" s="511"/>
      <c r="U287" s="511"/>
      <c r="V287" s="511"/>
      <c r="W287" s="511"/>
      <c r="X287" s="511"/>
      <c r="Y287" s="511"/>
      <c r="Z287" s="511"/>
      <c r="AA287" s="511"/>
      <c r="AB287" s="511"/>
      <c r="AC287" s="511"/>
      <c r="AD287" s="511"/>
      <c r="BB287" s="6"/>
      <c r="BC287" s="6"/>
    </row>
    <row r="288" spans="18:58" x14ac:dyDescent="0.25">
      <c r="R288" s="511"/>
      <c r="S288" s="511"/>
      <c r="T288" s="511"/>
      <c r="U288" s="511"/>
      <c r="V288" s="511"/>
      <c r="W288" s="511"/>
      <c r="X288" s="511"/>
      <c r="Y288" s="511"/>
      <c r="Z288" s="511"/>
      <c r="AA288" s="511"/>
      <c r="AB288" s="511"/>
      <c r="AC288" s="511"/>
      <c r="AD288" s="511"/>
    </row>
    <row r="289" spans="18:30" x14ac:dyDescent="0.25">
      <c r="R289" s="511"/>
      <c r="S289" s="511"/>
      <c r="T289" s="511"/>
      <c r="U289" s="511"/>
      <c r="V289" s="511"/>
      <c r="W289" s="511"/>
      <c r="X289" s="511"/>
      <c r="Y289" s="511"/>
      <c r="Z289" s="511"/>
      <c r="AA289" s="511"/>
      <c r="AB289" s="511"/>
      <c r="AC289" s="511"/>
      <c r="AD289" s="511"/>
    </row>
    <row r="290" spans="18:30" x14ac:dyDescent="0.25">
      <c r="R290" s="511"/>
      <c r="S290" s="511"/>
      <c r="T290" s="511"/>
      <c r="U290" s="511"/>
      <c r="V290" s="511"/>
      <c r="W290" s="511"/>
      <c r="X290" s="511"/>
      <c r="Y290" s="511"/>
      <c r="Z290" s="511"/>
      <c r="AA290" s="511"/>
      <c r="AB290" s="511"/>
      <c r="AC290" s="511"/>
      <c r="AD290" s="511"/>
    </row>
    <row r="291" spans="18:30" x14ac:dyDescent="0.25">
      <c r="R291" s="511"/>
      <c r="S291" s="511"/>
      <c r="T291" s="511"/>
      <c r="U291" s="511"/>
      <c r="V291" s="511"/>
      <c r="W291" s="511"/>
      <c r="X291" s="511"/>
      <c r="Y291" s="511"/>
      <c r="Z291" s="511"/>
      <c r="AA291" s="511"/>
      <c r="AB291" s="511"/>
      <c r="AC291" s="511"/>
      <c r="AD291" s="511"/>
    </row>
    <row r="292" spans="18:30" x14ac:dyDescent="0.25">
      <c r="R292" s="511"/>
      <c r="S292" s="511"/>
      <c r="T292" s="511"/>
      <c r="U292" s="511"/>
      <c r="V292" s="511"/>
      <c r="W292" s="511"/>
      <c r="X292" s="511"/>
      <c r="Y292" s="511"/>
      <c r="Z292" s="511"/>
      <c r="AA292" s="511"/>
      <c r="AB292" s="511"/>
      <c r="AC292" s="511"/>
      <c r="AD292" s="511"/>
    </row>
    <row r="293" spans="18:30" x14ac:dyDescent="0.25">
      <c r="R293" s="511"/>
      <c r="S293" s="511"/>
      <c r="T293" s="511"/>
      <c r="U293" s="511"/>
      <c r="V293" s="511"/>
      <c r="W293" s="511"/>
      <c r="X293" s="511"/>
      <c r="Y293" s="511"/>
      <c r="Z293" s="511"/>
      <c r="AA293" s="511"/>
      <c r="AB293" s="511"/>
      <c r="AC293" s="511"/>
      <c r="AD293" s="511"/>
    </row>
    <row r="294" spans="18:30" x14ac:dyDescent="0.25">
      <c r="R294" s="511"/>
      <c r="S294" s="511"/>
      <c r="T294" s="511"/>
      <c r="U294" s="511"/>
      <c r="V294" s="511"/>
      <c r="W294" s="511"/>
      <c r="X294" s="511"/>
      <c r="Y294" s="511"/>
      <c r="Z294" s="511"/>
      <c r="AA294" s="511"/>
      <c r="AB294" s="511"/>
      <c r="AC294" s="511"/>
      <c r="AD294" s="511"/>
    </row>
    <row r="295" spans="18:30" x14ac:dyDescent="0.25">
      <c r="R295" s="511"/>
      <c r="S295" s="511"/>
      <c r="T295" s="511"/>
      <c r="U295" s="511"/>
      <c r="V295" s="511"/>
      <c r="W295" s="511"/>
      <c r="X295" s="511"/>
      <c r="Y295" s="511"/>
      <c r="Z295" s="511"/>
      <c r="AA295" s="511"/>
      <c r="AB295" s="511"/>
      <c r="AC295" s="511"/>
      <c r="AD295" s="511"/>
    </row>
    <row r="296" spans="18:30" x14ac:dyDescent="0.25">
      <c r="R296" s="511"/>
      <c r="S296" s="511"/>
      <c r="T296" s="511"/>
      <c r="U296" s="511"/>
      <c r="V296" s="511"/>
      <c r="W296" s="511"/>
      <c r="X296" s="511"/>
      <c r="Y296" s="511"/>
      <c r="Z296" s="511"/>
      <c r="AA296" s="511"/>
      <c r="AB296" s="511"/>
      <c r="AC296" s="511"/>
      <c r="AD296" s="511"/>
    </row>
    <row r="297" spans="18:30" x14ac:dyDescent="0.25">
      <c r="R297" s="511"/>
      <c r="S297" s="511"/>
      <c r="T297" s="511"/>
      <c r="U297" s="511"/>
      <c r="V297" s="511"/>
      <c r="W297" s="511"/>
      <c r="X297" s="511"/>
      <c r="Y297" s="511"/>
      <c r="Z297" s="511"/>
      <c r="AA297" s="511"/>
      <c r="AB297" s="511"/>
      <c r="AC297" s="511"/>
      <c r="AD297" s="511"/>
    </row>
    <row r="298" spans="18:30" x14ac:dyDescent="0.25">
      <c r="R298" s="511"/>
      <c r="S298" s="511"/>
      <c r="T298" s="511"/>
      <c r="U298" s="511"/>
      <c r="V298" s="511"/>
      <c r="W298" s="511"/>
      <c r="X298" s="511"/>
      <c r="Y298" s="511"/>
      <c r="Z298" s="511"/>
      <c r="AA298" s="511"/>
      <c r="AB298" s="511"/>
      <c r="AC298" s="511"/>
      <c r="AD298" s="511"/>
    </row>
    <row r="299" spans="18:30" x14ac:dyDescent="0.25">
      <c r="R299" s="511"/>
      <c r="S299" s="511"/>
      <c r="T299" s="511"/>
      <c r="U299" s="511"/>
      <c r="V299" s="511"/>
      <c r="W299" s="511"/>
      <c r="X299" s="511"/>
      <c r="Y299" s="511"/>
      <c r="Z299" s="511"/>
      <c r="AA299" s="511"/>
      <c r="AB299" s="511"/>
      <c r="AC299" s="511"/>
      <c r="AD299" s="511"/>
    </row>
    <row r="300" spans="18:30" x14ac:dyDescent="0.25">
      <c r="R300" s="511"/>
      <c r="S300" s="511"/>
      <c r="T300" s="511"/>
      <c r="U300" s="511"/>
      <c r="V300" s="511"/>
      <c r="W300" s="511"/>
      <c r="X300" s="511"/>
      <c r="Y300" s="511"/>
      <c r="Z300" s="511"/>
      <c r="AA300" s="511"/>
      <c r="AB300" s="511"/>
      <c r="AC300" s="511"/>
      <c r="AD300" s="511"/>
    </row>
    <row r="301" spans="18:30" x14ac:dyDescent="0.25">
      <c r="R301" s="511"/>
      <c r="S301" s="511"/>
      <c r="T301" s="511"/>
      <c r="U301" s="511"/>
      <c r="V301" s="511"/>
      <c r="W301" s="511"/>
      <c r="X301" s="511"/>
      <c r="Y301" s="511"/>
      <c r="Z301" s="511"/>
      <c r="AA301" s="511"/>
      <c r="AB301" s="511"/>
      <c r="AC301" s="511"/>
      <c r="AD301" s="511"/>
    </row>
    <row r="302" spans="18:30" x14ac:dyDescent="0.25">
      <c r="R302" s="511"/>
      <c r="S302" s="511"/>
      <c r="T302" s="511"/>
      <c r="U302" s="511"/>
      <c r="V302" s="511"/>
      <c r="W302" s="511"/>
      <c r="X302" s="511"/>
      <c r="Y302" s="511"/>
      <c r="Z302" s="511"/>
      <c r="AA302" s="511"/>
      <c r="AB302" s="511"/>
      <c r="AC302" s="511"/>
      <c r="AD302" s="511"/>
    </row>
    <row r="303" spans="18:30" x14ac:dyDescent="0.25">
      <c r="R303" s="511"/>
      <c r="S303" s="511"/>
      <c r="T303" s="511"/>
      <c r="U303" s="511"/>
      <c r="V303" s="511"/>
      <c r="W303" s="511"/>
      <c r="X303" s="511"/>
      <c r="Y303" s="511"/>
      <c r="Z303" s="511"/>
      <c r="AA303" s="511"/>
      <c r="AB303" s="511"/>
      <c r="AC303" s="511"/>
      <c r="AD303" s="511"/>
    </row>
    <row r="304" spans="18:30" x14ac:dyDescent="0.25">
      <c r="R304" s="511"/>
      <c r="S304" s="511"/>
      <c r="T304" s="511"/>
      <c r="U304" s="511"/>
      <c r="V304" s="511"/>
      <c r="W304" s="511"/>
      <c r="X304" s="511"/>
      <c r="Y304" s="511"/>
      <c r="Z304" s="511"/>
      <c r="AA304" s="511"/>
      <c r="AB304" s="511"/>
      <c r="AC304" s="511"/>
      <c r="AD304" s="511"/>
    </row>
    <row r="305" spans="18:30" x14ac:dyDescent="0.25">
      <c r="R305" s="511"/>
      <c r="S305" s="511"/>
      <c r="T305" s="511"/>
      <c r="U305" s="511"/>
      <c r="V305" s="511"/>
      <c r="W305" s="511"/>
      <c r="X305" s="511"/>
      <c r="Y305" s="511"/>
      <c r="Z305" s="511"/>
      <c r="AA305" s="511"/>
      <c r="AB305" s="511"/>
      <c r="AC305" s="511"/>
      <c r="AD305" s="511"/>
    </row>
    <row r="306" spans="18:30" x14ac:dyDescent="0.25">
      <c r="R306" s="511"/>
      <c r="S306" s="511"/>
      <c r="T306" s="511"/>
      <c r="U306" s="511"/>
      <c r="V306" s="511"/>
      <c r="W306" s="511"/>
      <c r="X306" s="511"/>
      <c r="Y306" s="511"/>
      <c r="Z306" s="511"/>
      <c r="AA306" s="511"/>
      <c r="AB306" s="511"/>
      <c r="AC306" s="511"/>
      <c r="AD306" s="511"/>
    </row>
    <row r="307" spans="18:30" x14ac:dyDescent="0.25">
      <c r="R307" s="511"/>
      <c r="S307" s="511"/>
      <c r="T307" s="511"/>
      <c r="U307" s="511"/>
      <c r="V307" s="511"/>
      <c r="W307" s="511"/>
      <c r="X307" s="511"/>
      <c r="Y307" s="511"/>
      <c r="Z307" s="511"/>
      <c r="AA307" s="511"/>
      <c r="AB307" s="511"/>
      <c r="AC307" s="511"/>
      <c r="AD307" s="511"/>
    </row>
    <row r="308" spans="18:30" x14ac:dyDescent="0.25">
      <c r="R308" s="511"/>
      <c r="S308" s="511"/>
      <c r="T308" s="511"/>
      <c r="U308" s="511"/>
      <c r="V308" s="511"/>
      <c r="W308" s="511"/>
      <c r="X308" s="511"/>
      <c r="Y308" s="511"/>
      <c r="Z308" s="511"/>
      <c r="AA308" s="511"/>
      <c r="AB308" s="511"/>
      <c r="AC308" s="511"/>
      <c r="AD308" s="511"/>
    </row>
    <row r="309" spans="18:30" x14ac:dyDescent="0.25">
      <c r="R309" s="511"/>
      <c r="S309" s="511"/>
      <c r="T309" s="511"/>
      <c r="U309" s="511"/>
      <c r="V309" s="511"/>
      <c r="W309" s="511"/>
      <c r="X309" s="511"/>
      <c r="Y309" s="511"/>
      <c r="Z309" s="511"/>
      <c r="AA309" s="511"/>
      <c r="AB309" s="511"/>
      <c r="AC309" s="511"/>
      <c r="AD309" s="511"/>
    </row>
    <row r="310" spans="18:30" x14ac:dyDescent="0.25">
      <c r="R310" s="511"/>
      <c r="S310" s="511"/>
      <c r="T310" s="511"/>
      <c r="U310" s="511"/>
      <c r="V310" s="511"/>
      <c r="W310" s="511"/>
      <c r="X310" s="511"/>
      <c r="Y310" s="511"/>
      <c r="Z310" s="511"/>
      <c r="AA310" s="511"/>
      <c r="AB310" s="511"/>
      <c r="AC310" s="511"/>
      <c r="AD310" s="511"/>
    </row>
    <row r="311" spans="18:30" x14ac:dyDescent="0.25">
      <c r="R311" s="511"/>
      <c r="S311" s="511"/>
      <c r="T311" s="511"/>
      <c r="U311" s="511"/>
      <c r="V311" s="511"/>
      <c r="W311" s="511"/>
      <c r="X311" s="511"/>
      <c r="Y311" s="511"/>
      <c r="Z311" s="511"/>
      <c r="AA311" s="511"/>
      <c r="AB311" s="511"/>
      <c r="AC311" s="511"/>
      <c r="AD311" s="511"/>
    </row>
    <row r="312" spans="18:30" x14ac:dyDescent="0.25">
      <c r="R312" s="511"/>
      <c r="S312" s="511"/>
      <c r="T312" s="511"/>
      <c r="U312" s="511"/>
      <c r="V312" s="511"/>
      <c r="W312" s="511"/>
      <c r="X312" s="511"/>
      <c r="Y312" s="511"/>
      <c r="Z312" s="511"/>
      <c r="AA312" s="511"/>
      <c r="AB312" s="511"/>
      <c r="AC312" s="511"/>
      <c r="AD312" s="511"/>
    </row>
    <row r="313" spans="18:30" x14ac:dyDescent="0.25">
      <c r="R313" s="511"/>
      <c r="S313" s="511"/>
      <c r="T313" s="511"/>
      <c r="U313" s="511"/>
      <c r="V313" s="511"/>
      <c r="W313" s="511"/>
      <c r="X313" s="511"/>
      <c r="Y313" s="511"/>
      <c r="Z313" s="511"/>
      <c r="AA313" s="511"/>
      <c r="AB313" s="511"/>
      <c r="AC313" s="511"/>
      <c r="AD313" s="511"/>
    </row>
    <row r="314" spans="18:30" x14ac:dyDescent="0.25">
      <c r="R314" s="511"/>
      <c r="S314" s="511"/>
      <c r="T314" s="511"/>
      <c r="U314" s="511"/>
      <c r="V314" s="511"/>
      <c r="W314" s="511"/>
      <c r="X314" s="511"/>
      <c r="Y314" s="511"/>
      <c r="Z314" s="511"/>
      <c r="AA314" s="511"/>
      <c r="AB314" s="511"/>
      <c r="AC314" s="511"/>
      <c r="AD314" s="511"/>
    </row>
    <row r="315" spans="18:30" x14ac:dyDescent="0.25">
      <c r="R315" s="511"/>
      <c r="S315" s="511"/>
      <c r="T315" s="511"/>
      <c r="U315" s="511"/>
      <c r="V315" s="511"/>
      <c r="W315" s="511"/>
      <c r="X315" s="511"/>
      <c r="Y315" s="511"/>
      <c r="Z315" s="511"/>
      <c r="AA315" s="511"/>
      <c r="AB315" s="511"/>
      <c r="AC315" s="511"/>
      <c r="AD315" s="511"/>
    </row>
    <row r="316" spans="18:30" x14ac:dyDescent="0.25">
      <c r="R316" s="511"/>
      <c r="S316" s="511"/>
      <c r="T316" s="511"/>
      <c r="U316" s="511"/>
      <c r="V316" s="511"/>
      <c r="W316" s="511"/>
      <c r="X316" s="511"/>
      <c r="Y316" s="511"/>
      <c r="Z316" s="511"/>
      <c r="AA316" s="511"/>
      <c r="AB316" s="511"/>
      <c r="AC316" s="511"/>
      <c r="AD316" s="511"/>
    </row>
    <row r="317" spans="18:30" x14ac:dyDescent="0.25">
      <c r="R317" s="511"/>
      <c r="S317" s="511"/>
      <c r="T317" s="511"/>
      <c r="U317" s="511"/>
      <c r="V317" s="511"/>
      <c r="W317" s="511"/>
      <c r="X317" s="511"/>
      <c r="Y317" s="511"/>
      <c r="Z317" s="511"/>
      <c r="AA317" s="511"/>
      <c r="AB317" s="511"/>
      <c r="AC317" s="511"/>
      <c r="AD317" s="511"/>
    </row>
    <row r="318" spans="18:30" x14ac:dyDescent="0.25">
      <c r="R318" s="511"/>
      <c r="S318" s="511"/>
      <c r="T318" s="511"/>
      <c r="U318" s="511"/>
      <c r="V318" s="511"/>
      <c r="W318" s="511"/>
      <c r="X318" s="511"/>
      <c r="Y318" s="511"/>
      <c r="Z318" s="511"/>
      <c r="AA318" s="511"/>
      <c r="AB318" s="511"/>
      <c r="AC318" s="511"/>
      <c r="AD318" s="511"/>
    </row>
    <row r="319" spans="18:30" x14ac:dyDescent="0.25">
      <c r="R319" s="511"/>
      <c r="S319" s="511"/>
      <c r="T319" s="511"/>
      <c r="U319" s="511"/>
      <c r="V319" s="511"/>
      <c r="W319" s="511"/>
      <c r="X319" s="511"/>
      <c r="Y319" s="511"/>
      <c r="Z319" s="511"/>
      <c r="AA319" s="511"/>
      <c r="AB319" s="511"/>
      <c r="AC319" s="511"/>
      <c r="AD319" s="511"/>
    </row>
    <row r="320" spans="18:30" x14ac:dyDescent="0.25">
      <c r="R320" s="511"/>
      <c r="S320" s="511"/>
      <c r="T320" s="511"/>
      <c r="U320" s="511"/>
      <c r="V320" s="511"/>
      <c r="W320" s="511"/>
      <c r="X320" s="511"/>
      <c r="Y320" s="511"/>
      <c r="Z320" s="511"/>
      <c r="AA320" s="511"/>
      <c r="AB320" s="511"/>
      <c r="AC320" s="511"/>
      <c r="AD320" s="511"/>
    </row>
    <row r="321" spans="18:30" x14ac:dyDescent="0.25">
      <c r="R321" s="511"/>
      <c r="S321" s="511"/>
      <c r="T321" s="511"/>
      <c r="U321" s="511"/>
      <c r="V321" s="511"/>
      <c r="W321" s="511"/>
      <c r="X321" s="511"/>
      <c r="Y321" s="511"/>
      <c r="Z321" s="511"/>
      <c r="AA321" s="511"/>
      <c r="AB321" s="511"/>
      <c r="AC321" s="511"/>
      <c r="AD321" s="511"/>
    </row>
    <row r="322" spans="18:30" x14ac:dyDescent="0.25">
      <c r="R322" s="511"/>
      <c r="S322" s="511"/>
      <c r="T322" s="511"/>
      <c r="U322" s="511"/>
      <c r="V322" s="511"/>
      <c r="W322" s="511"/>
      <c r="X322" s="511"/>
      <c r="Y322" s="511"/>
      <c r="Z322" s="511"/>
      <c r="AA322" s="511"/>
      <c r="AB322" s="511"/>
      <c r="AC322" s="511"/>
      <c r="AD322" s="511"/>
    </row>
    <row r="323" spans="18:30" x14ac:dyDescent="0.25">
      <c r="R323" s="511"/>
      <c r="S323" s="511"/>
      <c r="T323" s="511"/>
      <c r="U323" s="511"/>
      <c r="V323" s="511"/>
      <c r="W323" s="511"/>
      <c r="X323" s="511"/>
      <c r="Y323" s="511"/>
      <c r="Z323" s="511"/>
      <c r="AA323" s="511"/>
      <c r="AB323" s="511"/>
      <c r="AC323" s="511"/>
      <c r="AD323" s="511"/>
    </row>
    <row r="324" spans="18:30" x14ac:dyDescent="0.25">
      <c r="R324" s="511"/>
      <c r="S324" s="511"/>
      <c r="T324" s="511"/>
      <c r="U324" s="511"/>
      <c r="V324" s="511"/>
      <c r="W324" s="511"/>
      <c r="X324" s="511"/>
      <c r="Y324" s="511"/>
      <c r="Z324" s="511"/>
      <c r="AA324" s="511"/>
      <c r="AB324" s="511"/>
      <c r="AC324" s="511"/>
      <c r="AD324" s="511"/>
    </row>
    <row r="325" spans="18:30" x14ac:dyDescent="0.25">
      <c r="R325" s="511"/>
      <c r="S325" s="511"/>
      <c r="T325" s="511"/>
      <c r="U325" s="511"/>
      <c r="V325" s="511"/>
      <c r="W325" s="511"/>
      <c r="X325" s="511"/>
      <c r="Y325" s="511"/>
      <c r="Z325" s="511"/>
      <c r="AA325" s="511"/>
      <c r="AB325" s="511"/>
      <c r="AC325" s="511"/>
      <c r="AD325" s="511"/>
    </row>
    <row r="326" spans="18:30" x14ac:dyDescent="0.25">
      <c r="R326" s="511"/>
      <c r="S326" s="511"/>
      <c r="T326" s="511"/>
      <c r="U326" s="511"/>
      <c r="V326" s="511"/>
      <c r="W326" s="511"/>
      <c r="X326" s="511"/>
      <c r="Y326" s="511"/>
      <c r="Z326" s="511"/>
      <c r="AA326" s="511"/>
      <c r="AB326" s="511"/>
      <c r="AC326" s="511"/>
      <c r="AD326" s="511"/>
    </row>
    <row r="327" spans="18:30" x14ac:dyDescent="0.25">
      <c r="R327" s="511"/>
      <c r="S327" s="511"/>
      <c r="T327" s="511"/>
      <c r="U327" s="511"/>
      <c r="V327" s="511"/>
      <c r="W327" s="511"/>
      <c r="X327" s="511"/>
      <c r="Y327" s="511"/>
      <c r="Z327" s="511"/>
      <c r="AA327" s="511"/>
      <c r="AB327" s="511"/>
      <c r="AC327" s="511"/>
      <c r="AD327" s="511"/>
    </row>
    <row r="328" spans="18:30" x14ac:dyDescent="0.25">
      <c r="R328" s="511"/>
      <c r="S328" s="511"/>
      <c r="T328" s="511"/>
      <c r="U328" s="511"/>
      <c r="V328" s="511"/>
      <c r="W328" s="511"/>
      <c r="X328" s="511"/>
      <c r="Y328" s="511"/>
      <c r="Z328" s="511"/>
      <c r="AA328" s="511"/>
      <c r="AB328" s="511"/>
      <c r="AC328" s="511"/>
      <c r="AD328" s="511"/>
    </row>
    <row r="329" spans="18:30" x14ac:dyDescent="0.25">
      <c r="R329" s="511"/>
      <c r="S329" s="511"/>
      <c r="T329" s="511"/>
      <c r="U329" s="511"/>
      <c r="V329" s="511"/>
      <c r="W329" s="511"/>
      <c r="X329" s="511"/>
      <c r="Y329" s="511"/>
      <c r="Z329" s="511"/>
      <c r="AA329" s="511"/>
      <c r="AB329" s="511"/>
      <c r="AC329" s="511"/>
      <c r="AD329" s="511"/>
    </row>
    <row r="330" spans="18:30" x14ac:dyDescent="0.25">
      <c r="R330" s="511"/>
      <c r="S330" s="511"/>
      <c r="T330" s="511"/>
      <c r="U330" s="511"/>
      <c r="V330" s="511"/>
      <c r="W330" s="511"/>
      <c r="X330" s="511"/>
      <c r="Y330" s="511"/>
      <c r="Z330" s="511"/>
      <c r="AA330" s="511"/>
      <c r="AB330" s="511"/>
      <c r="AC330" s="511"/>
      <c r="AD330" s="511"/>
    </row>
    <row r="331" spans="18:30" x14ac:dyDescent="0.25">
      <c r="R331" s="511"/>
      <c r="S331" s="511"/>
      <c r="T331" s="511"/>
      <c r="U331" s="511"/>
      <c r="V331" s="511"/>
      <c r="W331" s="511"/>
      <c r="X331" s="511"/>
      <c r="Y331" s="511"/>
      <c r="Z331" s="511"/>
      <c r="AA331" s="511"/>
      <c r="AB331" s="511"/>
      <c r="AC331" s="511"/>
      <c r="AD331" s="511"/>
    </row>
    <row r="332" spans="18:30" x14ac:dyDescent="0.25">
      <c r="R332" s="511"/>
      <c r="S332" s="511"/>
      <c r="T332" s="511"/>
      <c r="U332" s="511"/>
      <c r="V332" s="511"/>
      <c r="W332" s="511"/>
      <c r="X332" s="511"/>
      <c r="Y332" s="511"/>
      <c r="Z332" s="511"/>
      <c r="AA332" s="511"/>
      <c r="AB332" s="511"/>
      <c r="AC332" s="511"/>
      <c r="AD332" s="511"/>
    </row>
    <row r="333" spans="18:30" x14ac:dyDescent="0.25">
      <c r="R333" s="511"/>
      <c r="S333" s="511"/>
      <c r="T333" s="511"/>
      <c r="U333" s="511"/>
      <c r="V333" s="511"/>
      <c r="W333" s="511"/>
      <c r="X333" s="511"/>
      <c r="Y333" s="511"/>
      <c r="Z333" s="511"/>
      <c r="AA333" s="511"/>
      <c r="AB333" s="511"/>
      <c r="AC333" s="511"/>
      <c r="AD333" s="511"/>
    </row>
    <row r="334" spans="18:30" x14ac:dyDescent="0.25">
      <c r="R334" s="511"/>
      <c r="S334" s="511"/>
      <c r="T334" s="511"/>
      <c r="U334" s="511"/>
      <c r="V334" s="511"/>
      <c r="W334" s="511"/>
      <c r="X334" s="511"/>
      <c r="Y334" s="511"/>
      <c r="Z334" s="511"/>
      <c r="AA334" s="511"/>
      <c r="AB334" s="511"/>
      <c r="AC334" s="511"/>
      <c r="AD334" s="511"/>
    </row>
    <row r="335" spans="18:30" x14ac:dyDescent="0.25">
      <c r="R335" s="511"/>
      <c r="S335" s="511"/>
      <c r="T335" s="511"/>
      <c r="U335" s="511"/>
      <c r="V335" s="511"/>
      <c r="W335" s="511"/>
      <c r="X335" s="511"/>
      <c r="Y335" s="511"/>
      <c r="Z335" s="511"/>
      <c r="AA335" s="511"/>
      <c r="AB335" s="511"/>
      <c r="AC335" s="511"/>
      <c r="AD335" s="511"/>
    </row>
    <row r="336" spans="18:30" x14ac:dyDescent="0.25">
      <c r="R336" s="511"/>
      <c r="S336" s="511"/>
      <c r="T336" s="511"/>
      <c r="U336" s="511"/>
      <c r="V336" s="511"/>
      <c r="W336" s="511"/>
      <c r="X336" s="511"/>
      <c r="Y336" s="511"/>
      <c r="Z336" s="511"/>
      <c r="AA336" s="511"/>
      <c r="AB336" s="511"/>
      <c r="AC336" s="511"/>
      <c r="AD336" s="511"/>
    </row>
    <row r="337" spans="18:30" x14ac:dyDescent="0.25">
      <c r="R337" s="511"/>
      <c r="S337" s="511"/>
      <c r="T337" s="511"/>
      <c r="U337" s="511"/>
      <c r="V337" s="511"/>
      <c r="W337" s="511"/>
      <c r="X337" s="511"/>
      <c r="Y337" s="511"/>
      <c r="Z337" s="511"/>
      <c r="AA337" s="511"/>
      <c r="AB337" s="511"/>
      <c r="AC337" s="511"/>
      <c r="AD337" s="511"/>
    </row>
    <row r="338" spans="18:30" x14ac:dyDescent="0.25">
      <c r="R338" s="511"/>
      <c r="S338" s="511"/>
      <c r="T338" s="511"/>
      <c r="U338" s="511"/>
      <c r="V338" s="511"/>
      <c r="W338" s="511"/>
      <c r="X338" s="511"/>
      <c r="Y338" s="511"/>
      <c r="Z338" s="511"/>
      <c r="AA338" s="511"/>
      <c r="AB338" s="511"/>
      <c r="AC338" s="511"/>
      <c r="AD338" s="511"/>
    </row>
    <row r="339" spans="18:30" x14ac:dyDescent="0.25">
      <c r="R339" s="511"/>
      <c r="S339" s="511"/>
      <c r="T339" s="511"/>
      <c r="U339" s="511"/>
      <c r="V339" s="511"/>
      <c r="W339" s="511"/>
      <c r="X339" s="511"/>
      <c r="Y339" s="511"/>
      <c r="Z339" s="511"/>
      <c r="AA339" s="511"/>
      <c r="AB339" s="511"/>
      <c r="AC339" s="511"/>
      <c r="AD339" s="511"/>
    </row>
    <row r="340" spans="18:30" x14ac:dyDescent="0.25">
      <c r="R340" s="511"/>
      <c r="S340" s="511"/>
      <c r="T340" s="511"/>
      <c r="U340" s="511"/>
      <c r="V340" s="511"/>
      <c r="W340" s="511"/>
      <c r="X340" s="511"/>
      <c r="Y340" s="511"/>
      <c r="Z340" s="511"/>
      <c r="AA340" s="511"/>
      <c r="AB340" s="511"/>
      <c r="AC340" s="511"/>
      <c r="AD340" s="511"/>
    </row>
    <row r="341" spans="18:30" x14ac:dyDescent="0.25">
      <c r="R341" s="511"/>
      <c r="S341" s="511"/>
      <c r="T341" s="511"/>
      <c r="U341" s="511"/>
      <c r="V341" s="511"/>
      <c r="W341" s="511"/>
      <c r="X341" s="511"/>
      <c r="Y341" s="511"/>
      <c r="Z341" s="511"/>
      <c r="AA341" s="511"/>
      <c r="AB341" s="511"/>
      <c r="AC341" s="511"/>
      <c r="AD341" s="511"/>
    </row>
    <row r="342" spans="18:30" x14ac:dyDescent="0.25">
      <c r="R342" s="511"/>
      <c r="S342" s="511"/>
      <c r="T342" s="511"/>
      <c r="U342" s="511"/>
      <c r="V342" s="511"/>
      <c r="W342" s="511"/>
      <c r="X342" s="511"/>
      <c r="Y342" s="511"/>
      <c r="Z342" s="511"/>
      <c r="AA342" s="511"/>
      <c r="AB342" s="511"/>
      <c r="AC342" s="511"/>
      <c r="AD342" s="511"/>
    </row>
    <row r="343" spans="18:30" x14ac:dyDescent="0.25">
      <c r="R343" s="511"/>
      <c r="S343" s="511"/>
      <c r="T343" s="511"/>
      <c r="U343" s="511"/>
      <c r="V343" s="511"/>
      <c r="W343" s="511"/>
      <c r="X343" s="511"/>
      <c r="Y343" s="511"/>
      <c r="Z343" s="511"/>
      <c r="AA343" s="511"/>
      <c r="AB343" s="511"/>
      <c r="AC343" s="511"/>
      <c r="AD343" s="511"/>
    </row>
    <row r="344" spans="18:30" x14ac:dyDescent="0.25">
      <c r="R344" s="511"/>
      <c r="S344" s="511"/>
      <c r="T344" s="511"/>
      <c r="U344" s="511"/>
      <c r="V344" s="511"/>
      <c r="W344" s="511"/>
      <c r="X344" s="511"/>
      <c r="Y344" s="511"/>
      <c r="Z344" s="511"/>
      <c r="AA344" s="511"/>
      <c r="AB344" s="511"/>
      <c r="AC344" s="511"/>
      <c r="AD344" s="511"/>
    </row>
    <row r="345" spans="18:30" x14ac:dyDescent="0.25">
      <c r="R345" s="511"/>
      <c r="S345" s="511"/>
      <c r="T345" s="511"/>
      <c r="U345" s="511"/>
      <c r="V345" s="511"/>
      <c r="W345" s="511"/>
      <c r="X345" s="511"/>
      <c r="Y345" s="511"/>
      <c r="Z345" s="511"/>
      <c r="AA345" s="511"/>
      <c r="AB345" s="511"/>
      <c r="AC345" s="511"/>
      <c r="AD345" s="511"/>
    </row>
    <row r="346" spans="18:30" x14ac:dyDescent="0.25">
      <c r="R346" s="511"/>
      <c r="S346" s="511"/>
      <c r="T346" s="511"/>
      <c r="U346" s="511"/>
      <c r="V346" s="511"/>
      <c r="W346" s="511"/>
      <c r="X346" s="511"/>
      <c r="Y346" s="511"/>
      <c r="Z346" s="511"/>
      <c r="AA346" s="511"/>
      <c r="AB346" s="511"/>
      <c r="AC346" s="511"/>
      <c r="AD346" s="511"/>
    </row>
    <row r="347" spans="18:30" x14ac:dyDescent="0.25">
      <c r="R347" s="511"/>
      <c r="S347" s="511"/>
      <c r="T347" s="511"/>
      <c r="U347" s="511"/>
      <c r="V347" s="511"/>
      <c r="W347" s="511"/>
      <c r="X347" s="511"/>
      <c r="Y347" s="511"/>
      <c r="Z347" s="511"/>
      <c r="AA347" s="511"/>
      <c r="AB347" s="511"/>
      <c r="AC347" s="511"/>
      <c r="AD347" s="511"/>
    </row>
    <row r="348" spans="18:30" x14ac:dyDescent="0.25">
      <c r="R348" s="511"/>
      <c r="S348" s="511"/>
      <c r="T348" s="511"/>
      <c r="U348" s="511"/>
      <c r="V348" s="511"/>
      <c r="W348" s="511"/>
      <c r="X348" s="511"/>
      <c r="Y348" s="511"/>
      <c r="Z348" s="511"/>
      <c r="AA348" s="511"/>
      <c r="AB348" s="511"/>
      <c r="AC348" s="511"/>
      <c r="AD348" s="511"/>
    </row>
    <row r="349" spans="18:30" x14ac:dyDescent="0.25">
      <c r="R349" s="511"/>
      <c r="S349" s="511"/>
      <c r="T349" s="511"/>
      <c r="U349" s="511"/>
      <c r="V349" s="511"/>
      <c r="W349" s="511"/>
      <c r="X349" s="511"/>
      <c r="Y349" s="511"/>
      <c r="Z349" s="511"/>
      <c r="AA349" s="511"/>
      <c r="AB349" s="511"/>
      <c r="AC349" s="511"/>
      <c r="AD349" s="511"/>
    </row>
    <row r="350" spans="18:30" x14ac:dyDescent="0.25">
      <c r="R350" s="511"/>
      <c r="S350" s="511"/>
      <c r="T350" s="511"/>
      <c r="U350" s="511"/>
      <c r="V350" s="511"/>
      <c r="W350" s="511"/>
      <c r="X350" s="511"/>
      <c r="Y350" s="511"/>
      <c r="Z350" s="511"/>
      <c r="AA350" s="511"/>
      <c r="AB350" s="511"/>
      <c r="AC350" s="511"/>
      <c r="AD350" s="511"/>
    </row>
    <row r="351" spans="18:30" x14ac:dyDescent="0.25">
      <c r="R351" s="511"/>
      <c r="S351" s="511"/>
      <c r="T351" s="511"/>
      <c r="U351" s="511"/>
      <c r="V351" s="511"/>
      <c r="W351" s="511"/>
      <c r="X351" s="511"/>
      <c r="Y351" s="511"/>
      <c r="Z351" s="511"/>
      <c r="AA351" s="511"/>
      <c r="AB351" s="511"/>
      <c r="AC351" s="511"/>
      <c r="AD351" s="511"/>
    </row>
    <row r="352" spans="18:30" x14ac:dyDescent="0.25">
      <c r="R352" s="511"/>
      <c r="S352" s="511"/>
      <c r="T352" s="511"/>
      <c r="U352" s="511"/>
      <c r="V352" s="511"/>
      <c r="W352" s="511"/>
      <c r="X352" s="511"/>
      <c r="Y352" s="511"/>
      <c r="Z352" s="511"/>
      <c r="AA352" s="511"/>
      <c r="AB352" s="511"/>
      <c r="AC352" s="511"/>
      <c r="AD352" s="511"/>
    </row>
    <row r="353" spans="18:30" x14ac:dyDescent="0.25">
      <c r="R353" s="511"/>
      <c r="S353" s="511"/>
      <c r="T353" s="511"/>
      <c r="U353" s="511"/>
      <c r="V353" s="511"/>
      <c r="W353" s="511"/>
      <c r="X353" s="511"/>
      <c r="Y353" s="511"/>
      <c r="Z353" s="511"/>
      <c r="AA353" s="511"/>
      <c r="AB353" s="511"/>
      <c r="AC353" s="511"/>
      <c r="AD353" s="511"/>
    </row>
    <row r="354" spans="18:30" x14ac:dyDescent="0.25">
      <c r="R354" s="511"/>
      <c r="S354" s="511"/>
      <c r="T354" s="511"/>
      <c r="U354" s="511"/>
      <c r="V354" s="511"/>
      <c r="W354" s="511"/>
      <c r="X354" s="511"/>
      <c r="Y354" s="511"/>
      <c r="Z354" s="511"/>
      <c r="AA354" s="511"/>
      <c r="AB354" s="511"/>
      <c r="AC354" s="511"/>
      <c r="AD354" s="511"/>
    </row>
    <row r="355" spans="18:30" x14ac:dyDescent="0.25">
      <c r="R355" s="511"/>
      <c r="S355" s="511"/>
      <c r="T355" s="511"/>
      <c r="U355" s="511"/>
      <c r="V355" s="511"/>
      <c r="W355" s="511"/>
      <c r="X355" s="511"/>
      <c r="Y355" s="511"/>
      <c r="Z355" s="511"/>
      <c r="AA355" s="511"/>
      <c r="AB355" s="511"/>
      <c r="AC355" s="511"/>
      <c r="AD355" s="511"/>
    </row>
    <row r="356" spans="18:30" x14ac:dyDescent="0.25">
      <c r="R356" s="511"/>
      <c r="S356" s="511"/>
      <c r="T356" s="511"/>
      <c r="U356" s="511"/>
      <c r="V356" s="511"/>
      <c r="W356" s="511"/>
      <c r="X356" s="511"/>
      <c r="Y356" s="511"/>
      <c r="Z356" s="511"/>
      <c r="AA356" s="511"/>
      <c r="AB356" s="511"/>
      <c r="AC356" s="511"/>
      <c r="AD356" s="511"/>
    </row>
    <row r="357" spans="18:30" x14ac:dyDescent="0.25">
      <c r="R357" s="511"/>
      <c r="S357" s="511"/>
      <c r="T357" s="511"/>
      <c r="U357" s="511"/>
      <c r="V357" s="511"/>
      <c r="W357" s="511"/>
      <c r="X357" s="511"/>
      <c r="Y357" s="511"/>
      <c r="Z357" s="511"/>
      <c r="AA357" s="511"/>
      <c r="AB357" s="511"/>
      <c r="AC357" s="511"/>
      <c r="AD357" s="511"/>
    </row>
    <row r="358" spans="18:30" x14ac:dyDescent="0.25">
      <c r="R358" s="511"/>
      <c r="S358" s="511"/>
      <c r="T358" s="511"/>
      <c r="U358" s="511"/>
      <c r="V358" s="511"/>
      <c r="W358" s="511"/>
      <c r="X358" s="511"/>
      <c r="Y358" s="511"/>
      <c r="Z358" s="511"/>
      <c r="AA358" s="511"/>
      <c r="AB358" s="511"/>
      <c r="AC358" s="511"/>
      <c r="AD358" s="511"/>
    </row>
    <row r="359" spans="18:30" x14ac:dyDescent="0.25">
      <c r="R359" s="511"/>
      <c r="S359" s="511"/>
      <c r="T359" s="511"/>
      <c r="U359" s="511"/>
      <c r="V359" s="511"/>
      <c r="W359" s="511"/>
      <c r="X359" s="511"/>
      <c r="Y359" s="511"/>
      <c r="Z359" s="511"/>
      <c r="AA359" s="511"/>
      <c r="AB359" s="511"/>
      <c r="AC359" s="511"/>
      <c r="AD359" s="511"/>
    </row>
    <row r="360" spans="18:30" x14ac:dyDescent="0.25">
      <c r="R360" s="511"/>
      <c r="S360" s="511"/>
      <c r="T360" s="511"/>
      <c r="U360" s="511"/>
      <c r="V360" s="511"/>
      <c r="W360" s="511"/>
      <c r="X360" s="511"/>
      <c r="Y360" s="511"/>
      <c r="Z360" s="511"/>
      <c r="AA360" s="511"/>
      <c r="AB360" s="511"/>
      <c r="AC360" s="511"/>
      <c r="AD360" s="511"/>
    </row>
    <row r="361" spans="18:30" x14ac:dyDescent="0.25">
      <c r="R361" s="511"/>
      <c r="S361" s="511"/>
      <c r="T361" s="511"/>
      <c r="U361" s="511"/>
      <c r="V361" s="511"/>
      <c r="W361" s="511"/>
      <c r="X361" s="511"/>
      <c r="Y361" s="511"/>
      <c r="Z361" s="511"/>
      <c r="AA361" s="511"/>
      <c r="AB361" s="511"/>
      <c r="AC361" s="511"/>
      <c r="AD361" s="511"/>
    </row>
    <row r="362" spans="18:30" x14ac:dyDescent="0.25">
      <c r="R362" s="511"/>
      <c r="S362" s="511"/>
      <c r="T362" s="511"/>
      <c r="U362" s="511"/>
      <c r="V362" s="511"/>
      <c r="W362" s="511"/>
      <c r="X362" s="511"/>
      <c r="Y362" s="511"/>
      <c r="Z362" s="511"/>
      <c r="AA362" s="511"/>
      <c r="AB362" s="511"/>
      <c r="AC362" s="511"/>
      <c r="AD362" s="511"/>
    </row>
    <row r="363" spans="18:30" x14ac:dyDescent="0.25">
      <c r="R363" s="511"/>
      <c r="S363" s="511"/>
      <c r="T363" s="511"/>
      <c r="U363" s="511"/>
      <c r="V363" s="511"/>
      <c r="W363" s="511"/>
      <c r="X363" s="511"/>
      <c r="Y363" s="511"/>
      <c r="Z363" s="511"/>
      <c r="AA363" s="511"/>
      <c r="AB363" s="511"/>
      <c r="AC363" s="511"/>
      <c r="AD363" s="511"/>
    </row>
    <row r="364" spans="18:30" x14ac:dyDescent="0.25">
      <c r="R364" s="511"/>
      <c r="S364" s="511"/>
      <c r="T364" s="511"/>
      <c r="U364" s="511"/>
      <c r="V364" s="511"/>
      <c r="W364" s="511"/>
      <c r="X364" s="511"/>
      <c r="Y364" s="511"/>
      <c r="Z364" s="511"/>
      <c r="AA364" s="511"/>
      <c r="AB364" s="511"/>
      <c r="AC364" s="511"/>
      <c r="AD364" s="511"/>
    </row>
    <row r="365" spans="18:30" x14ac:dyDescent="0.25">
      <c r="R365" s="511"/>
      <c r="S365" s="511"/>
      <c r="T365" s="511"/>
      <c r="U365" s="511"/>
      <c r="V365" s="511"/>
      <c r="W365" s="511"/>
      <c r="X365" s="511"/>
      <c r="Y365" s="511"/>
      <c r="Z365" s="511"/>
      <c r="AA365" s="511"/>
      <c r="AB365" s="511"/>
      <c r="AC365" s="511"/>
      <c r="AD365" s="511"/>
    </row>
    <row r="366" spans="18:30" x14ac:dyDescent="0.25">
      <c r="R366" s="511"/>
      <c r="S366" s="511"/>
      <c r="T366" s="511"/>
      <c r="U366" s="511"/>
      <c r="V366" s="511"/>
      <c r="W366" s="511"/>
      <c r="X366" s="511"/>
      <c r="Y366" s="511"/>
      <c r="Z366" s="511"/>
      <c r="AA366" s="511"/>
      <c r="AB366" s="511"/>
      <c r="AC366" s="511"/>
      <c r="AD366" s="511"/>
    </row>
    <row r="367" spans="18:30" x14ac:dyDescent="0.25">
      <c r="R367" s="511"/>
      <c r="S367" s="511"/>
      <c r="T367" s="511"/>
      <c r="U367" s="511"/>
      <c r="V367" s="511"/>
      <c r="W367" s="511"/>
      <c r="X367" s="511"/>
      <c r="Y367" s="511"/>
      <c r="Z367" s="511"/>
      <c r="AA367" s="511"/>
      <c r="AB367" s="511"/>
      <c r="AC367" s="511"/>
      <c r="AD367" s="511"/>
    </row>
    <row r="368" spans="18:30" x14ac:dyDescent="0.25">
      <c r="R368" s="511"/>
      <c r="S368" s="511"/>
      <c r="T368" s="511"/>
      <c r="U368" s="511"/>
      <c r="V368" s="511"/>
      <c r="W368" s="511"/>
      <c r="X368" s="511"/>
      <c r="Y368" s="511"/>
      <c r="Z368" s="511"/>
      <c r="AA368" s="511"/>
      <c r="AB368" s="511"/>
      <c r="AC368" s="511"/>
      <c r="AD368" s="511"/>
    </row>
    <row r="369" spans="18:30" x14ac:dyDescent="0.25">
      <c r="R369" s="511"/>
      <c r="S369" s="511"/>
      <c r="T369" s="511"/>
      <c r="U369" s="511"/>
      <c r="V369" s="511"/>
      <c r="W369" s="511"/>
      <c r="X369" s="511"/>
      <c r="Y369" s="511"/>
      <c r="Z369" s="511"/>
      <c r="AA369" s="511"/>
      <c r="AB369" s="511"/>
      <c r="AC369" s="511"/>
      <c r="AD369" s="511"/>
    </row>
    <row r="370" spans="18:30" x14ac:dyDescent="0.25">
      <c r="R370" s="511"/>
      <c r="S370" s="511"/>
      <c r="T370" s="511"/>
      <c r="U370" s="511"/>
      <c r="V370" s="511"/>
      <c r="W370" s="511"/>
      <c r="X370" s="511"/>
      <c r="Y370" s="511"/>
      <c r="Z370" s="511"/>
      <c r="AA370" s="511"/>
      <c r="AB370" s="511"/>
      <c r="AC370" s="511"/>
      <c r="AD370" s="511"/>
    </row>
    <row r="371" spans="18:30" x14ac:dyDescent="0.25">
      <c r="R371" s="511"/>
      <c r="S371" s="511"/>
      <c r="T371" s="511"/>
      <c r="U371" s="511"/>
      <c r="V371" s="511"/>
      <c r="W371" s="511"/>
      <c r="X371" s="511"/>
      <c r="Y371" s="511"/>
      <c r="Z371" s="511"/>
      <c r="AA371" s="511"/>
      <c r="AB371" s="511"/>
      <c r="AC371" s="511"/>
      <c r="AD371" s="511"/>
    </row>
    <row r="372" spans="18:30" x14ac:dyDescent="0.25">
      <c r="R372" s="511"/>
      <c r="S372" s="511"/>
      <c r="T372" s="511"/>
      <c r="U372" s="511"/>
      <c r="V372" s="511"/>
      <c r="W372" s="511"/>
      <c r="X372" s="511"/>
      <c r="Y372" s="511"/>
      <c r="Z372" s="511"/>
      <c r="AA372" s="511"/>
      <c r="AB372" s="511"/>
      <c r="AC372" s="511"/>
      <c r="AD372" s="511"/>
    </row>
    <row r="373" spans="18:30" x14ac:dyDescent="0.25">
      <c r="R373" s="511"/>
      <c r="S373" s="511"/>
      <c r="T373" s="511"/>
      <c r="U373" s="511"/>
      <c r="V373" s="511"/>
      <c r="W373" s="511"/>
      <c r="X373" s="511"/>
      <c r="Y373" s="511"/>
      <c r="Z373" s="511"/>
      <c r="AA373" s="511"/>
      <c r="AB373" s="511"/>
      <c r="AC373" s="511"/>
      <c r="AD373" s="511"/>
    </row>
    <row r="374" spans="18:30" x14ac:dyDescent="0.25">
      <c r="R374" s="511"/>
      <c r="S374" s="511"/>
      <c r="T374" s="511"/>
      <c r="U374" s="511"/>
      <c r="V374" s="511"/>
      <c r="W374" s="511"/>
      <c r="X374" s="511"/>
      <c r="Y374" s="511"/>
      <c r="Z374" s="511"/>
      <c r="AA374" s="511"/>
      <c r="AB374" s="511"/>
      <c r="AC374" s="511"/>
      <c r="AD374" s="511"/>
    </row>
    <row r="375" spans="18:30" x14ac:dyDescent="0.25">
      <c r="R375" s="511"/>
      <c r="S375" s="511"/>
      <c r="T375" s="511"/>
      <c r="U375" s="511"/>
      <c r="V375" s="511"/>
      <c r="W375" s="511"/>
      <c r="X375" s="511"/>
      <c r="Y375" s="511"/>
      <c r="Z375" s="511"/>
      <c r="AA375" s="511"/>
      <c r="AB375" s="511"/>
      <c r="AC375" s="511"/>
      <c r="AD375" s="511"/>
    </row>
    <row r="376" spans="18:30" x14ac:dyDescent="0.25">
      <c r="R376" s="511"/>
      <c r="S376" s="511"/>
      <c r="T376" s="511"/>
      <c r="U376" s="511"/>
      <c r="V376" s="511"/>
      <c r="W376" s="511"/>
      <c r="X376" s="511"/>
      <c r="Y376" s="511"/>
      <c r="Z376" s="511"/>
      <c r="AA376" s="511"/>
      <c r="AB376" s="511"/>
      <c r="AC376" s="511"/>
      <c r="AD376" s="511"/>
    </row>
    <row r="377" spans="18:30" x14ac:dyDescent="0.25">
      <c r="R377" s="511"/>
      <c r="S377" s="511"/>
      <c r="T377" s="511"/>
      <c r="U377" s="511"/>
      <c r="V377" s="511"/>
      <c r="W377" s="511"/>
      <c r="X377" s="511"/>
      <c r="Y377" s="511"/>
      <c r="Z377" s="511"/>
      <c r="AA377" s="511"/>
      <c r="AB377" s="511"/>
      <c r="AC377" s="511"/>
      <c r="AD377" s="511"/>
    </row>
    <row r="378" spans="18:30" x14ac:dyDescent="0.25">
      <c r="R378" s="511"/>
      <c r="S378" s="511"/>
      <c r="T378" s="511"/>
      <c r="U378" s="511"/>
      <c r="V378" s="511"/>
      <c r="W378" s="511"/>
      <c r="X378" s="511"/>
      <c r="Y378" s="511"/>
      <c r="Z378" s="511"/>
      <c r="AA378" s="511"/>
      <c r="AB378" s="511"/>
      <c r="AC378" s="511"/>
      <c r="AD378" s="511"/>
    </row>
    <row r="379" spans="18:30" x14ac:dyDescent="0.25">
      <c r="R379" s="511"/>
      <c r="S379" s="511"/>
      <c r="T379" s="511"/>
      <c r="U379" s="511"/>
      <c r="V379" s="511"/>
      <c r="W379" s="511"/>
      <c r="X379" s="511"/>
      <c r="Y379" s="511"/>
      <c r="Z379" s="511"/>
      <c r="AA379" s="511"/>
      <c r="AB379" s="511"/>
      <c r="AC379" s="511"/>
      <c r="AD379" s="511"/>
    </row>
    <row r="380" spans="18:30" x14ac:dyDescent="0.25">
      <c r="R380" s="511"/>
      <c r="S380" s="511"/>
      <c r="T380" s="511"/>
      <c r="U380" s="511"/>
      <c r="V380" s="511"/>
      <c r="W380" s="511"/>
      <c r="X380" s="511"/>
      <c r="Y380" s="511"/>
      <c r="Z380" s="511"/>
      <c r="AA380" s="511"/>
      <c r="AB380" s="511"/>
      <c r="AC380" s="511"/>
      <c r="AD380" s="511"/>
    </row>
    <row r="381" spans="18:30" x14ac:dyDescent="0.25">
      <c r="R381" s="511"/>
      <c r="S381" s="511"/>
      <c r="T381" s="511"/>
      <c r="U381" s="511"/>
      <c r="V381" s="511"/>
      <c r="W381" s="511"/>
      <c r="X381" s="511"/>
      <c r="Y381" s="511"/>
      <c r="Z381" s="511"/>
      <c r="AA381" s="511"/>
      <c r="AB381" s="511"/>
      <c r="AC381" s="511"/>
      <c r="AD381" s="511"/>
    </row>
    <row r="382" spans="18:30" x14ac:dyDescent="0.25">
      <c r="R382" s="511"/>
      <c r="S382" s="511"/>
      <c r="T382" s="511"/>
      <c r="U382" s="511"/>
      <c r="V382" s="511"/>
      <c r="W382" s="511"/>
      <c r="X382" s="511"/>
      <c r="Y382" s="511"/>
      <c r="Z382" s="511"/>
      <c r="AA382" s="511"/>
      <c r="AB382" s="511"/>
      <c r="AC382" s="511"/>
      <c r="AD382" s="511"/>
    </row>
    <row r="383" spans="18:30" x14ac:dyDescent="0.25">
      <c r="R383" s="511"/>
      <c r="S383" s="511"/>
      <c r="T383" s="511"/>
      <c r="U383" s="511"/>
      <c r="V383" s="511"/>
      <c r="W383" s="511"/>
      <c r="X383" s="511"/>
      <c r="Y383" s="511"/>
      <c r="Z383" s="511"/>
      <c r="AA383" s="511"/>
      <c r="AB383" s="511"/>
      <c r="AC383" s="511"/>
      <c r="AD383" s="511"/>
    </row>
    <row r="384" spans="18:30" x14ac:dyDescent="0.25">
      <c r="R384" s="511"/>
      <c r="S384" s="511"/>
      <c r="T384" s="511"/>
      <c r="U384" s="511"/>
      <c r="V384" s="511"/>
      <c r="W384" s="511"/>
      <c r="X384" s="511"/>
      <c r="Y384" s="511"/>
      <c r="Z384" s="511"/>
      <c r="AA384" s="511"/>
      <c r="AB384" s="511"/>
      <c r="AC384" s="511"/>
      <c r="AD384" s="511"/>
    </row>
    <row r="385" spans="18:30" x14ac:dyDescent="0.25">
      <c r="R385" s="511"/>
      <c r="S385" s="511"/>
      <c r="T385" s="511"/>
      <c r="U385" s="511"/>
      <c r="V385" s="511"/>
      <c r="W385" s="511"/>
      <c r="X385" s="511"/>
      <c r="Y385" s="511"/>
      <c r="Z385" s="511"/>
      <c r="AA385" s="511"/>
      <c r="AB385" s="511"/>
      <c r="AC385" s="511"/>
      <c r="AD385" s="511"/>
    </row>
    <row r="386" spans="18:30" x14ac:dyDescent="0.25">
      <c r="R386" s="511"/>
      <c r="S386" s="511"/>
      <c r="T386" s="511"/>
      <c r="U386" s="511"/>
      <c r="V386" s="511"/>
      <c r="W386" s="511"/>
      <c r="X386" s="511"/>
      <c r="Y386" s="511"/>
      <c r="Z386" s="511"/>
      <c r="AA386" s="511"/>
      <c r="AB386" s="511"/>
      <c r="AC386" s="511"/>
      <c r="AD386" s="511"/>
    </row>
    <row r="387" spans="18:30" x14ac:dyDescent="0.25">
      <c r="R387" s="511"/>
      <c r="S387" s="511"/>
      <c r="T387" s="511"/>
      <c r="U387" s="511"/>
      <c r="V387" s="511"/>
      <c r="W387" s="511"/>
      <c r="X387" s="511"/>
      <c r="Y387" s="511"/>
      <c r="Z387" s="511"/>
      <c r="AA387" s="511"/>
      <c r="AB387" s="511"/>
      <c r="AC387" s="511"/>
      <c r="AD387" s="511"/>
    </row>
    <row r="388" spans="18:30" x14ac:dyDescent="0.25">
      <c r="R388" s="511"/>
      <c r="S388" s="511"/>
      <c r="T388" s="511"/>
      <c r="U388" s="511"/>
      <c r="V388" s="511"/>
      <c r="W388" s="511"/>
      <c r="X388" s="511"/>
      <c r="Y388" s="511"/>
      <c r="Z388" s="511"/>
      <c r="AA388" s="511"/>
      <c r="AB388" s="511"/>
      <c r="AC388" s="511"/>
      <c r="AD388" s="511"/>
    </row>
    <row r="389" spans="18:30" x14ac:dyDescent="0.25">
      <c r="R389" s="511"/>
      <c r="S389" s="511"/>
      <c r="T389" s="511"/>
      <c r="U389" s="511"/>
      <c r="V389" s="511"/>
      <c r="W389" s="511"/>
      <c r="X389" s="511"/>
      <c r="Y389" s="511"/>
      <c r="Z389" s="511"/>
      <c r="AA389" s="511"/>
      <c r="AB389" s="511"/>
      <c r="AC389" s="511"/>
      <c r="AD389" s="511"/>
    </row>
    <row r="390" spans="18:30" x14ac:dyDescent="0.25">
      <c r="R390" s="511"/>
      <c r="S390" s="511"/>
      <c r="T390" s="511"/>
      <c r="U390" s="511"/>
      <c r="V390" s="511"/>
      <c r="W390" s="511"/>
      <c r="X390" s="511"/>
      <c r="Y390" s="511"/>
      <c r="Z390" s="511"/>
      <c r="AA390" s="511"/>
      <c r="AB390" s="511"/>
      <c r="AC390" s="511"/>
      <c r="AD390" s="511"/>
    </row>
    <row r="391" spans="18:30" x14ac:dyDescent="0.25">
      <c r="R391" s="511"/>
      <c r="S391" s="511"/>
      <c r="T391" s="511"/>
      <c r="U391" s="511"/>
      <c r="V391" s="511"/>
      <c r="W391" s="511"/>
      <c r="X391" s="511"/>
      <c r="Y391" s="511"/>
      <c r="Z391" s="511"/>
      <c r="AA391" s="511"/>
      <c r="AB391" s="511"/>
      <c r="AC391" s="511"/>
      <c r="AD391" s="511"/>
    </row>
    <row r="392" spans="18:30" x14ac:dyDescent="0.25">
      <c r="R392" s="511"/>
      <c r="S392" s="511"/>
      <c r="T392" s="511"/>
      <c r="U392" s="511"/>
      <c r="V392" s="511"/>
      <c r="W392" s="511"/>
      <c r="X392" s="511"/>
      <c r="Y392" s="511"/>
      <c r="Z392" s="511"/>
      <c r="AA392" s="511"/>
      <c r="AB392" s="511"/>
      <c r="AC392" s="511"/>
      <c r="AD392" s="511"/>
    </row>
    <row r="393" spans="18:30" x14ac:dyDescent="0.25">
      <c r="R393" s="511"/>
      <c r="S393" s="511"/>
      <c r="T393" s="511"/>
      <c r="U393" s="511"/>
      <c r="V393" s="511"/>
      <c r="W393" s="511"/>
      <c r="X393" s="511"/>
      <c r="Y393" s="511"/>
      <c r="Z393" s="511"/>
      <c r="AA393" s="511"/>
      <c r="AB393" s="511"/>
      <c r="AC393" s="511"/>
      <c r="AD393" s="511"/>
    </row>
    <row r="394" spans="18:30" x14ac:dyDescent="0.25">
      <c r="R394" s="511"/>
      <c r="S394" s="511"/>
      <c r="T394" s="511"/>
      <c r="U394" s="511"/>
      <c r="V394" s="511"/>
      <c r="W394" s="511"/>
      <c r="X394" s="511"/>
      <c r="Y394" s="511"/>
      <c r="Z394" s="511"/>
      <c r="AA394" s="511"/>
      <c r="AB394" s="511"/>
      <c r="AC394" s="511"/>
      <c r="AD394" s="511"/>
    </row>
    <row r="395" spans="18:30" x14ac:dyDescent="0.25">
      <c r="R395" s="511"/>
      <c r="S395" s="511"/>
      <c r="T395" s="511"/>
      <c r="U395" s="511"/>
      <c r="V395" s="511"/>
      <c r="W395" s="511"/>
      <c r="X395" s="511"/>
      <c r="Y395" s="511"/>
      <c r="Z395" s="511"/>
      <c r="AA395" s="511"/>
      <c r="AB395" s="511"/>
      <c r="AC395" s="511"/>
      <c r="AD395" s="511"/>
    </row>
    <row r="396" spans="18:30" x14ac:dyDescent="0.25">
      <c r="R396" s="511"/>
      <c r="S396" s="511"/>
      <c r="T396" s="511"/>
      <c r="U396" s="511"/>
      <c r="V396" s="511"/>
      <c r="W396" s="511"/>
      <c r="X396" s="511"/>
      <c r="Y396" s="511"/>
      <c r="Z396" s="511"/>
      <c r="AA396" s="511"/>
      <c r="AB396" s="511"/>
      <c r="AC396" s="511"/>
      <c r="AD396" s="511"/>
    </row>
    <row r="397" spans="18:30" x14ac:dyDescent="0.25">
      <c r="R397" s="511"/>
      <c r="S397" s="511"/>
      <c r="T397" s="511"/>
      <c r="U397" s="511"/>
      <c r="V397" s="511"/>
      <c r="W397" s="511"/>
      <c r="X397" s="511"/>
      <c r="Y397" s="511"/>
      <c r="Z397" s="511"/>
      <c r="AA397" s="511"/>
      <c r="AB397" s="511"/>
      <c r="AC397" s="511"/>
      <c r="AD397" s="511"/>
    </row>
    <row r="398" spans="18:30" x14ac:dyDescent="0.25">
      <c r="R398" s="511"/>
      <c r="S398" s="511"/>
      <c r="T398" s="511"/>
      <c r="U398" s="511"/>
      <c r="V398" s="511"/>
      <c r="W398" s="511"/>
      <c r="X398" s="511"/>
      <c r="Y398" s="511"/>
      <c r="Z398" s="511"/>
      <c r="AA398" s="511"/>
      <c r="AB398" s="511"/>
      <c r="AC398" s="511"/>
      <c r="AD398" s="511"/>
    </row>
    <row r="399" spans="18:30" x14ac:dyDescent="0.25">
      <c r="R399" s="511"/>
      <c r="S399" s="511"/>
      <c r="T399" s="511"/>
      <c r="U399" s="511"/>
      <c r="V399" s="511"/>
      <c r="W399" s="511"/>
      <c r="X399" s="511"/>
      <c r="Y399" s="511"/>
      <c r="Z399" s="511"/>
      <c r="AA399" s="511"/>
      <c r="AB399" s="511"/>
      <c r="AC399" s="511"/>
      <c r="AD399" s="511"/>
    </row>
    <row r="400" spans="18:30" x14ac:dyDescent="0.25">
      <c r="R400" s="511"/>
      <c r="S400" s="511"/>
      <c r="T400" s="511"/>
      <c r="U400" s="511"/>
      <c r="V400" s="511"/>
      <c r="W400" s="511"/>
      <c r="X400" s="511"/>
      <c r="Y400" s="511"/>
      <c r="Z400" s="511"/>
      <c r="AA400" s="511"/>
      <c r="AB400" s="511"/>
      <c r="AC400" s="511"/>
      <c r="AD400" s="511"/>
    </row>
    <row r="401" spans="18:30" x14ac:dyDescent="0.25">
      <c r="R401" s="511"/>
      <c r="S401" s="511"/>
      <c r="T401" s="511"/>
      <c r="U401" s="511"/>
      <c r="V401" s="511"/>
      <c r="W401" s="511"/>
      <c r="X401" s="511"/>
      <c r="Y401" s="511"/>
      <c r="Z401" s="511"/>
      <c r="AA401" s="511"/>
      <c r="AB401" s="511"/>
      <c r="AC401" s="511"/>
      <c r="AD401" s="511"/>
    </row>
    <row r="402" spans="18:30" x14ac:dyDescent="0.25">
      <c r="R402" s="511"/>
      <c r="S402" s="511"/>
      <c r="T402" s="511"/>
      <c r="U402" s="511"/>
      <c r="V402" s="511"/>
      <c r="W402" s="511"/>
      <c r="X402" s="511"/>
      <c r="Y402" s="511"/>
      <c r="Z402" s="511"/>
      <c r="AA402" s="511"/>
      <c r="AB402" s="511"/>
      <c r="AC402" s="511"/>
      <c r="AD402" s="511"/>
    </row>
    <row r="403" spans="18:30" x14ac:dyDescent="0.25">
      <c r="R403" s="511"/>
      <c r="S403" s="511"/>
      <c r="T403" s="511"/>
      <c r="U403" s="511"/>
      <c r="V403" s="511"/>
      <c r="W403" s="511"/>
      <c r="X403" s="511"/>
      <c r="Y403" s="511"/>
      <c r="Z403" s="511"/>
      <c r="AA403" s="511"/>
      <c r="AB403" s="511"/>
      <c r="AC403" s="511"/>
      <c r="AD403" s="511"/>
    </row>
    <row r="404" spans="18:30" x14ac:dyDescent="0.25">
      <c r="R404" s="511"/>
      <c r="S404" s="511"/>
      <c r="T404" s="511"/>
      <c r="U404" s="511"/>
      <c r="V404" s="511"/>
      <c r="W404" s="511"/>
      <c r="X404" s="511"/>
      <c r="Y404" s="511"/>
      <c r="Z404" s="511"/>
      <c r="AA404" s="511"/>
      <c r="AB404" s="511"/>
      <c r="AC404" s="511"/>
      <c r="AD404" s="511"/>
    </row>
    <row r="405" spans="18:30" x14ac:dyDescent="0.25">
      <c r="R405" s="511"/>
      <c r="S405" s="511"/>
      <c r="T405" s="511"/>
      <c r="U405" s="511"/>
      <c r="V405" s="511"/>
      <c r="W405" s="511"/>
      <c r="X405" s="511"/>
      <c r="Y405" s="511"/>
      <c r="Z405" s="511"/>
      <c r="AA405" s="511"/>
      <c r="AB405" s="511"/>
      <c r="AC405" s="511"/>
      <c r="AD405" s="511"/>
    </row>
    <row r="406" spans="18:30" x14ac:dyDescent="0.25">
      <c r="R406" s="511"/>
      <c r="S406" s="511"/>
      <c r="T406" s="511"/>
      <c r="U406" s="511"/>
      <c r="V406" s="511"/>
      <c r="W406" s="511"/>
      <c r="X406" s="511"/>
      <c r="Y406" s="511"/>
      <c r="Z406" s="511"/>
      <c r="AA406" s="511"/>
      <c r="AB406" s="511"/>
      <c r="AC406" s="511"/>
      <c r="AD406" s="511"/>
    </row>
    <row r="407" spans="18:30" x14ac:dyDescent="0.25">
      <c r="R407" s="511"/>
      <c r="S407" s="511"/>
      <c r="T407" s="511"/>
      <c r="U407" s="511"/>
      <c r="V407" s="511"/>
      <c r="W407" s="511"/>
      <c r="X407" s="511"/>
      <c r="Y407" s="511"/>
      <c r="Z407" s="511"/>
      <c r="AA407" s="511"/>
      <c r="AB407" s="511"/>
      <c r="AC407" s="511"/>
      <c r="AD407" s="511"/>
    </row>
    <row r="408" spans="18:30" x14ac:dyDescent="0.25">
      <c r="R408" s="511"/>
      <c r="S408" s="511"/>
      <c r="T408" s="511"/>
      <c r="U408" s="511"/>
      <c r="V408" s="511"/>
      <c r="W408" s="511"/>
      <c r="X408" s="511"/>
      <c r="Y408" s="511"/>
      <c r="Z408" s="511"/>
      <c r="AA408" s="511"/>
      <c r="AB408" s="511"/>
      <c r="AC408" s="511"/>
      <c r="AD408" s="511"/>
    </row>
    <row r="409" spans="18:30" x14ac:dyDescent="0.25">
      <c r="R409" s="511"/>
      <c r="S409" s="511"/>
      <c r="T409" s="511"/>
      <c r="U409" s="511"/>
      <c r="V409" s="511"/>
      <c r="W409" s="511"/>
      <c r="X409" s="511"/>
      <c r="Y409" s="511"/>
      <c r="Z409" s="511"/>
      <c r="AA409" s="511"/>
      <c r="AB409" s="511"/>
      <c r="AC409" s="511"/>
      <c r="AD409" s="511"/>
    </row>
    <row r="410" spans="18:30" x14ac:dyDescent="0.25">
      <c r="R410" s="511"/>
      <c r="S410" s="511"/>
      <c r="T410" s="511"/>
      <c r="U410" s="511"/>
      <c r="V410" s="511"/>
      <c r="W410" s="511"/>
      <c r="X410" s="511"/>
      <c r="Y410" s="511"/>
      <c r="Z410" s="511"/>
      <c r="AA410" s="511"/>
      <c r="AB410" s="511"/>
      <c r="AC410" s="511"/>
      <c r="AD410" s="511"/>
    </row>
    <row r="411" spans="18:30" x14ac:dyDescent="0.25">
      <c r="R411" s="511"/>
      <c r="S411" s="511"/>
      <c r="T411" s="511"/>
      <c r="U411" s="511"/>
      <c r="V411" s="511"/>
      <c r="W411" s="511"/>
      <c r="X411" s="511"/>
      <c r="Y411" s="511"/>
      <c r="Z411" s="511"/>
      <c r="AA411" s="511"/>
      <c r="AB411" s="511"/>
      <c r="AC411" s="511"/>
      <c r="AD411" s="511"/>
    </row>
    <row r="412" spans="18:30" x14ac:dyDescent="0.25">
      <c r="R412" s="511"/>
      <c r="S412" s="511"/>
      <c r="T412" s="511"/>
      <c r="U412" s="511"/>
      <c r="V412" s="511"/>
      <c r="W412" s="511"/>
      <c r="X412" s="511"/>
      <c r="Y412" s="511"/>
      <c r="Z412" s="511"/>
      <c r="AA412" s="511"/>
      <c r="AB412" s="511"/>
      <c r="AC412" s="511"/>
      <c r="AD412" s="511"/>
    </row>
    <row r="413" spans="18:30" x14ac:dyDescent="0.25">
      <c r="R413" s="511"/>
      <c r="S413" s="511"/>
      <c r="T413" s="511"/>
      <c r="U413" s="511"/>
      <c r="V413" s="511"/>
      <c r="W413" s="511"/>
      <c r="X413" s="511"/>
      <c r="Y413" s="511"/>
      <c r="Z413" s="511"/>
      <c r="AA413" s="511"/>
      <c r="AB413" s="511"/>
      <c r="AC413" s="511"/>
      <c r="AD413" s="511"/>
    </row>
    <row r="414" spans="18:30" x14ac:dyDescent="0.25">
      <c r="R414" s="511"/>
      <c r="S414" s="511"/>
      <c r="T414" s="511"/>
      <c r="U414" s="511"/>
      <c r="V414" s="511"/>
      <c r="W414" s="511"/>
      <c r="X414" s="511"/>
      <c r="Y414" s="511"/>
      <c r="Z414" s="511"/>
      <c r="AA414" s="511"/>
      <c r="AB414" s="511"/>
      <c r="AC414" s="511"/>
      <c r="AD414" s="511"/>
    </row>
    <row r="415" spans="18:30" x14ac:dyDescent="0.25">
      <c r="R415" s="511"/>
      <c r="S415" s="511"/>
      <c r="T415" s="511"/>
      <c r="U415" s="511"/>
      <c r="V415" s="511"/>
      <c r="W415" s="511"/>
      <c r="X415" s="511"/>
      <c r="Y415" s="511"/>
      <c r="Z415" s="511"/>
      <c r="AA415" s="511"/>
      <c r="AB415" s="511"/>
      <c r="AC415" s="511"/>
      <c r="AD415" s="511"/>
    </row>
    <row r="416" spans="18:30" x14ac:dyDescent="0.25">
      <c r="R416" s="511"/>
      <c r="S416" s="511"/>
      <c r="T416" s="511"/>
      <c r="U416" s="511"/>
      <c r="V416" s="511"/>
      <c r="W416" s="511"/>
      <c r="X416" s="511"/>
      <c r="Y416" s="511"/>
      <c r="Z416" s="511"/>
      <c r="AA416" s="511"/>
      <c r="AB416" s="511"/>
      <c r="AC416" s="511"/>
      <c r="AD416" s="511"/>
    </row>
    <row r="417" spans="18:30" x14ac:dyDescent="0.25">
      <c r="R417" s="511"/>
      <c r="S417" s="511"/>
      <c r="T417" s="511"/>
      <c r="U417" s="511"/>
      <c r="V417" s="511"/>
      <c r="W417" s="511"/>
      <c r="X417" s="511"/>
      <c r="Y417" s="511"/>
      <c r="Z417" s="511"/>
      <c r="AA417" s="511"/>
      <c r="AB417" s="511"/>
      <c r="AC417" s="511"/>
      <c r="AD417" s="511"/>
    </row>
    <row r="418" spans="18:30" x14ac:dyDescent="0.25">
      <c r="R418" s="511"/>
      <c r="S418" s="511"/>
      <c r="T418" s="511"/>
      <c r="U418" s="511"/>
      <c r="V418" s="511"/>
      <c r="W418" s="511"/>
      <c r="X418" s="511"/>
      <c r="Y418" s="511"/>
      <c r="Z418" s="511"/>
      <c r="AA418" s="511"/>
      <c r="AB418" s="511"/>
      <c r="AC418" s="511"/>
      <c r="AD418" s="511"/>
    </row>
    <row r="419" spans="18:30" x14ac:dyDescent="0.25">
      <c r="R419" s="511"/>
      <c r="S419" s="511"/>
      <c r="T419" s="511"/>
      <c r="U419" s="511"/>
      <c r="V419" s="511"/>
      <c r="W419" s="511"/>
      <c r="X419" s="511"/>
      <c r="Y419" s="511"/>
      <c r="Z419" s="511"/>
      <c r="AA419" s="511"/>
      <c r="AB419" s="511"/>
      <c r="AC419" s="511"/>
      <c r="AD419" s="511"/>
    </row>
    <row r="420" spans="18:30" x14ac:dyDescent="0.25">
      <c r="R420" s="511"/>
      <c r="S420" s="511"/>
      <c r="T420" s="511"/>
      <c r="U420" s="511"/>
      <c r="V420" s="511"/>
      <c r="W420" s="511"/>
      <c r="X420" s="511"/>
      <c r="Y420" s="511"/>
      <c r="Z420" s="511"/>
      <c r="AA420" s="511"/>
      <c r="AB420" s="511"/>
      <c r="AC420" s="511"/>
      <c r="AD420" s="511"/>
    </row>
    <row r="421" spans="18:30" x14ac:dyDescent="0.25">
      <c r="R421" s="511"/>
      <c r="S421" s="511"/>
      <c r="T421" s="511"/>
      <c r="U421" s="511"/>
      <c r="V421" s="511"/>
      <c r="W421" s="511"/>
      <c r="X421" s="511"/>
      <c r="Y421" s="511"/>
      <c r="Z421" s="511"/>
      <c r="AA421" s="511"/>
      <c r="AB421" s="511"/>
      <c r="AC421" s="511"/>
      <c r="AD421" s="511"/>
    </row>
    <row r="422" spans="18:30" x14ac:dyDescent="0.25">
      <c r="R422" s="511"/>
      <c r="S422" s="511"/>
      <c r="T422" s="511"/>
      <c r="U422" s="511"/>
      <c r="V422" s="511"/>
      <c r="W422" s="511"/>
      <c r="X422" s="511"/>
      <c r="Y422" s="511"/>
      <c r="Z422" s="511"/>
      <c r="AA422" s="511"/>
      <c r="AB422" s="511"/>
      <c r="AC422" s="511"/>
      <c r="AD422" s="511"/>
    </row>
    <row r="423" spans="18:30" x14ac:dyDescent="0.25">
      <c r="R423" s="511"/>
      <c r="S423" s="511"/>
      <c r="T423" s="511"/>
      <c r="U423" s="511"/>
      <c r="V423" s="511"/>
      <c r="W423" s="511"/>
      <c r="X423" s="511"/>
      <c r="Y423" s="511"/>
      <c r="Z423" s="511"/>
      <c r="AA423" s="511"/>
      <c r="AB423" s="511"/>
      <c r="AC423" s="511"/>
      <c r="AD423" s="511"/>
    </row>
    <row r="424" spans="18:30" x14ac:dyDescent="0.25">
      <c r="R424" s="511"/>
      <c r="S424" s="511"/>
      <c r="T424" s="511"/>
      <c r="U424" s="511"/>
      <c r="V424" s="511"/>
      <c r="W424" s="511"/>
      <c r="X424" s="511"/>
      <c r="Y424" s="511"/>
      <c r="Z424" s="511"/>
      <c r="AA424" s="511"/>
      <c r="AB424" s="511"/>
      <c r="AC424" s="511"/>
      <c r="AD424" s="511"/>
    </row>
    <row r="425" spans="18:30" x14ac:dyDescent="0.25">
      <c r="R425" s="511"/>
      <c r="S425" s="511"/>
      <c r="T425" s="511"/>
      <c r="U425" s="511"/>
      <c r="V425" s="511"/>
      <c r="W425" s="511"/>
      <c r="X425" s="511"/>
      <c r="Y425" s="511"/>
      <c r="Z425" s="511"/>
      <c r="AA425" s="511"/>
      <c r="AB425" s="511"/>
      <c r="AC425" s="511"/>
      <c r="AD425" s="511"/>
    </row>
    <row r="426" spans="18:30" x14ac:dyDescent="0.25">
      <c r="R426" s="511"/>
      <c r="S426" s="511"/>
      <c r="T426" s="511"/>
      <c r="U426" s="511"/>
      <c r="V426" s="511"/>
      <c r="W426" s="511"/>
      <c r="X426" s="511"/>
      <c r="Y426" s="511"/>
      <c r="Z426" s="511"/>
      <c r="AA426" s="511"/>
      <c r="AB426" s="511"/>
      <c r="AC426" s="511"/>
      <c r="AD426" s="511"/>
    </row>
    <row r="427" spans="18:30" x14ac:dyDescent="0.25">
      <c r="R427" s="511"/>
      <c r="S427" s="511"/>
      <c r="T427" s="511"/>
      <c r="U427" s="511"/>
      <c r="V427" s="511"/>
      <c r="W427" s="511"/>
      <c r="X427" s="511"/>
      <c r="Y427" s="511"/>
      <c r="Z427" s="511"/>
      <c r="AA427" s="511"/>
      <c r="AB427" s="511"/>
      <c r="AC427" s="511"/>
      <c r="AD427" s="511"/>
    </row>
    <row r="428" spans="18:30" x14ac:dyDescent="0.25">
      <c r="R428" s="511"/>
      <c r="S428" s="511"/>
      <c r="T428" s="511"/>
      <c r="U428" s="511"/>
      <c r="V428" s="511"/>
      <c r="W428" s="511"/>
      <c r="X428" s="511"/>
      <c r="Y428" s="511"/>
      <c r="Z428" s="511"/>
      <c r="AA428" s="511"/>
      <c r="AB428" s="511"/>
      <c r="AC428" s="511"/>
      <c r="AD428" s="511"/>
    </row>
    <row r="429" spans="18:30" x14ac:dyDescent="0.25">
      <c r="R429" s="511"/>
      <c r="S429" s="511"/>
      <c r="T429" s="511"/>
      <c r="U429" s="511"/>
      <c r="V429" s="511"/>
      <c r="W429" s="511"/>
      <c r="X429" s="511"/>
      <c r="Y429" s="511"/>
      <c r="Z429" s="511"/>
      <c r="AA429" s="511"/>
      <c r="AB429" s="511"/>
      <c r="AC429" s="511"/>
      <c r="AD429" s="511"/>
    </row>
    <row r="430" spans="18:30" x14ac:dyDescent="0.25">
      <c r="R430" s="511"/>
      <c r="S430" s="511"/>
      <c r="T430" s="511"/>
      <c r="U430" s="511"/>
      <c r="V430" s="511"/>
      <c r="W430" s="511"/>
      <c r="X430" s="511"/>
      <c r="Y430" s="511"/>
      <c r="Z430" s="511"/>
      <c r="AA430" s="511"/>
      <c r="AB430" s="511"/>
      <c r="AC430" s="511"/>
      <c r="AD430" s="511"/>
    </row>
    <row r="431" spans="18:30" x14ac:dyDescent="0.25">
      <c r="R431" s="511"/>
      <c r="S431" s="511"/>
      <c r="T431" s="511"/>
      <c r="U431" s="511"/>
      <c r="V431" s="511"/>
      <c r="W431" s="511"/>
      <c r="X431" s="511"/>
      <c r="Y431" s="511"/>
      <c r="Z431" s="511"/>
      <c r="AA431" s="511"/>
      <c r="AB431" s="511"/>
      <c r="AC431" s="511"/>
      <c r="AD431" s="511"/>
    </row>
    <row r="432" spans="18:30" x14ac:dyDescent="0.25">
      <c r="R432" s="511"/>
      <c r="S432" s="511"/>
      <c r="T432" s="511"/>
      <c r="U432" s="511"/>
      <c r="V432" s="511"/>
      <c r="W432" s="511"/>
      <c r="X432" s="511"/>
      <c r="Y432" s="511"/>
      <c r="Z432" s="511"/>
      <c r="AA432" s="511"/>
      <c r="AB432" s="511"/>
      <c r="AC432" s="511"/>
      <c r="AD432" s="511"/>
    </row>
    <row r="433" spans="18:30" x14ac:dyDescent="0.25">
      <c r="R433" s="511"/>
      <c r="S433" s="511"/>
      <c r="T433" s="511"/>
      <c r="U433" s="511"/>
      <c r="V433" s="511"/>
      <c r="W433" s="511"/>
      <c r="X433" s="511"/>
      <c r="Y433" s="511"/>
      <c r="Z433" s="511"/>
      <c r="AA433" s="511"/>
      <c r="AB433" s="511"/>
      <c r="AC433" s="511"/>
      <c r="AD433" s="511"/>
    </row>
    <row r="434" spans="18:30" x14ac:dyDescent="0.25">
      <c r="R434" s="511"/>
      <c r="S434" s="511"/>
      <c r="T434" s="511"/>
      <c r="U434" s="511"/>
      <c r="V434" s="511"/>
      <c r="W434" s="511"/>
      <c r="X434" s="511"/>
      <c r="Y434" s="511"/>
      <c r="Z434" s="511"/>
      <c r="AA434" s="511"/>
      <c r="AB434" s="511"/>
      <c r="AC434" s="511"/>
      <c r="AD434" s="511"/>
    </row>
    <row r="435" spans="18:30" x14ac:dyDescent="0.25">
      <c r="R435" s="511"/>
      <c r="S435" s="511"/>
      <c r="T435" s="511"/>
      <c r="U435" s="511"/>
      <c r="V435" s="511"/>
      <c r="W435" s="511"/>
      <c r="X435" s="511"/>
      <c r="Y435" s="511"/>
      <c r="Z435" s="511"/>
      <c r="AA435" s="511"/>
      <c r="AB435" s="511"/>
      <c r="AC435" s="511"/>
      <c r="AD435" s="511"/>
    </row>
    <row r="436" spans="18:30" x14ac:dyDescent="0.25">
      <c r="R436" s="511"/>
      <c r="S436" s="511"/>
      <c r="T436" s="511"/>
      <c r="U436" s="511"/>
      <c r="V436" s="511"/>
      <c r="W436" s="511"/>
      <c r="X436" s="511"/>
      <c r="Y436" s="511"/>
      <c r="Z436" s="511"/>
      <c r="AA436" s="511"/>
      <c r="AB436" s="511"/>
      <c r="AC436" s="511"/>
      <c r="AD436" s="511"/>
    </row>
    <row r="437" spans="18:30" x14ac:dyDescent="0.25">
      <c r="R437" s="511"/>
      <c r="S437" s="511"/>
      <c r="T437" s="511"/>
      <c r="U437" s="511"/>
      <c r="V437" s="511"/>
      <c r="W437" s="511"/>
      <c r="X437" s="511"/>
      <c r="Y437" s="511"/>
      <c r="Z437" s="511"/>
      <c r="AA437" s="511"/>
      <c r="AB437" s="511"/>
      <c r="AC437" s="511"/>
      <c r="AD437" s="511"/>
    </row>
    <row r="438" spans="18:30" x14ac:dyDescent="0.25">
      <c r="R438" s="511"/>
      <c r="S438" s="511"/>
      <c r="T438" s="511"/>
      <c r="U438" s="511"/>
      <c r="V438" s="511"/>
      <c r="W438" s="511"/>
      <c r="X438" s="511"/>
      <c r="Y438" s="511"/>
      <c r="Z438" s="511"/>
      <c r="AA438" s="511"/>
      <c r="AB438" s="511"/>
      <c r="AC438" s="511"/>
      <c r="AD438" s="511"/>
    </row>
    <row r="439" spans="18:30" x14ac:dyDescent="0.25">
      <c r="R439" s="511"/>
      <c r="S439" s="511"/>
      <c r="T439" s="511"/>
      <c r="U439" s="511"/>
      <c r="V439" s="511"/>
      <c r="W439" s="511"/>
      <c r="X439" s="511"/>
      <c r="Y439" s="511"/>
      <c r="Z439" s="511"/>
      <c r="AA439" s="511"/>
      <c r="AB439" s="511"/>
      <c r="AC439" s="511"/>
      <c r="AD439" s="511"/>
    </row>
    <row r="440" spans="18:30" x14ac:dyDescent="0.25">
      <c r="R440" s="511"/>
      <c r="S440" s="511"/>
      <c r="T440" s="511"/>
      <c r="U440" s="511"/>
      <c r="V440" s="511"/>
      <c r="W440" s="511"/>
      <c r="X440" s="511"/>
      <c r="Y440" s="511"/>
      <c r="Z440" s="511"/>
      <c r="AA440" s="511"/>
      <c r="AB440" s="511"/>
      <c r="AC440" s="511"/>
      <c r="AD440" s="511"/>
    </row>
    <row r="441" spans="18:30" x14ac:dyDescent="0.25">
      <c r="R441" s="511"/>
      <c r="S441" s="511"/>
      <c r="T441" s="511"/>
      <c r="U441" s="511"/>
      <c r="V441" s="511"/>
      <c r="W441" s="511"/>
      <c r="X441" s="511"/>
      <c r="Y441" s="511"/>
      <c r="Z441" s="511"/>
      <c r="AA441" s="511"/>
      <c r="AB441" s="511"/>
      <c r="AC441" s="511"/>
      <c r="AD441" s="511"/>
    </row>
    <row r="442" spans="18:30" x14ac:dyDescent="0.25">
      <c r="R442" s="511"/>
      <c r="S442" s="511"/>
      <c r="T442" s="511"/>
      <c r="U442" s="511"/>
      <c r="V442" s="511"/>
      <c r="W442" s="511"/>
      <c r="X442" s="511"/>
      <c r="Y442" s="511"/>
      <c r="Z442" s="511"/>
      <c r="AA442" s="511"/>
      <c r="AB442" s="511"/>
      <c r="AC442" s="511"/>
      <c r="AD442" s="511"/>
    </row>
    <row r="443" spans="18:30" x14ac:dyDescent="0.25">
      <c r="R443" s="511"/>
      <c r="S443" s="511"/>
      <c r="T443" s="511"/>
      <c r="U443" s="511"/>
      <c r="V443" s="511"/>
      <c r="W443" s="511"/>
      <c r="X443" s="511"/>
      <c r="Y443" s="511"/>
      <c r="Z443" s="511"/>
      <c r="AA443" s="511"/>
      <c r="AB443" s="511"/>
      <c r="AC443" s="511"/>
      <c r="AD443" s="511"/>
    </row>
    <row r="444" spans="18:30" x14ac:dyDescent="0.25">
      <c r="R444" s="511"/>
      <c r="S444" s="511"/>
      <c r="T444" s="511"/>
      <c r="U444" s="511"/>
      <c r="V444" s="511"/>
      <c r="W444" s="511"/>
      <c r="X444" s="511"/>
      <c r="Y444" s="511"/>
      <c r="Z444" s="511"/>
      <c r="AA444" s="511"/>
      <c r="AB444" s="511"/>
      <c r="AC444" s="511"/>
      <c r="AD444" s="511"/>
    </row>
    <row r="445" spans="18:30" x14ac:dyDescent="0.25">
      <c r="R445" s="511"/>
      <c r="S445" s="511"/>
      <c r="T445" s="511"/>
      <c r="U445" s="511"/>
      <c r="V445" s="511"/>
      <c r="W445" s="511"/>
      <c r="X445" s="511"/>
      <c r="Y445" s="511"/>
      <c r="Z445" s="511"/>
      <c r="AA445" s="511"/>
      <c r="AB445" s="511"/>
      <c r="AC445" s="511"/>
      <c r="AD445" s="511"/>
    </row>
    <row r="446" spans="18:30" x14ac:dyDescent="0.25">
      <c r="R446" s="511"/>
      <c r="S446" s="511"/>
      <c r="T446" s="511"/>
      <c r="U446" s="511"/>
      <c r="V446" s="511"/>
      <c r="W446" s="511"/>
      <c r="X446" s="511"/>
      <c r="Y446" s="511"/>
      <c r="Z446" s="511"/>
      <c r="AA446" s="511"/>
      <c r="AB446" s="511"/>
      <c r="AC446" s="511"/>
      <c r="AD446" s="511"/>
    </row>
    <row r="447" spans="18:30" x14ac:dyDescent="0.25">
      <c r="R447" s="511"/>
      <c r="S447" s="511"/>
      <c r="T447" s="511"/>
      <c r="U447" s="511"/>
      <c r="V447" s="511"/>
      <c r="W447" s="511"/>
      <c r="X447" s="511"/>
      <c r="Y447" s="511"/>
      <c r="Z447" s="511"/>
      <c r="AA447" s="511"/>
      <c r="AB447" s="511"/>
      <c r="AC447" s="511"/>
      <c r="AD447" s="511"/>
    </row>
    <row r="448" spans="18:30" x14ac:dyDescent="0.25">
      <c r="R448" s="511"/>
      <c r="S448" s="511"/>
      <c r="T448" s="511"/>
      <c r="U448" s="511"/>
      <c r="V448" s="511"/>
      <c r="W448" s="511"/>
      <c r="X448" s="511"/>
      <c r="Y448" s="511"/>
      <c r="Z448" s="511"/>
      <c r="AA448" s="511"/>
      <c r="AB448" s="511"/>
      <c r="AC448" s="511"/>
      <c r="AD448" s="511"/>
    </row>
    <row r="449" spans="18:30" x14ac:dyDescent="0.25">
      <c r="R449" s="511"/>
      <c r="S449" s="511"/>
      <c r="T449" s="511"/>
      <c r="U449" s="511"/>
      <c r="V449" s="511"/>
      <c r="W449" s="511"/>
      <c r="X449" s="511"/>
      <c r="Y449" s="511"/>
      <c r="Z449" s="511"/>
      <c r="AA449" s="511"/>
      <c r="AB449" s="511"/>
      <c r="AC449" s="511"/>
      <c r="AD449" s="511"/>
    </row>
    <row r="450" spans="18:30" x14ac:dyDescent="0.25">
      <c r="R450" s="511"/>
      <c r="S450" s="511"/>
      <c r="T450" s="511"/>
      <c r="U450" s="511"/>
      <c r="V450" s="511"/>
      <c r="W450" s="511"/>
      <c r="X450" s="511"/>
      <c r="Y450" s="511"/>
      <c r="Z450" s="511"/>
      <c r="AA450" s="511"/>
      <c r="AB450" s="511"/>
      <c r="AC450" s="511"/>
      <c r="AD450" s="511"/>
    </row>
    <row r="451" spans="18:30" x14ac:dyDescent="0.25">
      <c r="R451" s="511"/>
      <c r="S451" s="511"/>
      <c r="T451" s="511"/>
      <c r="U451" s="511"/>
      <c r="V451" s="511"/>
      <c r="W451" s="511"/>
      <c r="X451" s="511"/>
      <c r="Y451" s="511"/>
      <c r="Z451" s="511"/>
      <c r="AA451" s="511"/>
      <c r="AB451" s="511"/>
      <c r="AC451" s="511"/>
      <c r="AD451" s="511"/>
    </row>
    <row r="452" spans="18:30" x14ac:dyDescent="0.25">
      <c r="R452" s="511"/>
      <c r="S452" s="511"/>
      <c r="T452" s="511"/>
      <c r="U452" s="511"/>
      <c r="V452" s="511"/>
      <c r="W452" s="511"/>
      <c r="X452" s="511"/>
      <c r="Y452" s="511"/>
      <c r="Z452" s="511"/>
      <c r="AA452" s="511"/>
      <c r="AB452" s="511"/>
      <c r="AC452" s="511"/>
      <c r="AD452" s="511"/>
    </row>
    <row r="453" spans="18:30" x14ac:dyDescent="0.25">
      <c r="R453" s="511"/>
      <c r="S453" s="511"/>
      <c r="T453" s="511"/>
      <c r="U453" s="511"/>
      <c r="V453" s="511"/>
      <c r="W453" s="511"/>
      <c r="X453" s="511"/>
      <c r="Y453" s="511"/>
      <c r="Z453" s="511"/>
      <c r="AA453" s="511"/>
      <c r="AB453" s="511"/>
      <c r="AC453" s="511"/>
      <c r="AD453" s="511"/>
    </row>
    <row r="454" spans="18:30" x14ac:dyDescent="0.25">
      <c r="R454" s="511"/>
      <c r="S454" s="511"/>
      <c r="T454" s="511"/>
      <c r="U454" s="511"/>
      <c r="V454" s="511"/>
      <c r="W454" s="511"/>
      <c r="X454" s="511"/>
      <c r="Y454" s="511"/>
      <c r="Z454" s="511"/>
      <c r="AA454" s="511"/>
      <c r="AB454" s="511"/>
      <c r="AC454" s="511"/>
      <c r="AD454" s="511"/>
    </row>
    <row r="455" spans="18:30" x14ac:dyDescent="0.25">
      <c r="R455" s="511"/>
      <c r="S455" s="511"/>
      <c r="T455" s="511"/>
      <c r="U455" s="511"/>
      <c r="V455" s="511"/>
      <c r="W455" s="511"/>
      <c r="X455" s="511"/>
      <c r="Y455" s="511"/>
      <c r="Z455" s="511"/>
      <c r="AA455" s="511"/>
      <c r="AB455" s="511"/>
      <c r="AC455" s="511"/>
      <c r="AD455" s="511"/>
    </row>
    <row r="456" spans="18:30" x14ac:dyDescent="0.25">
      <c r="R456" s="511"/>
      <c r="S456" s="511"/>
      <c r="T456" s="511"/>
      <c r="U456" s="511"/>
      <c r="V456" s="511"/>
      <c r="W456" s="511"/>
      <c r="X456" s="511"/>
      <c r="Y456" s="511"/>
      <c r="Z456" s="511"/>
      <c r="AA456" s="511"/>
      <c r="AB456" s="511"/>
      <c r="AC456" s="511"/>
      <c r="AD456" s="511"/>
    </row>
    <row r="457" spans="18:30" x14ac:dyDescent="0.25">
      <c r="R457" s="511"/>
      <c r="S457" s="511"/>
      <c r="T457" s="511"/>
      <c r="U457" s="511"/>
      <c r="V457" s="511"/>
      <c r="W457" s="511"/>
      <c r="X457" s="511"/>
      <c r="Y457" s="511"/>
      <c r="Z457" s="511"/>
      <c r="AA457" s="511"/>
      <c r="AB457" s="511"/>
      <c r="AC457" s="511"/>
      <c r="AD457" s="511"/>
    </row>
    <row r="458" spans="18:30" x14ac:dyDescent="0.25">
      <c r="R458" s="511"/>
      <c r="S458" s="511"/>
      <c r="T458" s="511"/>
      <c r="U458" s="511"/>
      <c r="V458" s="511"/>
      <c r="W458" s="511"/>
      <c r="X458" s="511"/>
      <c r="Y458" s="511"/>
      <c r="Z458" s="511"/>
      <c r="AA458" s="511"/>
      <c r="AB458" s="511"/>
      <c r="AC458" s="511"/>
      <c r="AD458" s="511"/>
    </row>
    <row r="459" spans="18:30" x14ac:dyDescent="0.25">
      <c r="R459" s="511"/>
      <c r="S459" s="511"/>
      <c r="T459" s="511"/>
      <c r="U459" s="511"/>
      <c r="V459" s="511"/>
      <c r="W459" s="511"/>
      <c r="X459" s="511"/>
      <c r="Y459" s="511"/>
      <c r="Z459" s="511"/>
      <c r="AA459" s="511"/>
      <c r="AB459" s="511"/>
      <c r="AC459" s="511"/>
      <c r="AD459" s="511"/>
    </row>
    <row r="460" spans="18:30" x14ac:dyDescent="0.25">
      <c r="R460" s="511"/>
      <c r="S460" s="511"/>
      <c r="T460" s="511"/>
      <c r="U460" s="511"/>
      <c r="V460" s="511"/>
      <c r="W460" s="511"/>
      <c r="X460" s="511"/>
      <c r="Y460" s="511"/>
      <c r="Z460" s="511"/>
      <c r="AA460" s="511"/>
      <c r="AB460" s="511"/>
      <c r="AC460" s="511"/>
      <c r="AD460" s="511"/>
    </row>
    <row r="461" spans="18:30" x14ac:dyDescent="0.25">
      <c r="R461" s="511"/>
      <c r="S461" s="511"/>
      <c r="T461" s="511"/>
      <c r="U461" s="511"/>
      <c r="V461" s="511"/>
      <c r="W461" s="511"/>
      <c r="X461" s="511"/>
      <c r="Y461" s="511"/>
      <c r="Z461" s="511"/>
      <c r="AA461" s="511"/>
      <c r="AB461" s="511"/>
      <c r="AC461" s="511"/>
      <c r="AD461" s="511"/>
    </row>
    <row r="462" spans="18:30" x14ac:dyDescent="0.25">
      <c r="R462" s="511"/>
      <c r="S462" s="511"/>
      <c r="T462" s="511"/>
      <c r="U462" s="511"/>
      <c r="V462" s="511"/>
      <c r="W462" s="511"/>
      <c r="X462" s="511"/>
      <c r="Y462" s="511"/>
      <c r="Z462" s="511"/>
      <c r="AA462" s="511"/>
      <c r="AB462" s="511"/>
      <c r="AC462" s="511"/>
      <c r="AD462" s="511"/>
    </row>
    <row r="463" spans="18:30" x14ac:dyDescent="0.25">
      <c r="R463" s="511"/>
      <c r="S463" s="511"/>
      <c r="T463" s="511"/>
      <c r="U463" s="511"/>
      <c r="V463" s="511"/>
      <c r="W463" s="511"/>
      <c r="X463" s="511"/>
      <c r="Y463" s="511"/>
      <c r="Z463" s="511"/>
      <c r="AA463" s="511"/>
      <c r="AB463" s="511"/>
      <c r="AC463" s="511"/>
      <c r="AD463" s="511"/>
    </row>
    <row r="464" spans="18:30" x14ac:dyDescent="0.25">
      <c r="R464" s="511"/>
      <c r="S464" s="511"/>
      <c r="T464" s="511"/>
      <c r="U464" s="511"/>
      <c r="V464" s="511"/>
      <c r="W464" s="511"/>
      <c r="X464" s="511"/>
      <c r="Y464" s="511"/>
      <c r="Z464" s="511"/>
      <c r="AA464" s="511"/>
      <c r="AB464" s="511"/>
      <c r="AC464" s="511"/>
      <c r="AD464" s="511"/>
    </row>
    <row r="465" spans="18:30" x14ac:dyDescent="0.25">
      <c r="R465" s="511"/>
      <c r="S465" s="511"/>
      <c r="T465" s="511"/>
      <c r="U465" s="511"/>
      <c r="V465" s="511"/>
      <c r="W465" s="511"/>
      <c r="X465" s="511"/>
      <c r="Y465" s="511"/>
      <c r="Z465" s="511"/>
      <c r="AA465" s="511"/>
      <c r="AB465" s="511"/>
      <c r="AC465" s="511"/>
      <c r="AD465" s="511"/>
    </row>
    <row r="466" spans="18:30" x14ac:dyDescent="0.25">
      <c r="R466" s="511"/>
      <c r="S466" s="511"/>
      <c r="T466" s="511"/>
      <c r="U466" s="511"/>
      <c r="V466" s="511"/>
      <c r="W466" s="511"/>
      <c r="X466" s="511"/>
      <c r="Y466" s="511"/>
      <c r="Z466" s="511"/>
      <c r="AA466" s="511"/>
      <c r="AB466" s="511"/>
      <c r="AC466" s="511"/>
      <c r="AD466" s="511"/>
    </row>
    <row r="467" spans="18:30" x14ac:dyDescent="0.25">
      <c r="R467" s="511"/>
      <c r="S467" s="511"/>
      <c r="T467" s="511"/>
      <c r="U467" s="511"/>
      <c r="V467" s="511"/>
      <c r="W467" s="511"/>
      <c r="X467" s="511"/>
      <c r="Y467" s="511"/>
      <c r="Z467" s="511"/>
      <c r="AA467" s="511"/>
      <c r="AB467" s="511"/>
      <c r="AC467" s="511"/>
      <c r="AD467" s="511"/>
    </row>
    <row r="468" spans="18:30" x14ac:dyDescent="0.25">
      <c r="R468" s="511"/>
      <c r="S468" s="511"/>
      <c r="T468" s="511"/>
      <c r="U468" s="511"/>
      <c r="V468" s="511"/>
      <c r="W468" s="511"/>
      <c r="X468" s="511"/>
      <c r="Y468" s="511"/>
      <c r="Z468" s="511"/>
      <c r="AA468" s="511"/>
      <c r="AB468" s="511"/>
      <c r="AC468" s="511"/>
      <c r="AD468" s="511"/>
    </row>
    <row r="469" spans="18:30" x14ac:dyDescent="0.25">
      <c r="R469" s="511"/>
      <c r="S469" s="511"/>
      <c r="T469" s="511"/>
      <c r="U469" s="511"/>
      <c r="V469" s="511"/>
      <c r="W469" s="511"/>
      <c r="X469" s="511"/>
      <c r="Y469" s="511"/>
      <c r="Z469" s="511"/>
      <c r="AA469" s="511"/>
      <c r="AB469" s="511"/>
      <c r="AC469" s="511"/>
      <c r="AD469" s="511"/>
    </row>
    <row r="470" spans="18:30" x14ac:dyDescent="0.25">
      <c r="R470" s="511"/>
      <c r="S470" s="511"/>
      <c r="T470" s="511"/>
      <c r="U470" s="511"/>
      <c r="V470" s="511"/>
      <c r="W470" s="511"/>
      <c r="X470" s="511"/>
      <c r="Y470" s="511"/>
      <c r="Z470" s="511"/>
      <c r="AA470" s="511"/>
      <c r="AB470" s="511"/>
      <c r="AC470" s="511"/>
      <c r="AD470" s="511"/>
    </row>
    <row r="471" spans="18:30" x14ac:dyDescent="0.25">
      <c r="R471" s="511"/>
      <c r="S471" s="511"/>
      <c r="T471" s="511"/>
      <c r="U471" s="511"/>
      <c r="V471" s="511"/>
      <c r="W471" s="511"/>
      <c r="X471" s="511"/>
      <c r="Y471" s="511"/>
      <c r="Z471" s="511"/>
      <c r="AA471" s="511"/>
      <c r="AB471" s="511"/>
      <c r="AC471" s="511"/>
      <c r="AD471" s="511"/>
    </row>
    <row r="472" spans="18:30" x14ac:dyDescent="0.25">
      <c r="R472" s="511"/>
      <c r="S472" s="511"/>
      <c r="T472" s="511"/>
      <c r="U472" s="511"/>
      <c r="V472" s="511"/>
      <c r="W472" s="511"/>
      <c r="X472" s="511"/>
      <c r="Y472" s="511"/>
      <c r="Z472" s="511"/>
      <c r="AA472" s="511"/>
      <c r="AB472" s="511"/>
      <c r="AC472" s="511"/>
      <c r="AD472" s="511"/>
    </row>
    <row r="473" spans="18:30" x14ac:dyDescent="0.25">
      <c r="R473" s="511"/>
      <c r="S473" s="511"/>
      <c r="T473" s="511"/>
      <c r="U473" s="511"/>
      <c r="V473" s="511"/>
      <c r="W473" s="511"/>
      <c r="X473" s="511"/>
      <c r="Y473" s="511"/>
      <c r="Z473" s="511"/>
      <c r="AA473" s="511"/>
      <c r="AB473" s="511"/>
      <c r="AC473" s="511"/>
      <c r="AD473" s="511"/>
    </row>
    <row r="474" spans="18:30" x14ac:dyDescent="0.25">
      <c r="R474" s="511"/>
      <c r="S474" s="511"/>
      <c r="T474" s="511"/>
      <c r="U474" s="511"/>
      <c r="V474" s="511"/>
      <c r="W474" s="511"/>
      <c r="X474" s="511"/>
      <c r="Y474" s="511"/>
      <c r="Z474" s="511"/>
      <c r="AA474" s="511"/>
      <c r="AB474" s="511"/>
      <c r="AC474" s="511"/>
      <c r="AD474" s="511"/>
    </row>
    <row r="475" spans="18:30" x14ac:dyDescent="0.25">
      <c r="R475" s="511"/>
      <c r="S475" s="511"/>
      <c r="T475" s="511"/>
      <c r="U475" s="511"/>
      <c r="V475" s="511"/>
      <c r="W475" s="511"/>
      <c r="X475" s="511"/>
      <c r="Y475" s="511"/>
      <c r="Z475" s="511"/>
      <c r="AA475" s="511"/>
      <c r="AB475" s="511"/>
      <c r="AC475" s="511"/>
      <c r="AD475" s="511"/>
    </row>
    <row r="476" spans="18:30" x14ac:dyDescent="0.25">
      <c r="R476" s="511"/>
      <c r="S476" s="511"/>
      <c r="T476" s="511"/>
      <c r="U476" s="511"/>
      <c r="V476" s="511"/>
      <c r="W476" s="511"/>
      <c r="X476" s="511"/>
      <c r="Y476" s="511"/>
      <c r="Z476" s="511"/>
      <c r="AA476" s="511"/>
      <c r="AB476" s="511"/>
      <c r="AC476" s="511"/>
      <c r="AD476" s="511"/>
    </row>
    <row r="477" spans="18:30" x14ac:dyDescent="0.25">
      <c r="R477" s="511"/>
      <c r="S477" s="511"/>
      <c r="T477" s="511"/>
      <c r="U477" s="511"/>
      <c r="V477" s="511"/>
      <c r="W477" s="511"/>
      <c r="X477" s="511"/>
      <c r="Y477" s="511"/>
      <c r="Z477" s="511"/>
      <c r="AA477" s="511"/>
      <c r="AB477" s="511"/>
      <c r="AC477" s="511"/>
      <c r="AD477" s="511"/>
    </row>
    <row r="478" spans="18:30" x14ac:dyDescent="0.25">
      <c r="R478" s="511"/>
      <c r="S478" s="511"/>
      <c r="T478" s="511"/>
      <c r="U478" s="511"/>
      <c r="V478" s="511"/>
      <c r="W478" s="511"/>
      <c r="X478" s="511"/>
      <c r="Y478" s="511"/>
      <c r="Z478" s="511"/>
      <c r="AA478" s="511"/>
      <c r="AB478" s="511"/>
      <c r="AC478" s="511"/>
      <c r="AD478" s="511"/>
    </row>
    <row r="479" spans="18:30" x14ac:dyDescent="0.25">
      <c r="R479" s="511"/>
      <c r="S479" s="511"/>
      <c r="T479" s="511"/>
      <c r="U479" s="511"/>
      <c r="V479" s="511"/>
      <c r="W479" s="511"/>
      <c r="X479" s="511"/>
      <c r="Y479" s="511"/>
      <c r="Z479" s="511"/>
      <c r="AA479" s="511"/>
      <c r="AB479" s="511"/>
      <c r="AC479" s="511"/>
      <c r="AD479" s="511"/>
    </row>
    <row r="480" spans="18:30" x14ac:dyDescent="0.25">
      <c r="R480" s="511"/>
      <c r="S480" s="511"/>
      <c r="T480" s="511"/>
      <c r="U480" s="511"/>
      <c r="V480" s="511"/>
      <c r="W480" s="511"/>
      <c r="X480" s="511"/>
      <c r="Y480" s="511"/>
      <c r="Z480" s="511"/>
      <c r="AA480" s="511"/>
      <c r="AB480" s="511"/>
      <c r="AC480" s="511"/>
      <c r="AD480" s="511"/>
    </row>
    <row r="481" spans="18:30" x14ac:dyDescent="0.25">
      <c r="R481" s="511"/>
      <c r="S481" s="511"/>
      <c r="T481" s="511"/>
      <c r="U481" s="511"/>
      <c r="V481" s="511"/>
      <c r="W481" s="511"/>
      <c r="X481" s="511"/>
      <c r="Y481" s="511"/>
      <c r="Z481" s="511"/>
      <c r="AA481" s="511"/>
      <c r="AB481" s="511"/>
      <c r="AC481" s="511"/>
      <c r="AD481" s="511"/>
    </row>
    <row r="482" spans="18:30" x14ac:dyDescent="0.25">
      <c r="R482" s="511"/>
      <c r="S482" s="511"/>
      <c r="T482" s="511"/>
      <c r="U482" s="511"/>
      <c r="V482" s="511"/>
      <c r="W482" s="511"/>
      <c r="X482" s="511"/>
      <c r="Y482" s="511"/>
      <c r="Z482" s="511"/>
      <c r="AA482" s="511"/>
      <c r="AB482" s="511"/>
      <c r="AC482" s="511"/>
      <c r="AD482" s="511"/>
    </row>
    <row r="483" spans="18:30" x14ac:dyDescent="0.25">
      <c r="R483" s="511"/>
      <c r="S483" s="511"/>
      <c r="T483" s="511"/>
      <c r="U483" s="511"/>
      <c r="V483" s="511"/>
      <c r="W483" s="511"/>
      <c r="X483" s="511"/>
      <c r="Y483" s="511"/>
      <c r="Z483" s="511"/>
      <c r="AA483" s="511"/>
      <c r="AB483" s="511"/>
      <c r="AC483" s="511"/>
      <c r="AD483" s="511"/>
    </row>
    <row r="484" spans="18:30" x14ac:dyDescent="0.25">
      <c r="R484" s="511"/>
      <c r="S484" s="511"/>
      <c r="T484" s="511"/>
      <c r="U484" s="511"/>
      <c r="V484" s="511"/>
      <c r="W484" s="511"/>
      <c r="X484" s="511"/>
      <c r="Y484" s="511"/>
      <c r="Z484" s="511"/>
      <c r="AA484" s="511"/>
      <c r="AB484" s="511"/>
      <c r="AC484" s="511"/>
      <c r="AD484" s="511"/>
    </row>
    <row r="485" spans="18:30" x14ac:dyDescent="0.25">
      <c r="R485" s="511"/>
      <c r="S485" s="511"/>
      <c r="T485" s="511"/>
      <c r="U485" s="511"/>
      <c r="V485" s="511"/>
      <c r="W485" s="511"/>
      <c r="X485" s="511"/>
      <c r="Y485" s="511"/>
      <c r="Z485" s="511"/>
      <c r="AA485" s="511"/>
      <c r="AB485" s="511"/>
      <c r="AC485" s="511"/>
      <c r="AD485" s="511"/>
    </row>
    <row r="486" spans="18:30" x14ac:dyDescent="0.25">
      <c r="R486" s="511"/>
      <c r="S486" s="511"/>
      <c r="T486" s="511"/>
      <c r="U486" s="511"/>
      <c r="V486" s="511"/>
      <c r="W486" s="511"/>
      <c r="X486" s="511"/>
      <c r="Y486" s="511"/>
      <c r="Z486" s="511"/>
      <c r="AA486" s="511"/>
      <c r="AB486" s="511"/>
      <c r="AC486" s="511"/>
      <c r="AD486" s="511"/>
    </row>
    <row r="487" spans="18:30" x14ac:dyDescent="0.25">
      <c r="R487" s="511"/>
      <c r="S487" s="511"/>
      <c r="T487" s="511"/>
      <c r="U487" s="511"/>
      <c r="V487" s="511"/>
      <c r="W487" s="511"/>
      <c r="X487" s="511"/>
      <c r="Y487" s="511"/>
      <c r="Z487" s="511"/>
      <c r="AA487" s="511"/>
      <c r="AB487" s="511"/>
      <c r="AC487" s="511"/>
      <c r="AD487" s="511"/>
    </row>
    <row r="488" spans="18:30" x14ac:dyDescent="0.25">
      <c r="R488" s="511"/>
      <c r="S488" s="511"/>
      <c r="T488" s="511"/>
      <c r="U488" s="511"/>
      <c r="V488" s="511"/>
      <c r="W488" s="511"/>
      <c r="X488" s="511"/>
      <c r="Y488" s="511"/>
      <c r="Z488" s="511"/>
      <c r="AA488" s="511"/>
      <c r="AB488" s="511"/>
      <c r="AC488" s="511"/>
      <c r="AD488" s="511"/>
    </row>
    <row r="489" spans="18:30" x14ac:dyDescent="0.25">
      <c r="R489" s="511"/>
      <c r="S489" s="511"/>
      <c r="T489" s="511"/>
      <c r="U489" s="511"/>
      <c r="V489" s="511"/>
      <c r="W489" s="511"/>
      <c r="X489" s="511"/>
      <c r="Y489" s="511"/>
      <c r="Z489" s="511"/>
      <c r="AA489" s="511"/>
      <c r="AB489" s="511"/>
      <c r="AC489" s="511"/>
      <c r="AD489" s="511"/>
    </row>
    <row r="490" spans="18:30" x14ac:dyDescent="0.25">
      <c r="R490" s="511"/>
      <c r="S490" s="511"/>
      <c r="T490" s="511"/>
      <c r="U490" s="511"/>
      <c r="V490" s="511"/>
      <c r="W490" s="511"/>
      <c r="X490" s="511"/>
      <c r="Y490" s="511"/>
      <c r="Z490" s="511"/>
      <c r="AA490" s="511"/>
      <c r="AB490" s="511"/>
      <c r="AC490" s="511"/>
      <c r="AD490" s="511"/>
    </row>
    <row r="491" spans="18:30" x14ac:dyDescent="0.25">
      <c r="R491" s="511"/>
      <c r="S491" s="511"/>
      <c r="T491" s="511"/>
      <c r="U491" s="511"/>
      <c r="V491" s="511"/>
      <c r="W491" s="511"/>
      <c r="X491" s="511"/>
      <c r="Y491" s="511"/>
      <c r="Z491" s="511"/>
      <c r="AA491" s="511"/>
      <c r="AB491" s="511"/>
      <c r="AC491" s="511"/>
      <c r="AD491" s="511"/>
    </row>
    <row r="492" spans="18:30" x14ac:dyDescent="0.25">
      <c r="R492" s="511"/>
      <c r="S492" s="511"/>
      <c r="T492" s="511"/>
      <c r="U492" s="511"/>
      <c r="V492" s="511"/>
      <c r="W492" s="511"/>
      <c r="X492" s="511"/>
      <c r="Y492" s="511"/>
      <c r="Z492" s="511"/>
      <c r="AA492" s="511"/>
      <c r="AB492" s="511"/>
      <c r="AC492" s="511"/>
      <c r="AD492" s="511"/>
    </row>
    <row r="493" spans="18:30" x14ac:dyDescent="0.25">
      <c r="R493" s="511"/>
      <c r="S493" s="511"/>
      <c r="T493" s="511"/>
      <c r="U493" s="511"/>
      <c r="V493" s="511"/>
      <c r="W493" s="511"/>
      <c r="X493" s="511"/>
      <c r="Y493" s="511"/>
      <c r="Z493" s="511"/>
      <c r="AA493" s="511"/>
      <c r="AB493" s="511"/>
      <c r="AC493" s="511"/>
      <c r="AD493" s="511"/>
    </row>
    <row r="494" spans="18:30" x14ac:dyDescent="0.25">
      <c r="R494" s="511"/>
      <c r="S494" s="511"/>
      <c r="T494" s="511"/>
      <c r="U494" s="511"/>
      <c r="V494" s="511"/>
      <c r="W494" s="511"/>
      <c r="X494" s="511"/>
      <c r="Y494" s="511"/>
      <c r="Z494" s="511"/>
      <c r="AA494" s="511"/>
      <c r="AB494" s="511"/>
      <c r="AC494" s="511"/>
      <c r="AD494" s="511"/>
    </row>
    <row r="495" spans="18:30" x14ac:dyDescent="0.25">
      <c r="R495" s="511"/>
      <c r="S495" s="511"/>
      <c r="T495" s="511"/>
      <c r="U495" s="511"/>
      <c r="V495" s="511"/>
      <c r="W495" s="511"/>
      <c r="X495" s="511"/>
      <c r="Y495" s="511"/>
      <c r="Z495" s="511"/>
      <c r="AA495" s="511"/>
      <c r="AB495" s="511"/>
      <c r="AC495" s="511"/>
      <c r="AD495" s="511"/>
    </row>
    <row r="496" spans="18:30" x14ac:dyDescent="0.25">
      <c r="R496" s="511"/>
      <c r="S496" s="511"/>
      <c r="T496" s="511"/>
      <c r="U496" s="511"/>
      <c r="V496" s="511"/>
      <c r="W496" s="511"/>
      <c r="X496" s="511"/>
      <c r="Y496" s="511"/>
      <c r="Z496" s="511"/>
      <c r="AA496" s="511"/>
      <c r="AB496" s="511"/>
      <c r="AC496" s="511"/>
      <c r="AD496" s="511"/>
    </row>
    <row r="497" spans="18:30" x14ac:dyDescent="0.25">
      <c r="R497" s="511"/>
      <c r="S497" s="511"/>
      <c r="T497" s="511"/>
      <c r="U497" s="511"/>
      <c r="V497" s="511"/>
      <c r="W497" s="511"/>
      <c r="X497" s="511"/>
      <c r="Y497" s="511"/>
      <c r="Z497" s="511"/>
      <c r="AA497" s="511"/>
      <c r="AB497" s="511"/>
      <c r="AC497" s="511"/>
      <c r="AD497" s="511"/>
    </row>
    <row r="498" spans="18:30" x14ac:dyDescent="0.25">
      <c r="R498" s="511"/>
      <c r="S498" s="511"/>
      <c r="T498" s="511"/>
      <c r="U498" s="511"/>
      <c r="V498" s="511"/>
      <c r="W498" s="511"/>
      <c r="X498" s="511"/>
      <c r="Y498" s="511"/>
      <c r="Z498" s="511"/>
      <c r="AA498" s="511"/>
      <c r="AB498" s="511"/>
      <c r="AC498" s="511"/>
      <c r="AD498" s="511"/>
    </row>
    <row r="499" spans="18:30" x14ac:dyDescent="0.25">
      <c r="R499" s="511"/>
      <c r="S499" s="511"/>
      <c r="T499" s="511"/>
      <c r="U499" s="511"/>
      <c r="V499" s="511"/>
      <c r="W499" s="511"/>
      <c r="X499" s="511"/>
      <c r="Y499" s="511"/>
      <c r="Z499" s="511"/>
      <c r="AA499" s="511"/>
      <c r="AB499" s="511"/>
      <c r="AC499" s="511"/>
      <c r="AD499" s="511"/>
    </row>
    <row r="500" spans="18:30" x14ac:dyDescent="0.25">
      <c r="R500" s="511"/>
      <c r="S500" s="511"/>
      <c r="T500" s="511"/>
      <c r="U500" s="511"/>
      <c r="V500" s="511"/>
      <c r="W500" s="511"/>
      <c r="X500" s="511"/>
      <c r="Y500" s="511"/>
      <c r="Z500" s="511"/>
      <c r="AA500" s="511"/>
      <c r="AB500" s="511"/>
      <c r="AC500" s="511"/>
      <c r="AD500" s="511"/>
    </row>
    <row r="501" spans="18:30" x14ac:dyDescent="0.25">
      <c r="R501" s="511"/>
      <c r="S501" s="511"/>
      <c r="T501" s="511"/>
      <c r="U501" s="511"/>
      <c r="V501" s="511"/>
      <c r="W501" s="511"/>
      <c r="X501" s="511"/>
      <c r="Y501" s="511"/>
      <c r="Z501" s="511"/>
      <c r="AA501" s="511"/>
      <c r="AB501" s="511"/>
      <c r="AC501" s="511"/>
      <c r="AD501" s="511"/>
    </row>
    <row r="502" spans="18:30" x14ac:dyDescent="0.25">
      <c r="R502" s="511"/>
      <c r="S502" s="511"/>
      <c r="T502" s="511"/>
      <c r="U502" s="511"/>
      <c r="V502" s="511"/>
      <c r="W502" s="511"/>
      <c r="X502" s="511"/>
      <c r="Y502" s="511"/>
      <c r="Z502" s="511"/>
      <c r="AA502" s="511"/>
      <c r="AB502" s="511"/>
      <c r="AC502" s="511"/>
      <c r="AD502" s="511"/>
    </row>
    <row r="503" spans="18:30" x14ac:dyDescent="0.25">
      <c r="R503" s="511"/>
      <c r="S503" s="511"/>
      <c r="T503" s="511"/>
      <c r="U503" s="511"/>
      <c r="V503" s="511"/>
      <c r="W503" s="511"/>
      <c r="X503" s="511"/>
      <c r="Y503" s="511"/>
      <c r="Z503" s="511"/>
      <c r="AA503" s="511"/>
      <c r="AB503" s="511"/>
      <c r="AC503" s="511"/>
      <c r="AD503" s="511"/>
    </row>
    <row r="504" spans="18:30" x14ac:dyDescent="0.25">
      <c r="R504" s="511"/>
      <c r="S504" s="511"/>
      <c r="T504" s="511"/>
      <c r="U504" s="511"/>
      <c r="V504" s="511"/>
      <c r="W504" s="511"/>
      <c r="X504" s="511"/>
      <c r="Y504" s="511"/>
      <c r="Z504" s="511"/>
      <c r="AA504" s="511"/>
      <c r="AB504" s="511"/>
      <c r="AC504" s="511"/>
      <c r="AD504" s="511"/>
    </row>
    <row r="505" spans="18:30" x14ac:dyDescent="0.25">
      <c r="R505" s="511"/>
      <c r="S505" s="511"/>
      <c r="T505" s="511"/>
      <c r="U505" s="511"/>
      <c r="V505" s="511"/>
      <c r="W505" s="511"/>
      <c r="X505" s="511"/>
      <c r="Y505" s="511"/>
      <c r="Z505" s="511"/>
      <c r="AA505" s="511"/>
      <c r="AB505" s="511"/>
      <c r="AC505" s="511"/>
      <c r="AD505" s="511"/>
    </row>
    <row r="506" spans="18:30" x14ac:dyDescent="0.25">
      <c r="R506" s="511"/>
      <c r="S506" s="511"/>
      <c r="T506" s="511"/>
      <c r="U506" s="511"/>
      <c r="V506" s="511"/>
      <c r="W506" s="511"/>
      <c r="X506" s="511"/>
      <c r="Y506" s="511"/>
      <c r="Z506" s="511"/>
      <c r="AA506" s="511"/>
      <c r="AB506" s="511"/>
      <c r="AC506" s="511"/>
      <c r="AD506" s="511"/>
    </row>
    <row r="507" spans="18:30" x14ac:dyDescent="0.25">
      <c r="R507" s="511"/>
      <c r="S507" s="511"/>
      <c r="T507" s="511"/>
      <c r="U507" s="511"/>
      <c r="V507" s="511"/>
      <c r="W507" s="511"/>
      <c r="X507" s="511"/>
      <c r="Y507" s="511"/>
      <c r="Z507" s="511"/>
      <c r="AA507" s="511"/>
      <c r="AB507" s="511"/>
      <c r="AC507" s="511"/>
      <c r="AD507" s="511"/>
    </row>
    <row r="508" spans="18:30" x14ac:dyDescent="0.25">
      <c r="R508" s="511"/>
      <c r="S508" s="511"/>
      <c r="T508" s="511"/>
      <c r="U508" s="511"/>
      <c r="V508" s="511"/>
      <c r="W508" s="511"/>
      <c r="X508" s="511"/>
      <c r="Y508" s="511"/>
      <c r="Z508" s="511"/>
      <c r="AA508" s="511"/>
      <c r="AB508" s="511"/>
      <c r="AC508" s="511"/>
      <c r="AD508" s="511"/>
    </row>
    <row r="509" spans="18:30" x14ac:dyDescent="0.25">
      <c r="R509" s="511"/>
      <c r="S509" s="511"/>
      <c r="T509" s="511"/>
      <c r="U509" s="511"/>
      <c r="V509" s="511"/>
      <c r="W509" s="511"/>
      <c r="X509" s="511"/>
      <c r="Y509" s="511"/>
      <c r="Z509" s="511"/>
      <c r="AA509" s="511"/>
      <c r="AB509" s="511"/>
      <c r="AC509" s="511"/>
      <c r="AD509" s="511"/>
    </row>
    <row r="510" spans="18:30" x14ac:dyDescent="0.25">
      <c r="R510" s="511"/>
      <c r="S510" s="511"/>
      <c r="T510" s="511"/>
      <c r="U510" s="511"/>
      <c r="V510" s="511"/>
      <c r="W510" s="511"/>
      <c r="X510" s="511"/>
      <c r="Y510" s="511"/>
      <c r="Z510" s="511"/>
      <c r="AA510" s="511"/>
      <c r="AB510" s="511"/>
      <c r="AC510" s="511"/>
      <c r="AD510" s="511"/>
    </row>
    <row r="511" spans="18:30" x14ac:dyDescent="0.25">
      <c r="R511" s="511"/>
      <c r="S511" s="511"/>
      <c r="T511" s="511"/>
      <c r="U511" s="511"/>
      <c r="V511" s="511"/>
      <c r="W511" s="511"/>
      <c r="X511" s="511"/>
      <c r="Y511" s="511"/>
      <c r="Z511" s="511"/>
      <c r="AA511" s="511"/>
      <c r="AB511" s="511"/>
      <c r="AC511" s="511"/>
      <c r="AD511" s="511"/>
    </row>
    <row r="512" spans="18:30" x14ac:dyDescent="0.25">
      <c r="R512" s="511"/>
      <c r="S512" s="511"/>
      <c r="T512" s="511"/>
      <c r="U512" s="511"/>
      <c r="V512" s="511"/>
      <c r="W512" s="511"/>
      <c r="X512" s="511"/>
      <c r="Y512" s="511"/>
      <c r="Z512" s="511"/>
      <c r="AA512" s="511"/>
      <c r="AB512" s="511"/>
      <c r="AC512" s="511"/>
      <c r="AD512" s="511"/>
    </row>
    <row r="513" spans="18:30" x14ac:dyDescent="0.25">
      <c r="R513" s="511"/>
      <c r="S513" s="511"/>
      <c r="T513" s="511"/>
      <c r="U513" s="511"/>
      <c r="V513" s="511"/>
      <c r="W513" s="511"/>
      <c r="X513" s="511"/>
      <c r="Y513" s="511"/>
      <c r="Z513" s="511"/>
      <c r="AA513" s="511"/>
      <c r="AB513" s="511"/>
      <c r="AC513" s="511"/>
      <c r="AD513" s="511"/>
    </row>
    <row r="514" spans="18:30" x14ac:dyDescent="0.25">
      <c r="R514" s="511"/>
      <c r="S514" s="511"/>
      <c r="T514" s="511"/>
      <c r="U514" s="511"/>
      <c r="V514" s="511"/>
      <c r="W514" s="511"/>
      <c r="X514" s="511"/>
      <c r="Y514" s="511"/>
      <c r="Z514" s="511"/>
      <c r="AA514" s="511"/>
      <c r="AB514" s="511"/>
      <c r="AC514" s="511"/>
      <c r="AD514" s="511"/>
    </row>
    <row r="515" spans="18:30" x14ac:dyDescent="0.25">
      <c r="R515" s="511"/>
      <c r="S515" s="511"/>
      <c r="T515" s="511"/>
      <c r="U515" s="511"/>
      <c r="V515" s="511"/>
      <c r="W515" s="511"/>
      <c r="X515" s="511"/>
      <c r="Y515" s="511"/>
      <c r="Z515" s="511"/>
      <c r="AA515" s="511"/>
      <c r="AB515" s="511"/>
      <c r="AC515" s="511"/>
      <c r="AD515" s="511"/>
    </row>
    <row r="516" spans="18:30" x14ac:dyDescent="0.25">
      <c r="R516" s="511"/>
      <c r="S516" s="511"/>
      <c r="T516" s="511"/>
      <c r="U516" s="511"/>
      <c r="V516" s="511"/>
      <c r="W516" s="511"/>
      <c r="X516" s="511"/>
      <c r="Y516" s="511"/>
      <c r="Z516" s="511"/>
      <c r="AA516" s="511"/>
      <c r="AB516" s="511"/>
      <c r="AC516" s="511"/>
      <c r="AD516" s="511"/>
    </row>
    <row r="517" spans="18:30" x14ac:dyDescent="0.25">
      <c r="R517" s="511"/>
      <c r="S517" s="511"/>
      <c r="T517" s="511"/>
      <c r="U517" s="511"/>
      <c r="V517" s="511"/>
      <c r="W517" s="511"/>
      <c r="X517" s="511"/>
      <c r="Y517" s="511"/>
      <c r="Z517" s="511"/>
      <c r="AA517" s="511"/>
      <c r="AB517" s="511"/>
      <c r="AC517" s="511"/>
      <c r="AD517" s="511"/>
    </row>
    <row r="518" spans="18:30" x14ac:dyDescent="0.25">
      <c r="R518" s="511"/>
      <c r="S518" s="511"/>
      <c r="T518" s="511"/>
      <c r="U518" s="511"/>
      <c r="V518" s="511"/>
      <c r="W518" s="511"/>
      <c r="X518" s="511"/>
      <c r="Y518" s="511"/>
      <c r="Z518" s="511"/>
      <c r="AA518" s="511"/>
      <c r="AB518" s="511"/>
      <c r="AC518" s="511"/>
      <c r="AD518" s="511"/>
    </row>
    <row r="519" spans="18:30" x14ac:dyDescent="0.25">
      <c r="R519" s="511"/>
      <c r="S519" s="511"/>
      <c r="T519" s="511"/>
      <c r="U519" s="511"/>
      <c r="V519" s="511"/>
      <c r="W519" s="511"/>
      <c r="X519" s="511"/>
      <c r="Y519" s="511"/>
      <c r="Z519" s="511"/>
      <c r="AA519" s="511"/>
      <c r="AB519" s="511"/>
      <c r="AC519" s="511"/>
      <c r="AD519" s="511"/>
    </row>
    <row r="520" spans="18:30" x14ac:dyDescent="0.25">
      <c r="R520" s="511"/>
      <c r="S520" s="511"/>
      <c r="T520" s="511"/>
      <c r="U520" s="511"/>
      <c r="V520" s="511"/>
      <c r="W520" s="511"/>
      <c r="X520" s="511"/>
      <c r="Y520" s="511"/>
      <c r="Z520" s="511"/>
      <c r="AA520" s="511"/>
      <c r="AB520" s="511"/>
      <c r="AC520" s="511"/>
      <c r="AD520" s="511"/>
    </row>
    <row r="521" spans="18:30" x14ac:dyDescent="0.25">
      <c r="R521" s="511"/>
      <c r="S521" s="511"/>
      <c r="T521" s="511"/>
      <c r="U521" s="511"/>
      <c r="V521" s="511"/>
      <c r="W521" s="511"/>
      <c r="X521" s="511"/>
      <c r="Y521" s="511"/>
      <c r="Z521" s="511"/>
      <c r="AA521" s="511"/>
      <c r="AB521" s="511"/>
      <c r="AC521" s="511"/>
      <c r="AD521" s="511"/>
    </row>
    <row r="522" spans="18:30" x14ac:dyDescent="0.25">
      <c r="R522" s="511"/>
      <c r="S522" s="511"/>
      <c r="T522" s="511"/>
      <c r="U522" s="511"/>
      <c r="V522" s="511"/>
      <c r="W522" s="511"/>
      <c r="X522" s="511"/>
      <c r="Y522" s="511"/>
      <c r="Z522" s="511"/>
      <c r="AA522" s="511"/>
      <c r="AB522" s="511"/>
      <c r="AC522" s="511"/>
      <c r="AD522" s="511"/>
    </row>
    <row r="523" spans="18:30" x14ac:dyDescent="0.25">
      <c r="R523" s="511"/>
      <c r="S523" s="511"/>
      <c r="T523" s="511"/>
      <c r="U523" s="511"/>
      <c r="V523" s="511"/>
      <c r="W523" s="511"/>
      <c r="X523" s="511"/>
      <c r="Y523" s="511"/>
      <c r="Z523" s="511"/>
      <c r="AA523" s="511"/>
      <c r="AB523" s="511"/>
      <c r="AC523" s="511"/>
      <c r="AD523" s="511"/>
    </row>
    <row r="524" spans="18:30" x14ac:dyDescent="0.25">
      <c r="R524" s="511"/>
      <c r="S524" s="511"/>
      <c r="T524" s="511"/>
      <c r="U524" s="511"/>
      <c r="V524" s="511"/>
      <c r="W524" s="511"/>
      <c r="X524" s="511"/>
      <c r="Y524" s="511"/>
      <c r="Z524" s="511"/>
      <c r="AA524" s="511"/>
      <c r="AB524" s="511"/>
      <c r="AC524" s="511"/>
      <c r="AD524" s="511"/>
    </row>
    <row r="525" spans="18:30" x14ac:dyDescent="0.25">
      <c r="R525" s="511"/>
      <c r="S525" s="511"/>
      <c r="T525" s="511"/>
      <c r="U525" s="511"/>
      <c r="V525" s="511"/>
      <c r="W525" s="511"/>
      <c r="X525" s="511"/>
      <c r="Y525" s="511"/>
      <c r="Z525" s="511"/>
      <c r="AA525" s="511"/>
      <c r="AB525" s="511"/>
      <c r="AC525" s="511"/>
      <c r="AD525" s="511"/>
    </row>
    <row r="526" spans="18:30" x14ac:dyDescent="0.25">
      <c r="R526" s="511"/>
      <c r="S526" s="511"/>
      <c r="T526" s="511"/>
      <c r="U526" s="511"/>
      <c r="V526" s="511"/>
      <c r="W526" s="511"/>
      <c r="X526" s="511"/>
      <c r="Y526" s="511"/>
      <c r="Z526" s="511"/>
      <c r="AA526" s="511"/>
      <c r="AB526" s="511"/>
      <c r="AC526" s="511"/>
      <c r="AD526" s="511"/>
    </row>
    <row r="527" spans="18:30" x14ac:dyDescent="0.25">
      <c r="R527" s="511"/>
      <c r="S527" s="511"/>
      <c r="T527" s="511"/>
      <c r="U527" s="511"/>
      <c r="V527" s="511"/>
      <c r="W527" s="511"/>
      <c r="X527" s="511"/>
      <c r="Y527" s="511"/>
      <c r="Z527" s="511"/>
      <c r="AA527" s="511"/>
      <c r="AB527" s="511"/>
      <c r="AC527" s="511"/>
      <c r="AD527" s="511"/>
    </row>
    <row r="528" spans="18:30" x14ac:dyDescent="0.25">
      <c r="R528" s="511"/>
      <c r="S528" s="511"/>
      <c r="T528" s="511"/>
      <c r="U528" s="511"/>
      <c r="V528" s="511"/>
      <c r="W528" s="511"/>
      <c r="X528" s="511"/>
      <c r="Y528" s="511"/>
      <c r="Z528" s="511"/>
      <c r="AA528" s="511"/>
      <c r="AB528" s="511"/>
      <c r="AC528" s="511"/>
      <c r="AD528" s="511"/>
    </row>
    <row r="529" spans="18:30" x14ac:dyDescent="0.25">
      <c r="R529" s="511"/>
      <c r="S529" s="511"/>
      <c r="T529" s="511"/>
      <c r="U529" s="511"/>
      <c r="V529" s="511"/>
      <c r="W529" s="511"/>
      <c r="X529" s="511"/>
      <c r="Y529" s="511"/>
      <c r="Z529" s="511"/>
      <c r="AA529" s="511"/>
      <c r="AB529" s="511"/>
      <c r="AC529" s="511"/>
      <c r="AD529" s="511"/>
    </row>
    <row r="530" spans="18:30" x14ac:dyDescent="0.25">
      <c r="R530" s="511"/>
      <c r="S530" s="511"/>
      <c r="T530" s="511"/>
      <c r="U530" s="511"/>
      <c r="V530" s="511"/>
      <c r="W530" s="511"/>
      <c r="X530" s="511"/>
      <c r="Y530" s="511"/>
      <c r="Z530" s="511"/>
      <c r="AA530" s="511"/>
      <c r="AB530" s="511"/>
      <c r="AC530" s="511"/>
      <c r="AD530" s="511"/>
    </row>
    <row r="531" spans="18:30" x14ac:dyDescent="0.25">
      <c r="R531" s="511"/>
      <c r="S531" s="511"/>
      <c r="T531" s="511"/>
      <c r="U531" s="511"/>
      <c r="V531" s="511"/>
      <c r="W531" s="511"/>
      <c r="X531" s="511"/>
      <c r="Y531" s="511"/>
      <c r="Z531" s="511"/>
      <c r="AA531" s="511"/>
      <c r="AB531" s="511"/>
      <c r="AC531" s="511"/>
      <c r="AD531" s="511"/>
    </row>
    <row r="532" spans="18:30" x14ac:dyDescent="0.25">
      <c r="R532" s="511"/>
      <c r="S532" s="511"/>
      <c r="T532" s="511"/>
      <c r="U532" s="511"/>
      <c r="V532" s="511"/>
      <c r="W532" s="511"/>
      <c r="X532" s="511"/>
      <c r="Y532" s="511"/>
      <c r="Z532" s="511"/>
      <c r="AA532" s="511"/>
      <c r="AB532" s="511"/>
      <c r="AC532" s="511"/>
      <c r="AD532" s="511"/>
    </row>
    <row r="533" spans="18:30" x14ac:dyDescent="0.25">
      <c r="R533" s="511"/>
      <c r="S533" s="511"/>
      <c r="T533" s="511"/>
      <c r="U533" s="511"/>
      <c r="V533" s="511"/>
      <c r="W533" s="511"/>
      <c r="X533" s="511"/>
      <c r="Y533" s="511"/>
      <c r="Z533" s="511"/>
      <c r="AA533" s="511"/>
      <c r="AB533" s="511"/>
      <c r="AC533" s="511"/>
      <c r="AD533" s="511"/>
    </row>
    <row r="534" spans="18:30" x14ac:dyDescent="0.25">
      <c r="R534" s="511"/>
      <c r="S534" s="511"/>
      <c r="T534" s="511"/>
      <c r="U534" s="511"/>
      <c r="V534" s="511"/>
      <c r="W534" s="511"/>
      <c r="X534" s="511"/>
      <c r="Y534" s="511"/>
      <c r="Z534" s="511"/>
      <c r="AA534" s="511"/>
      <c r="AB534" s="511"/>
      <c r="AC534" s="511"/>
      <c r="AD534" s="511"/>
    </row>
    <row r="535" spans="18:30" x14ac:dyDescent="0.25">
      <c r="R535" s="511"/>
      <c r="S535" s="511"/>
      <c r="T535" s="511"/>
      <c r="U535" s="511"/>
      <c r="V535" s="511"/>
      <c r="W535" s="511"/>
      <c r="X535" s="511"/>
      <c r="Y535" s="511"/>
      <c r="Z535" s="511"/>
      <c r="AA535" s="511"/>
      <c r="AB535" s="511"/>
      <c r="AC535" s="511"/>
      <c r="AD535" s="511"/>
    </row>
    <row r="536" spans="18:30" x14ac:dyDescent="0.25">
      <c r="R536" s="511"/>
      <c r="S536" s="511"/>
      <c r="T536" s="511"/>
      <c r="U536" s="511"/>
      <c r="V536" s="511"/>
      <c r="W536" s="511"/>
      <c r="X536" s="511"/>
      <c r="Y536" s="511"/>
      <c r="Z536" s="511"/>
      <c r="AA536" s="511"/>
      <c r="AB536" s="511"/>
      <c r="AC536" s="511"/>
      <c r="AD536" s="511"/>
    </row>
    <row r="537" spans="18:30" x14ac:dyDescent="0.25">
      <c r="R537" s="511"/>
      <c r="S537" s="511"/>
      <c r="T537" s="511"/>
      <c r="U537" s="511"/>
      <c r="V537" s="511"/>
      <c r="W537" s="511"/>
      <c r="X537" s="511"/>
      <c r="Y537" s="511"/>
      <c r="Z537" s="511"/>
      <c r="AA537" s="511"/>
      <c r="AB537" s="511"/>
      <c r="AC537" s="511"/>
      <c r="AD537" s="511"/>
    </row>
    <row r="538" spans="18:30" x14ac:dyDescent="0.25">
      <c r="R538" s="511"/>
      <c r="S538" s="511"/>
      <c r="T538" s="511"/>
      <c r="U538" s="511"/>
      <c r="V538" s="511"/>
      <c r="W538" s="511"/>
      <c r="X538" s="511"/>
      <c r="Y538" s="511"/>
      <c r="Z538" s="511"/>
      <c r="AA538" s="511"/>
      <c r="AB538" s="511"/>
      <c r="AC538" s="511"/>
      <c r="AD538" s="511"/>
    </row>
    <row r="539" spans="18:30" x14ac:dyDescent="0.25">
      <c r="R539" s="511"/>
      <c r="S539" s="511"/>
      <c r="T539" s="511"/>
      <c r="U539" s="511"/>
      <c r="V539" s="511"/>
      <c r="W539" s="511"/>
      <c r="X539" s="511"/>
      <c r="Y539" s="511"/>
      <c r="Z539" s="511"/>
      <c r="AA539" s="511"/>
      <c r="AB539" s="511"/>
      <c r="AC539" s="511"/>
      <c r="AD539" s="511"/>
    </row>
    <row r="540" spans="18:30" x14ac:dyDescent="0.25">
      <c r="R540" s="511"/>
      <c r="S540" s="511"/>
      <c r="T540" s="511"/>
      <c r="U540" s="511"/>
      <c r="V540" s="511"/>
      <c r="W540" s="511"/>
      <c r="X540" s="511"/>
      <c r="Y540" s="511"/>
      <c r="Z540" s="511"/>
      <c r="AA540" s="511"/>
      <c r="AB540" s="511"/>
      <c r="AC540" s="511"/>
      <c r="AD540" s="511"/>
    </row>
    <row r="541" spans="18:30" x14ac:dyDescent="0.25">
      <c r="R541" s="511"/>
      <c r="S541" s="511"/>
      <c r="T541" s="511"/>
      <c r="U541" s="511"/>
      <c r="V541" s="511"/>
      <c r="W541" s="511"/>
      <c r="X541" s="511"/>
      <c r="Y541" s="511"/>
      <c r="Z541" s="511"/>
      <c r="AA541" s="511"/>
      <c r="AB541" s="511"/>
      <c r="AC541" s="511"/>
      <c r="AD541" s="511"/>
    </row>
    <row r="542" spans="18:30" x14ac:dyDescent="0.25">
      <c r="R542" s="511"/>
      <c r="S542" s="511"/>
      <c r="T542" s="511"/>
      <c r="U542" s="511"/>
      <c r="V542" s="511"/>
      <c r="W542" s="511"/>
      <c r="X542" s="511"/>
      <c r="Y542" s="511"/>
      <c r="Z542" s="511"/>
      <c r="AA542" s="511"/>
      <c r="AB542" s="511"/>
      <c r="AC542" s="511"/>
      <c r="AD542" s="511"/>
    </row>
    <row r="543" spans="18:30" x14ac:dyDescent="0.25">
      <c r="R543" s="511"/>
      <c r="S543" s="511"/>
      <c r="T543" s="511"/>
      <c r="U543" s="511"/>
      <c r="V543" s="511"/>
      <c r="W543" s="511"/>
      <c r="X543" s="511"/>
      <c r="Y543" s="511"/>
      <c r="Z543" s="511"/>
      <c r="AA543" s="511"/>
      <c r="AB543" s="511"/>
      <c r="AC543" s="511"/>
      <c r="AD543" s="511"/>
    </row>
    <row r="544" spans="18:30" x14ac:dyDescent="0.25">
      <c r="R544" s="511"/>
      <c r="S544" s="511"/>
      <c r="T544" s="511"/>
      <c r="U544" s="511"/>
      <c r="V544" s="511"/>
      <c r="W544" s="511"/>
      <c r="X544" s="511"/>
      <c r="Y544" s="511"/>
      <c r="Z544" s="511"/>
      <c r="AA544" s="511"/>
      <c r="AB544" s="511"/>
      <c r="AC544" s="511"/>
      <c r="AD544" s="511"/>
    </row>
    <row r="545" spans="18:30" x14ac:dyDescent="0.25">
      <c r="R545" s="511"/>
      <c r="S545" s="511"/>
      <c r="T545" s="511"/>
      <c r="U545" s="511"/>
      <c r="V545" s="511"/>
      <c r="W545" s="511"/>
      <c r="X545" s="511"/>
      <c r="Y545" s="511"/>
      <c r="Z545" s="511"/>
      <c r="AA545" s="511"/>
      <c r="AB545" s="511"/>
      <c r="AC545" s="511"/>
      <c r="AD545" s="511"/>
    </row>
    <row r="546" spans="18:30" x14ac:dyDescent="0.25">
      <c r="R546" s="511"/>
      <c r="S546" s="511"/>
      <c r="T546" s="511"/>
      <c r="U546" s="511"/>
      <c r="V546" s="511"/>
      <c r="W546" s="511"/>
      <c r="X546" s="511"/>
      <c r="Y546" s="511"/>
      <c r="Z546" s="511"/>
      <c r="AA546" s="511"/>
      <c r="AB546" s="511"/>
      <c r="AC546" s="511"/>
      <c r="AD546" s="511"/>
    </row>
    <row r="547" spans="18:30" x14ac:dyDescent="0.25">
      <c r="R547" s="511"/>
      <c r="S547" s="511"/>
      <c r="T547" s="511"/>
      <c r="U547" s="511"/>
      <c r="V547" s="511"/>
      <c r="W547" s="511"/>
      <c r="X547" s="511"/>
      <c r="Y547" s="511"/>
      <c r="Z547" s="511"/>
      <c r="AA547" s="511"/>
      <c r="AB547" s="511"/>
      <c r="AC547" s="511"/>
      <c r="AD547" s="511"/>
    </row>
    <row r="548" spans="18:30" x14ac:dyDescent="0.25">
      <c r="R548" s="511"/>
      <c r="S548" s="511"/>
      <c r="T548" s="511"/>
      <c r="U548" s="511"/>
      <c r="V548" s="511"/>
      <c r="W548" s="511"/>
      <c r="X548" s="511"/>
      <c r="Y548" s="511"/>
      <c r="Z548" s="511"/>
      <c r="AA548" s="511"/>
      <c r="AB548" s="511"/>
      <c r="AC548" s="511"/>
      <c r="AD548" s="511"/>
    </row>
    <row r="549" spans="18:30" x14ac:dyDescent="0.25">
      <c r="R549" s="511"/>
      <c r="S549" s="511"/>
      <c r="T549" s="511"/>
      <c r="U549" s="511"/>
      <c r="V549" s="511"/>
      <c r="W549" s="511"/>
      <c r="X549" s="511"/>
      <c r="Y549" s="511"/>
      <c r="Z549" s="511"/>
      <c r="AA549" s="511"/>
      <c r="AB549" s="511"/>
      <c r="AC549" s="511"/>
      <c r="AD549" s="511"/>
    </row>
    <row r="550" spans="18:30" x14ac:dyDescent="0.25">
      <c r="R550" s="511"/>
      <c r="S550" s="511"/>
      <c r="T550" s="511"/>
      <c r="U550" s="511"/>
      <c r="V550" s="511"/>
      <c r="W550" s="511"/>
      <c r="X550" s="511"/>
      <c r="Y550" s="511"/>
      <c r="Z550" s="511"/>
      <c r="AA550" s="511"/>
      <c r="AB550" s="511"/>
      <c r="AC550" s="511"/>
      <c r="AD550" s="511"/>
    </row>
    <row r="551" spans="18:30" x14ac:dyDescent="0.25">
      <c r="R551" s="511"/>
      <c r="S551" s="511"/>
      <c r="T551" s="511"/>
      <c r="U551" s="511"/>
      <c r="V551" s="511"/>
      <c r="W551" s="511"/>
      <c r="X551" s="511"/>
      <c r="Y551" s="511"/>
      <c r="Z551" s="511"/>
      <c r="AA551" s="511"/>
      <c r="AB551" s="511"/>
      <c r="AC551" s="511"/>
      <c r="AD551" s="511"/>
    </row>
    <row r="552" spans="18:30" x14ac:dyDescent="0.25">
      <c r="R552" s="511"/>
      <c r="S552" s="511"/>
      <c r="T552" s="511"/>
      <c r="U552" s="511"/>
      <c r="V552" s="511"/>
      <c r="W552" s="511"/>
      <c r="X552" s="511"/>
      <c r="Y552" s="511"/>
      <c r="Z552" s="511"/>
      <c r="AA552" s="511"/>
      <c r="AB552" s="511"/>
      <c r="AC552" s="511"/>
      <c r="AD552" s="511"/>
    </row>
    <row r="553" spans="18:30" x14ac:dyDescent="0.25">
      <c r="R553" s="511"/>
      <c r="S553" s="511"/>
      <c r="T553" s="511"/>
      <c r="U553" s="511"/>
      <c r="V553" s="511"/>
      <c r="W553" s="511"/>
      <c r="X553" s="511"/>
      <c r="Y553" s="511"/>
      <c r="Z553" s="511"/>
      <c r="AA553" s="511"/>
      <c r="AB553" s="511"/>
      <c r="AC553" s="511"/>
      <c r="AD553" s="511"/>
    </row>
    <row r="554" spans="18:30" x14ac:dyDescent="0.25">
      <c r="R554" s="511"/>
      <c r="S554" s="511"/>
      <c r="T554" s="511"/>
      <c r="U554" s="511"/>
      <c r="V554" s="511"/>
      <c r="W554" s="511"/>
      <c r="X554" s="511"/>
      <c r="Y554" s="511"/>
      <c r="Z554" s="511"/>
      <c r="AA554" s="511"/>
      <c r="AB554" s="511"/>
      <c r="AC554" s="511"/>
      <c r="AD554" s="511"/>
    </row>
    <row r="555" spans="18:30" x14ac:dyDescent="0.25">
      <c r="R555" s="511"/>
      <c r="S555" s="511"/>
      <c r="T555" s="511"/>
      <c r="U555" s="511"/>
      <c r="V555" s="511"/>
      <c r="W555" s="511"/>
      <c r="X555" s="511"/>
      <c r="Y555" s="511"/>
      <c r="Z555" s="511"/>
      <c r="AA555" s="511"/>
      <c r="AB555" s="511"/>
      <c r="AC555" s="511"/>
      <c r="AD555" s="511"/>
    </row>
    <row r="556" spans="18:30" x14ac:dyDescent="0.25">
      <c r="R556" s="511"/>
      <c r="S556" s="511"/>
      <c r="T556" s="511"/>
      <c r="U556" s="511"/>
      <c r="V556" s="511"/>
      <c r="W556" s="511"/>
      <c r="X556" s="511"/>
      <c r="Y556" s="511"/>
      <c r="Z556" s="511"/>
      <c r="AA556" s="511"/>
      <c r="AB556" s="511"/>
      <c r="AC556" s="511"/>
      <c r="AD556" s="511"/>
    </row>
    <row r="557" spans="18:30" x14ac:dyDescent="0.25">
      <c r="R557" s="511"/>
      <c r="S557" s="511"/>
      <c r="T557" s="511"/>
      <c r="U557" s="511"/>
      <c r="V557" s="511"/>
      <c r="W557" s="511"/>
      <c r="X557" s="511"/>
      <c r="Y557" s="511"/>
      <c r="Z557" s="511"/>
      <c r="AA557" s="511"/>
      <c r="AB557" s="511"/>
      <c r="AC557" s="511"/>
      <c r="AD557" s="511"/>
    </row>
    <row r="558" spans="18:30" x14ac:dyDescent="0.25">
      <c r="R558" s="511"/>
      <c r="S558" s="511"/>
      <c r="T558" s="511"/>
      <c r="U558" s="511"/>
      <c r="V558" s="511"/>
      <c r="W558" s="511"/>
      <c r="X558" s="511"/>
      <c r="Y558" s="511"/>
      <c r="Z558" s="511"/>
      <c r="AA558" s="511"/>
      <c r="AB558" s="511"/>
      <c r="AC558" s="511"/>
      <c r="AD558" s="511"/>
    </row>
    <row r="559" spans="18:30" x14ac:dyDescent="0.25">
      <c r="R559" s="511"/>
      <c r="S559" s="511"/>
      <c r="T559" s="511"/>
      <c r="U559" s="511"/>
      <c r="V559" s="511"/>
      <c r="W559" s="511"/>
      <c r="X559" s="511"/>
      <c r="Y559" s="511"/>
      <c r="Z559" s="511"/>
      <c r="AA559" s="511"/>
      <c r="AB559" s="511"/>
      <c r="AC559" s="511"/>
      <c r="AD559" s="511"/>
    </row>
    <row r="560" spans="18:30" x14ac:dyDescent="0.25">
      <c r="R560" s="511"/>
      <c r="S560" s="511"/>
      <c r="T560" s="511"/>
      <c r="U560" s="511"/>
      <c r="V560" s="511"/>
      <c r="W560" s="511"/>
      <c r="X560" s="511"/>
      <c r="Y560" s="511"/>
      <c r="Z560" s="511"/>
      <c r="AA560" s="511"/>
      <c r="AB560" s="511"/>
      <c r="AC560" s="511"/>
      <c r="AD560" s="511"/>
    </row>
    <row r="561" spans="18:30" x14ac:dyDescent="0.25">
      <c r="R561" s="511"/>
      <c r="S561" s="511"/>
      <c r="T561" s="511"/>
      <c r="U561" s="511"/>
      <c r="V561" s="511"/>
      <c r="W561" s="511"/>
      <c r="X561" s="511"/>
      <c r="Y561" s="511"/>
      <c r="Z561" s="511"/>
      <c r="AA561" s="511"/>
      <c r="AB561" s="511"/>
      <c r="AC561" s="511"/>
      <c r="AD561" s="511"/>
    </row>
    <row r="562" spans="18:30" x14ac:dyDescent="0.25">
      <c r="R562" s="511"/>
      <c r="S562" s="511"/>
      <c r="T562" s="511"/>
      <c r="U562" s="511"/>
      <c r="V562" s="511"/>
      <c r="W562" s="511"/>
      <c r="X562" s="511"/>
      <c r="Y562" s="511"/>
      <c r="Z562" s="511"/>
      <c r="AA562" s="511"/>
      <c r="AB562" s="511"/>
      <c r="AC562" s="511"/>
      <c r="AD562" s="511"/>
    </row>
    <row r="563" spans="18:30" x14ac:dyDescent="0.25">
      <c r="R563" s="511"/>
      <c r="S563" s="511"/>
      <c r="T563" s="511"/>
      <c r="U563" s="511"/>
      <c r="V563" s="511"/>
      <c r="W563" s="511"/>
      <c r="X563" s="511"/>
      <c r="Y563" s="511"/>
      <c r="Z563" s="511"/>
      <c r="AA563" s="511"/>
      <c r="AB563" s="511"/>
      <c r="AC563" s="511"/>
      <c r="AD563" s="511"/>
    </row>
    <row r="564" spans="18:30" x14ac:dyDescent="0.25">
      <c r="R564" s="511"/>
      <c r="S564" s="511"/>
      <c r="T564" s="511"/>
      <c r="U564" s="511"/>
      <c r="V564" s="511"/>
      <c r="W564" s="511"/>
      <c r="X564" s="511"/>
      <c r="Y564" s="511"/>
      <c r="Z564" s="511"/>
      <c r="AA564" s="511"/>
      <c r="AB564" s="511"/>
      <c r="AC564" s="511"/>
      <c r="AD564" s="511"/>
    </row>
    <row r="565" spans="18:30" x14ac:dyDescent="0.25">
      <c r="R565" s="511"/>
      <c r="S565" s="511"/>
      <c r="T565" s="511"/>
      <c r="U565" s="511"/>
      <c r="V565" s="511"/>
      <c r="W565" s="511"/>
      <c r="X565" s="511"/>
      <c r="Y565" s="511"/>
      <c r="Z565" s="511"/>
      <c r="AA565" s="511"/>
      <c r="AB565" s="511"/>
      <c r="AC565" s="511"/>
      <c r="AD565" s="511"/>
    </row>
    <row r="566" spans="18:30" x14ac:dyDescent="0.25">
      <c r="R566" s="511"/>
      <c r="S566" s="511"/>
      <c r="T566" s="511"/>
      <c r="U566" s="511"/>
      <c r="V566" s="511"/>
      <c r="W566" s="511"/>
      <c r="X566" s="511"/>
      <c r="Y566" s="511"/>
      <c r="Z566" s="511"/>
      <c r="AA566" s="511"/>
      <c r="AB566" s="511"/>
      <c r="AC566" s="511"/>
      <c r="AD566" s="511"/>
    </row>
    <row r="567" spans="18:30" x14ac:dyDescent="0.25">
      <c r="R567" s="511"/>
      <c r="S567" s="511"/>
      <c r="T567" s="511"/>
      <c r="U567" s="511"/>
      <c r="V567" s="511"/>
      <c r="W567" s="511"/>
      <c r="X567" s="511"/>
      <c r="Y567" s="511"/>
      <c r="Z567" s="511"/>
      <c r="AA567" s="511"/>
      <c r="AB567" s="511"/>
      <c r="AC567" s="511"/>
      <c r="AD567" s="511"/>
    </row>
    <row r="568" spans="18:30" x14ac:dyDescent="0.25">
      <c r="R568" s="511"/>
      <c r="S568" s="511"/>
      <c r="T568" s="511"/>
      <c r="U568" s="511"/>
      <c r="V568" s="511"/>
      <c r="W568" s="511"/>
      <c r="X568" s="511"/>
      <c r="Y568" s="511"/>
      <c r="Z568" s="511"/>
      <c r="AA568" s="511"/>
      <c r="AB568" s="511"/>
      <c r="AC568" s="511"/>
      <c r="AD568" s="511"/>
    </row>
    <row r="569" spans="18:30" x14ac:dyDescent="0.25">
      <c r="R569" s="511"/>
      <c r="S569" s="511"/>
      <c r="T569" s="511"/>
      <c r="U569" s="511"/>
      <c r="V569" s="511"/>
      <c r="W569" s="511"/>
      <c r="X569" s="511"/>
      <c r="Y569" s="511"/>
      <c r="Z569" s="511"/>
      <c r="AA569" s="511"/>
      <c r="AB569" s="511"/>
      <c r="AC569" s="511"/>
      <c r="AD569" s="511"/>
    </row>
    <row r="570" spans="18:30" x14ac:dyDescent="0.25">
      <c r="R570" s="511"/>
      <c r="S570" s="511"/>
      <c r="T570" s="511"/>
      <c r="U570" s="511"/>
      <c r="V570" s="511"/>
      <c r="W570" s="511"/>
      <c r="X570" s="511"/>
      <c r="Y570" s="511"/>
      <c r="Z570" s="511"/>
      <c r="AA570" s="511"/>
      <c r="AB570" s="511"/>
      <c r="AC570" s="511"/>
      <c r="AD570" s="511"/>
    </row>
    <row r="571" spans="18:30" x14ac:dyDescent="0.25">
      <c r="R571" s="511"/>
      <c r="S571" s="511"/>
      <c r="T571" s="511"/>
      <c r="U571" s="511"/>
      <c r="V571" s="511"/>
      <c r="W571" s="511"/>
      <c r="X571" s="511"/>
      <c r="Y571" s="511"/>
      <c r="Z571" s="511"/>
      <c r="AA571" s="511"/>
      <c r="AB571" s="511"/>
      <c r="AC571" s="511"/>
      <c r="AD571" s="511"/>
    </row>
    <row r="572" spans="18:30" x14ac:dyDescent="0.25">
      <c r="R572" s="511"/>
      <c r="S572" s="511"/>
      <c r="T572" s="511"/>
      <c r="U572" s="511"/>
      <c r="V572" s="511"/>
      <c r="W572" s="511"/>
      <c r="X572" s="511"/>
      <c r="Y572" s="511"/>
      <c r="Z572" s="511"/>
      <c r="AA572" s="511"/>
      <c r="AB572" s="511"/>
      <c r="AC572" s="511"/>
      <c r="AD572" s="511"/>
    </row>
    <row r="573" spans="18:30" x14ac:dyDescent="0.25">
      <c r="R573" s="511"/>
      <c r="S573" s="511"/>
      <c r="T573" s="511"/>
      <c r="U573" s="511"/>
      <c r="V573" s="511"/>
      <c r="W573" s="511"/>
      <c r="X573" s="511"/>
      <c r="Y573" s="511"/>
      <c r="Z573" s="511"/>
      <c r="AA573" s="511"/>
      <c r="AB573" s="511"/>
      <c r="AC573" s="511"/>
      <c r="AD573" s="511"/>
    </row>
    <row r="574" spans="18:30" x14ac:dyDescent="0.25">
      <c r="R574" s="511"/>
      <c r="S574" s="511"/>
      <c r="T574" s="511"/>
      <c r="U574" s="511"/>
      <c r="V574" s="511"/>
      <c r="W574" s="511"/>
      <c r="X574" s="511"/>
      <c r="Y574" s="511"/>
      <c r="Z574" s="511"/>
      <c r="AA574" s="511"/>
      <c r="AB574" s="511"/>
      <c r="AC574" s="511"/>
      <c r="AD574" s="511"/>
    </row>
    <row r="575" spans="18:30" x14ac:dyDescent="0.25">
      <c r="R575" s="511"/>
      <c r="S575" s="511"/>
      <c r="T575" s="511"/>
      <c r="U575" s="511"/>
      <c r="V575" s="511"/>
      <c r="W575" s="511"/>
      <c r="X575" s="511"/>
      <c r="Y575" s="511"/>
      <c r="Z575" s="511"/>
      <c r="AA575" s="511"/>
      <c r="AB575" s="511"/>
      <c r="AC575" s="511"/>
      <c r="AD575" s="511"/>
    </row>
    <row r="576" spans="18:30" x14ac:dyDescent="0.25">
      <c r="R576" s="511"/>
      <c r="S576" s="511"/>
      <c r="T576" s="511"/>
      <c r="U576" s="511"/>
      <c r="V576" s="511"/>
      <c r="W576" s="511"/>
      <c r="X576" s="511"/>
      <c r="Y576" s="511"/>
      <c r="Z576" s="511"/>
      <c r="AA576" s="511"/>
      <c r="AB576" s="511"/>
      <c r="AC576" s="511"/>
      <c r="AD576" s="511"/>
    </row>
    <row r="577" spans="18:30" x14ac:dyDescent="0.25">
      <c r="R577" s="511"/>
      <c r="S577" s="511"/>
      <c r="T577" s="511"/>
      <c r="U577" s="511"/>
      <c r="V577" s="511"/>
      <c r="W577" s="511"/>
      <c r="X577" s="511"/>
      <c r="Y577" s="511"/>
      <c r="Z577" s="511"/>
      <c r="AA577" s="511"/>
      <c r="AB577" s="511"/>
      <c r="AC577" s="511"/>
      <c r="AD577" s="511"/>
    </row>
    <row r="578" spans="18:30" x14ac:dyDescent="0.25">
      <c r="R578" s="511"/>
      <c r="S578" s="511"/>
      <c r="T578" s="511"/>
      <c r="U578" s="511"/>
      <c r="V578" s="511"/>
      <c r="W578" s="511"/>
      <c r="X578" s="511"/>
      <c r="Y578" s="511"/>
      <c r="Z578" s="511"/>
      <c r="AA578" s="511"/>
      <c r="AB578" s="511"/>
      <c r="AC578" s="511"/>
      <c r="AD578" s="511"/>
    </row>
    <row r="579" spans="18:30" x14ac:dyDescent="0.25">
      <c r="R579" s="511"/>
      <c r="S579" s="511"/>
      <c r="T579" s="511"/>
      <c r="U579" s="511"/>
      <c r="V579" s="511"/>
      <c r="W579" s="511"/>
      <c r="X579" s="511"/>
      <c r="Y579" s="511"/>
      <c r="Z579" s="511"/>
      <c r="AA579" s="511"/>
      <c r="AB579" s="511"/>
      <c r="AC579" s="511"/>
      <c r="AD579" s="511"/>
    </row>
    <row r="580" spans="18:30" x14ac:dyDescent="0.25">
      <c r="R580" s="511"/>
      <c r="S580" s="511"/>
      <c r="T580" s="511"/>
      <c r="U580" s="511"/>
      <c r="V580" s="511"/>
      <c r="W580" s="511"/>
      <c r="X580" s="511"/>
      <c r="Y580" s="511"/>
      <c r="Z580" s="511"/>
      <c r="AA580" s="511"/>
      <c r="AB580" s="511"/>
      <c r="AC580" s="511"/>
      <c r="AD580" s="511"/>
    </row>
    <row r="581" spans="18:30" x14ac:dyDescent="0.25">
      <c r="R581" s="511"/>
      <c r="S581" s="511"/>
      <c r="T581" s="511"/>
      <c r="U581" s="511"/>
      <c r="V581" s="511"/>
      <c r="W581" s="511"/>
      <c r="X581" s="511"/>
      <c r="Y581" s="511"/>
      <c r="Z581" s="511"/>
      <c r="AA581" s="511"/>
      <c r="AB581" s="511"/>
      <c r="AC581" s="511"/>
      <c r="AD581" s="511"/>
    </row>
    <row r="582" spans="18:30" x14ac:dyDescent="0.25">
      <c r="R582" s="511"/>
      <c r="S582" s="511"/>
      <c r="T582" s="511"/>
      <c r="U582" s="511"/>
      <c r="V582" s="511"/>
      <c r="W582" s="511"/>
      <c r="X582" s="511"/>
      <c r="Y582" s="511"/>
      <c r="Z582" s="511"/>
      <c r="AA582" s="511"/>
      <c r="AB582" s="511"/>
      <c r="AC582" s="511"/>
      <c r="AD582" s="511"/>
    </row>
    <row r="583" spans="18:30" x14ac:dyDescent="0.25">
      <c r="R583" s="511"/>
      <c r="S583" s="511"/>
      <c r="T583" s="511"/>
      <c r="U583" s="511"/>
      <c r="V583" s="511"/>
      <c r="W583" s="511"/>
      <c r="X583" s="511"/>
      <c r="Y583" s="511"/>
      <c r="Z583" s="511"/>
      <c r="AA583" s="511"/>
      <c r="AB583" s="511"/>
      <c r="AC583" s="511"/>
      <c r="AD583" s="511"/>
    </row>
    <row r="584" spans="18:30" x14ac:dyDescent="0.25">
      <c r="R584" s="511"/>
      <c r="S584" s="511"/>
      <c r="T584" s="511"/>
      <c r="U584" s="511"/>
      <c r="V584" s="511"/>
      <c r="W584" s="511"/>
      <c r="X584" s="511"/>
      <c r="Y584" s="511"/>
      <c r="Z584" s="511"/>
      <c r="AA584" s="511"/>
      <c r="AB584" s="511"/>
      <c r="AC584" s="511"/>
      <c r="AD584" s="511"/>
    </row>
    <row r="585" spans="18:30" x14ac:dyDescent="0.25">
      <c r="R585" s="511"/>
      <c r="S585" s="511"/>
      <c r="T585" s="511"/>
      <c r="U585" s="511"/>
      <c r="V585" s="511"/>
      <c r="W585" s="511"/>
      <c r="X585" s="511"/>
      <c r="Y585" s="511"/>
      <c r="Z585" s="511"/>
      <c r="AA585" s="511"/>
      <c r="AB585" s="511"/>
      <c r="AC585" s="511"/>
      <c r="AD585" s="511"/>
    </row>
    <row r="586" spans="18:30" x14ac:dyDescent="0.25">
      <c r="R586" s="511"/>
      <c r="S586" s="511"/>
      <c r="T586" s="511"/>
      <c r="U586" s="511"/>
      <c r="V586" s="511"/>
      <c r="W586" s="511"/>
      <c r="X586" s="511"/>
      <c r="Y586" s="511"/>
      <c r="Z586" s="511"/>
      <c r="AA586" s="511"/>
      <c r="AB586" s="511"/>
      <c r="AC586" s="511"/>
      <c r="AD586" s="511"/>
    </row>
    <row r="587" spans="18:30" x14ac:dyDescent="0.25">
      <c r="R587" s="511"/>
      <c r="S587" s="511"/>
      <c r="T587" s="511"/>
      <c r="U587" s="511"/>
      <c r="V587" s="511"/>
      <c r="W587" s="511"/>
      <c r="X587" s="511"/>
      <c r="Y587" s="511"/>
      <c r="Z587" s="511"/>
      <c r="AA587" s="511"/>
      <c r="AB587" s="511"/>
      <c r="AC587" s="511"/>
      <c r="AD587" s="511"/>
    </row>
    <row r="588" spans="18:30" x14ac:dyDescent="0.25">
      <c r="R588" s="511"/>
      <c r="S588" s="511"/>
      <c r="T588" s="511"/>
      <c r="U588" s="511"/>
      <c r="V588" s="511"/>
      <c r="W588" s="511"/>
      <c r="X588" s="511"/>
      <c r="Y588" s="511"/>
      <c r="Z588" s="511"/>
      <c r="AA588" s="511"/>
      <c r="AB588" s="511"/>
      <c r="AC588" s="511"/>
      <c r="AD588" s="511"/>
    </row>
    <row r="589" spans="18:30" x14ac:dyDescent="0.25">
      <c r="R589" s="511"/>
      <c r="S589" s="511"/>
      <c r="T589" s="511"/>
      <c r="U589" s="511"/>
      <c r="V589" s="511"/>
      <c r="W589" s="511"/>
      <c r="X589" s="511"/>
      <c r="Y589" s="511"/>
      <c r="Z589" s="511"/>
      <c r="AA589" s="511"/>
      <c r="AB589" s="511"/>
      <c r="AC589" s="511"/>
      <c r="AD589" s="511"/>
    </row>
    <row r="590" spans="18:30" x14ac:dyDescent="0.25">
      <c r="R590" s="511"/>
      <c r="S590" s="511"/>
      <c r="T590" s="511"/>
      <c r="U590" s="511"/>
      <c r="V590" s="511"/>
      <c r="W590" s="511"/>
      <c r="X590" s="511"/>
      <c r="Y590" s="511"/>
      <c r="Z590" s="511"/>
      <c r="AA590" s="511"/>
      <c r="AB590" s="511"/>
      <c r="AC590" s="511"/>
      <c r="AD590" s="511"/>
    </row>
    <row r="591" spans="18:30" x14ac:dyDescent="0.25">
      <c r="R591" s="511"/>
      <c r="S591" s="511"/>
      <c r="T591" s="511"/>
      <c r="U591" s="511"/>
      <c r="V591" s="511"/>
      <c r="W591" s="511"/>
      <c r="X591" s="511"/>
      <c r="Y591" s="511"/>
      <c r="Z591" s="511"/>
      <c r="AA591" s="511"/>
      <c r="AB591" s="511"/>
      <c r="AC591" s="511"/>
      <c r="AD591" s="511"/>
    </row>
    <row r="592" spans="18:30" x14ac:dyDescent="0.25">
      <c r="R592" s="511"/>
      <c r="S592" s="511"/>
      <c r="T592" s="511"/>
      <c r="U592" s="511"/>
      <c r="V592" s="511"/>
      <c r="W592" s="511"/>
      <c r="X592" s="511"/>
      <c r="Y592" s="511"/>
      <c r="Z592" s="511"/>
      <c r="AA592" s="511"/>
      <c r="AB592" s="511"/>
      <c r="AC592" s="511"/>
      <c r="AD592" s="511"/>
    </row>
    <row r="593" spans="18:30" x14ac:dyDescent="0.25">
      <c r="R593" s="511"/>
      <c r="S593" s="511"/>
      <c r="T593" s="511"/>
      <c r="U593" s="511"/>
      <c r="V593" s="511"/>
      <c r="W593" s="511"/>
      <c r="X593" s="511"/>
      <c r="Y593" s="511"/>
      <c r="Z593" s="511"/>
      <c r="AA593" s="511"/>
      <c r="AB593" s="511"/>
      <c r="AC593" s="511"/>
      <c r="AD593" s="511"/>
    </row>
    <row r="594" spans="18:30" x14ac:dyDescent="0.25">
      <c r="R594" s="511"/>
      <c r="S594" s="511"/>
      <c r="T594" s="511"/>
      <c r="U594" s="511"/>
      <c r="V594" s="511"/>
      <c r="W594" s="511"/>
      <c r="X594" s="511"/>
      <c r="Y594" s="511"/>
      <c r="Z594" s="511"/>
      <c r="AA594" s="511"/>
      <c r="AB594" s="511"/>
      <c r="AC594" s="511"/>
      <c r="AD594" s="511"/>
    </row>
    <row r="595" spans="18:30" x14ac:dyDescent="0.25">
      <c r="R595" s="511"/>
      <c r="S595" s="511"/>
      <c r="T595" s="511"/>
      <c r="U595" s="511"/>
      <c r="V595" s="511"/>
      <c r="W595" s="511"/>
      <c r="X595" s="511"/>
      <c r="Y595" s="511"/>
      <c r="Z595" s="511"/>
      <c r="AA595" s="511"/>
      <c r="AB595" s="511"/>
      <c r="AC595" s="511"/>
      <c r="AD595" s="511"/>
    </row>
    <row r="596" spans="18:30" x14ac:dyDescent="0.25">
      <c r="R596" s="511"/>
      <c r="S596" s="511"/>
      <c r="T596" s="511"/>
      <c r="U596" s="511"/>
      <c r="V596" s="511"/>
      <c r="W596" s="511"/>
      <c r="X596" s="511"/>
      <c r="Y596" s="511"/>
      <c r="Z596" s="511"/>
      <c r="AA596" s="511"/>
      <c r="AB596" s="511"/>
      <c r="AC596" s="511"/>
      <c r="AD596" s="511"/>
    </row>
    <row r="597" spans="18:30" x14ac:dyDescent="0.25">
      <c r="R597" s="511"/>
      <c r="S597" s="511"/>
      <c r="T597" s="511"/>
      <c r="U597" s="511"/>
      <c r="V597" s="511"/>
      <c r="W597" s="511"/>
      <c r="X597" s="511"/>
      <c r="Y597" s="511"/>
      <c r="Z597" s="511"/>
      <c r="AA597" s="511"/>
      <c r="AB597" s="511"/>
      <c r="AC597" s="511"/>
      <c r="AD597" s="511"/>
    </row>
    <row r="598" spans="18:30" x14ac:dyDescent="0.25">
      <c r="R598" s="511"/>
      <c r="S598" s="511"/>
      <c r="T598" s="511"/>
      <c r="U598" s="511"/>
      <c r="V598" s="511"/>
      <c r="W598" s="511"/>
      <c r="X598" s="511"/>
      <c r="Y598" s="511"/>
      <c r="Z598" s="511"/>
      <c r="AA598" s="511"/>
      <c r="AB598" s="511"/>
      <c r="AC598" s="511"/>
      <c r="AD598" s="511"/>
    </row>
    <row r="599" spans="18:30" x14ac:dyDescent="0.25">
      <c r="R599" s="511"/>
      <c r="S599" s="511"/>
      <c r="T599" s="511"/>
      <c r="U599" s="511"/>
      <c r="V599" s="511"/>
      <c r="W599" s="511"/>
      <c r="X599" s="511"/>
      <c r="Y599" s="511"/>
      <c r="Z599" s="511"/>
      <c r="AA599" s="511"/>
      <c r="AB599" s="511"/>
      <c r="AC599" s="511"/>
      <c r="AD599" s="511"/>
    </row>
    <row r="600" spans="18:30" x14ac:dyDescent="0.25">
      <c r="R600" s="511"/>
      <c r="S600" s="511"/>
      <c r="T600" s="511"/>
      <c r="U600" s="511"/>
      <c r="V600" s="511"/>
      <c r="W600" s="511"/>
      <c r="X600" s="511"/>
      <c r="Y600" s="511"/>
      <c r="Z600" s="511"/>
      <c r="AA600" s="511"/>
      <c r="AB600" s="511"/>
      <c r="AC600" s="511"/>
      <c r="AD600" s="511"/>
    </row>
    <row r="601" spans="18:30" x14ac:dyDescent="0.25">
      <c r="R601" s="511"/>
      <c r="S601" s="511"/>
      <c r="T601" s="511"/>
      <c r="U601" s="511"/>
      <c r="V601" s="511"/>
      <c r="W601" s="511"/>
      <c r="X601" s="511"/>
      <c r="Y601" s="511"/>
      <c r="Z601" s="511"/>
      <c r="AA601" s="511"/>
      <c r="AB601" s="511"/>
      <c r="AC601" s="511"/>
      <c r="AD601" s="511"/>
    </row>
    <row r="602" spans="18:30" x14ac:dyDescent="0.25">
      <c r="R602" s="511"/>
      <c r="S602" s="511"/>
      <c r="T602" s="511"/>
      <c r="U602" s="511"/>
      <c r="V602" s="511"/>
      <c r="W602" s="511"/>
      <c r="X602" s="511"/>
      <c r="Y602" s="511"/>
      <c r="Z602" s="511"/>
      <c r="AA602" s="511"/>
      <c r="AB602" s="511"/>
      <c r="AC602" s="511"/>
      <c r="AD602" s="511"/>
    </row>
    <row r="603" spans="18:30" x14ac:dyDescent="0.25">
      <c r="R603" s="511"/>
      <c r="S603" s="511"/>
      <c r="T603" s="511"/>
      <c r="U603" s="511"/>
      <c r="V603" s="511"/>
      <c r="W603" s="511"/>
      <c r="X603" s="511"/>
      <c r="Y603" s="511"/>
      <c r="Z603" s="511"/>
      <c r="AA603" s="511"/>
      <c r="AB603" s="511"/>
      <c r="AC603" s="511"/>
      <c r="AD603" s="511"/>
    </row>
    <row r="604" spans="18:30" x14ac:dyDescent="0.25">
      <c r="R604" s="511"/>
      <c r="S604" s="511"/>
      <c r="T604" s="511"/>
      <c r="U604" s="511"/>
      <c r="V604" s="511"/>
      <c r="W604" s="511"/>
      <c r="X604" s="511"/>
      <c r="Y604" s="511"/>
      <c r="Z604" s="511"/>
      <c r="AA604" s="511"/>
      <c r="AB604" s="511"/>
      <c r="AC604" s="511"/>
      <c r="AD604" s="511"/>
    </row>
    <row r="605" spans="18:30" x14ac:dyDescent="0.25">
      <c r="R605" s="511"/>
      <c r="S605" s="511"/>
      <c r="T605" s="511"/>
      <c r="U605" s="511"/>
      <c r="V605" s="511"/>
      <c r="W605" s="511"/>
      <c r="X605" s="511"/>
      <c r="Y605" s="511"/>
      <c r="Z605" s="511"/>
      <c r="AA605" s="511"/>
      <c r="AB605" s="511"/>
      <c r="AC605" s="511"/>
      <c r="AD605" s="511"/>
    </row>
    <row r="606" spans="18:30" x14ac:dyDescent="0.25">
      <c r="R606" s="511"/>
      <c r="S606" s="511"/>
      <c r="T606" s="511"/>
      <c r="U606" s="511"/>
      <c r="V606" s="511"/>
      <c r="W606" s="511"/>
      <c r="X606" s="511"/>
      <c r="Y606" s="511"/>
      <c r="Z606" s="511"/>
      <c r="AA606" s="511"/>
      <c r="AB606" s="511"/>
      <c r="AC606" s="511"/>
      <c r="AD606" s="511"/>
    </row>
    <row r="607" spans="18:30" x14ac:dyDescent="0.25">
      <c r="R607" s="511"/>
      <c r="S607" s="511"/>
      <c r="T607" s="511"/>
      <c r="U607" s="511"/>
      <c r="V607" s="511"/>
      <c r="W607" s="511"/>
      <c r="X607" s="511"/>
      <c r="Y607" s="511"/>
      <c r="Z607" s="511"/>
      <c r="AA607" s="511"/>
      <c r="AB607" s="511"/>
      <c r="AC607" s="511"/>
      <c r="AD607" s="511"/>
    </row>
    <row r="608" spans="18:30" x14ac:dyDescent="0.25">
      <c r="R608" s="511"/>
      <c r="S608" s="511"/>
      <c r="T608" s="511"/>
      <c r="U608" s="511"/>
      <c r="V608" s="511"/>
      <c r="W608" s="511"/>
      <c r="X608" s="511"/>
      <c r="Y608" s="511"/>
      <c r="Z608" s="511"/>
      <c r="AA608" s="511"/>
      <c r="AB608" s="511"/>
      <c r="AC608" s="511"/>
      <c r="AD608" s="511"/>
    </row>
    <row r="609" spans="18:30" x14ac:dyDescent="0.25">
      <c r="R609" s="511"/>
      <c r="S609" s="511"/>
      <c r="T609" s="511"/>
      <c r="U609" s="511"/>
      <c r="V609" s="511"/>
      <c r="W609" s="511"/>
      <c r="X609" s="511"/>
      <c r="Y609" s="511"/>
      <c r="Z609" s="511"/>
      <c r="AA609" s="511"/>
      <c r="AB609" s="511"/>
      <c r="AC609" s="511"/>
      <c r="AD609" s="511"/>
    </row>
    <row r="610" spans="18:30" x14ac:dyDescent="0.25">
      <c r="R610" s="511"/>
      <c r="S610" s="511"/>
      <c r="T610" s="511"/>
      <c r="U610" s="511"/>
      <c r="V610" s="511"/>
      <c r="W610" s="511"/>
      <c r="X610" s="511"/>
      <c r="Y610" s="511"/>
      <c r="Z610" s="511"/>
      <c r="AA610" s="511"/>
      <c r="AB610" s="511"/>
      <c r="AC610" s="511"/>
      <c r="AD610" s="511"/>
    </row>
    <row r="611" spans="18:30" x14ac:dyDescent="0.25">
      <c r="R611" s="511"/>
      <c r="S611" s="511"/>
      <c r="T611" s="511"/>
      <c r="U611" s="511"/>
      <c r="V611" s="511"/>
      <c r="W611" s="511"/>
      <c r="X611" s="511"/>
      <c r="Y611" s="511"/>
      <c r="Z611" s="511"/>
      <c r="AA611" s="511"/>
      <c r="AB611" s="511"/>
      <c r="AC611" s="511"/>
      <c r="AD611" s="511"/>
    </row>
    <row r="612" spans="18:30" x14ac:dyDescent="0.25">
      <c r="R612" s="511"/>
      <c r="S612" s="511"/>
      <c r="T612" s="511"/>
      <c r="U612" s="511"/>
      <c r="V612" s="511"/>
      <c r="W612" s="511"/>
      <c r="X612" s="511"/>
      <c r="Y612" s="511"/>
      <c r="Z612" s="511"/>
      <c r="AA612" s="511"/>
      <c r="AB612" s="511"/>
      <c r="AC612" s="511"/>
      <c r="AD612" s="511"/>
    </row>
    <row r="613" spans="18:30" x14ac:dyDescent="0.25">
      <c r="R613" s="511"/>
      <c r="S613" s="511"/>
      <c r="T613" s="511"/>
      <c r="U613" s="511"/>
      <c r="V613" s="511"/>
      <c r="W613" s="511"/>
      <c r="X613" s="511"/>
      <c r="Y613" s="511"/>
      <c r="Z613" s="511"/>
      <c r="AA613" s="511"/>
      <c r="AB613" s="511"/>
      <c r="AC613" s="511"/>
      <c r="AD613" s="511"/>
    </row>
    <row r="614" spans="18:30" x14ac:dyDescent="0.25">
      <c r="R614" s="511"/>
      <c r="S614" s="511"/>
      <c r="T614" s="511"/>
      <c r="U614" s="511"/>
      <c r="V614" s="511"/>
      <c r="W614" s="511"/>
      <c r="X614" s="511"/>
      <c r="Y614" s="511"/>
      <c r="Z614" s="511"/>
      <c r="AA614" s="511"/>
      <c r="AB614" s="511"/>
      <c r="AC614" s="511"/>
      <c r="AD614" s="511"/>
    </row>
    <row r="615" spans="18:30" x14ac:dyDescent="0.25">
      <c r="R615" s="511"/>
      <c r="S615" s="511"/>
      <c r="T615" s="511"/>
      <c r="U615" s="511"/>
      <c r="V615" s="511"/>
      <c r="W615" s="511"/>
      <c r="X615" s="511"/>
      <c r="Y615" s="511"/>
      <c r="Z615" s="511"/>
      <c r="AA615" s="511"/>
      <c r="AB615" s="511"/>
      <c r="AC615" s="511"/>
      <c r="AD615" s="511"/>
    </row>
    <row r="616" spans="18:30" x14ac:dyDescent="0.25">
      <c r="R616" s="511"/>
      <c r="S616" s="511"/>
      <c r="T616" s="511"/>
      <c r="U616" s="511"/>
      <c r="V616" s="511"/>
      <c r="W616" s="511"/>
      <c r="X616" s="511"/>
      <c r="Y616" s="511"/>
      <c r="Z616" s="511"/>
      <c r="AA616" s="511"/>
      <c r="AB616" s="511"/>
      <c r="AC616" s="511"/>
      <c r="AD616" s="511"/>
    </row>
    <row r="617" spans="18:30" x14ac:dyDescent="0.25">
      <c r="R617" s="511"/>
      <c r="S617" s="511"/>
      <c r="T617" s="511"/>
      <c r="U617" s="511"/>
      <c r="V617" s="511"/>
      <c r="W617" s="511"/>
      <c r="X617" s="511"/>
      <c r="Y617" s="511"/>
      <c r="Z617" s="511"/>
      <c r="AA617" s="511"/>
      <c r="AB617" s="511"/>
      <c r="AC617" s="511"/>
      <c r="AD617" s="511"/>
    </row>
    <row r="618" spans="18:30" x14ac:dyDescent="0.25">
      <c r="R618" s="511"/>
      <c r="S618" s="511"/>
      <c r="T618" s="511"/>
      <c r="U618" s="511"/>
      <c r="V618" s="511"/>
      <c r="W618" s="511"/>
      <c r="X618" s="511"/>
      <c r="Y618" s="511"/>
      <c r="Z618" s="511"/>
      <c r="AA618" s="511"/>
      <c r="AB618" s="511"/>
      <c r="AC618" s="511"/>
      <c r="AD618" s="511"/>
    </row>
    <row r="619" spans="18:30" x14ac:dyDescent="0.25">
      <c r="R619" s="511"/>
      <c r="S619" s="511"/>
      <c r="T619" s="511"/>
      <c r="U619" s="511"/>
      <c r="V619" s="511"/>
      <c r="W619" s="511"/>
      <c r="X619" s="511"/>
      <c r="Y619" s="511"/>
      <c r="Z619" s="511"/>
      <c r="AA619" s="511"/>
      <c r="AB619" s="511"/>
      <c r="AC619" s="511"/>
      <c r="AD619" s="511"/>
    </row>
    <row r="620" spans="18:30" x14ac:dyDescent="0.25">
      <c r="R620" s="511"/>
      <c r="S620" s="511"/>
      <c r="T620" s="511"/>
      <c r="U620" s="511"/>
      <c r="V620" s="511"/>
      <c r="W620" s="511"/>
      <c r="X620" s="511"/>
      <c r="Y620" s="511"/>
      <c r="Z620" s="511"/>
      <c r="AA620" s="511"/>
      <c r="AB620" s="511"/>
      <c r="AC620" s="511"/>
      <c r="AD620" s="511"/>
    </row>
    <row r="621" spans="18:30" x14ac:dyDescent="0.25">
      <c r="R621" s="511"/>
      <c r="S621" s="511"/>
      <c r="T621" s="511"/>
      <c r="U621" s="511"/>
      <c r="V621" s="511"/>
      <c r="W621" s="511"/>
      <c r="X621" s="511"/>
      <c r="Y621" s="511"/>
      <c r="Z621" s="511"/>
      <c r="AA621" s="511"/>
      <c r="AB621" s="511"/>
      <c r="AC621" s="511"/>
      <c r="AD621" s="511"/>
    </row>
    <row r="622" spans="18:30" x14ac:dyDescent="0.25">
      <c r="R622" s="511"/>
      <c r="S622" s="511"/>
      <c r="T622" s="511"/>
      <c r="U622" s="511"/>
      <c r="V622" s="511"/>
      <c r="W622" s="511"/>
      <c r="X622" s="511"/>
      <c r="Y622" s="511"/>
      <c r="Z622" s="511"/>
      <c r="AA622" s="511"/>
      <c r="AB622" s="511"/>
      <c r="AC622" s="511"/>
      <c r="AD622" s="511"/>
    </row>
    <row r="623" spans="18:30" x14ac:dyDescent="0.25">
      <c r="R623" s="511"/>
      <c r="S623" s="511"/>
      <c r="T623" s="511"/>
      <c r="U623" s="511"/>
      <c r="V623" s="511"/>
      <c r="W623" s="511"/>
      <c r="X623" s="511"/>
      <c r="Y623" s="511"/>
      <c r="Z623" s="511"/>
      <c r="AA623" s="511"/>
      <c r="AB623" s="511"/>
      <c r="AC623" s="511"/>
      <c r="AD623" s="511"/>
    </row>
    <row r="624" spans="18:30" x14ac:dyDescent="0.25">
      <c r="R624" s="511"/>
      <c r="S624" s="511"/>
      <c r="T624" s="511"/>
      <c r="U624" s="511"/>
      <c r="V624" s="511"/>
      <c r="W624" s="511"/>
      <c r="X624" s="511"/>
      <c r="Y624" s="511"/>
      <c r="Z624" s="511"/>
      <c r="AA624" s="511"/>
      <c r="AB624" s="511"/>
      <c r="AC624" s="511"/>
      <c r="AD624" s="511"/>
    </row>
    <row r="625" spans="18:30" x14ac:dyDescent="0.25">
      <c r="R625" s="511"/>
      <c r="S625" s="511"/>
      <c r="T625" s="511"/>
      <c r="U625" s="511"/>
      <c r="V625" s="511"/>
      <c r="W625" s="511"/>
      <c r="X625" s="511"/>
      <c r="Y625" s="511"/>
      <c r="Z625" s="511"/>
      <c r="AA625" s="511"/>
      <c r="AB625" s="511"/>
      <c r="AC625" s="511"/>
      <c r="AD625" s="511"/>
    </row>
    <row r="626" spans="18:30" x14ac:dyDescent="0.25">
      <c r="R626" s="511"/>
      <c r="S626" s="511"/>
      <c r="T626" s="511"/>
      <c r="U626" s="511"/>
      <c r="V626" s="511"/>
      <c r="W626" s="511"/>
      <c r="X626" s="511"/>
      <c r="Y626" s="511"/>
      <c r="Z626" s="511"/>
      <c r="AA626" s="511"/>
      <c r="AB626" s="511"/>
      <c r="AC626" s="511"/>
      <c r="AD626" s="511"/>
    </row>
    <row r="627" spans="18:30" x14ac:dyDescent="0.25">
      <c r="R627" s="511"/>
      <c r="S627" s="511"/>
      <c r="T627" s="511"/>
      <c r="U627" s="511"/>
      <c r="V627" s="511"/>
      <c r="W627" s="511"/>
      <c r="X627" s="511"/>
      <c r="Y627" s="511"/>
      <c r="Z627" s="511"/>
      <c r="AA627" s="511"/>
      <c r="AB627" s="511"/>
      <c r="AC627" s="511"/>
      <c r="AD627" s="511"/>
    </row>
    <row r="628" spans="18:30" x14ac:dyDescent="0.25">
      <c r="R628" s="511"/>
      <c r="S628" s="511"/>
      <c r="T628" s="511"/>
      <c r="U628" s="511"/>
      <c r="V628" s="511"/>
      <c r="W628" s="511"/>
      <c r="X628" s="511"/>
      <c r="Y628" s="511"/>
      <c r="Z628" s="511"/>
      <c r="AA628" s="511"/>
      <c r="AB628" s="511"/>
      <c r="AC628" s="511"/>
      <c r="AD628" s="511"/>
    </row>
    <row r="629" spans="18:30" x14ac:dyDescent="0.25">
      <c r="R629" s="511"/>
      <c r="S629" s="511"/>
      <c r="T629" s="511"/>
      <c r="U629" s="511"/>
      <c r="V629" s="511"/>
      <c r="W629" s="511"/>
      <c r="X629" s="511"/>
      <c r="Y629" s="511"/>
      <c r="Z629" s="511"/>
      <c r="AA629" s="511"/>
      <c r="AB629" s="511"/>
      <c r="AC629" s="511"/>
      <c r="AD629" s="511"/>
    </row>
    <row r="630" spans="18:30" x14ac:dyDescent="0.25">
      <c r="R630" s="511"/>
      <c r="S630" s="511"/>
      <c r="T630" s="511"/>
      <c r="U630" s="511"/>
      <c r="V630" s="511"/>
      <c r="W630" s="511"/>
      <c r="X630" s="511"/>
      <c r="Y630" s="511"/>
      <c r="Z630" s="511"/>
      <c r="AA630" s="511"/>
      <c r="AB630" s="511"/>
      <c r="AC630" s="511"/>
      <c r="AD630" s="511"/>
    </row>
    <row r="631" spans="18:30" x14ac:dyDescent="0.25">
      <c r="R631" s="511"/>
      <c r="S631" s="511"/>
      <c r="T631" s="511"/>
      <c r="U631" s="511"/>
      <c r="V631" s="511"/>
      <c r="W631" s="511"/>
      <c r="X631" s="511"/>
      <c r="Y631" s="511"/>
      <c r="Z631" s="511"/>
      <c r="AA631" s="511"/>
      <c r="AB631" s="511"/>
      <c r="AC631" s="511"/>
      <c r="AD631" s="511"/>
    </row>
    <row r="632" spans="18:30" x14ac:dyDescent="0.25">
      <c r="R632" s="511"/>
      <c r="S632" s="511"/>
      <c r="T632" s="511"/>
      <c r="U632" s="511"/>
      <c r="V632" s="511"/>
      <c r="W632" s="511"/>
      <c r="X632" s="511"/>
      <c r="Y632" s="511"/>
      <c r="Z632" s="511"/>
      <c r="AA632" s="511"/>
      <c r="AB632" s="511"/>
      <c r="AC632" s="511"/>
      <c r="AD632" s="511"/>
    </row>
    <row r="633" spans="18:30" x14ac:dyDescent="0.25">
      <c r="R633" s="511"/>
      <c r="S633" s="511"/>
      <c r="T633" s="511"/>
      <c r="U633" s="511"/>
      <c r="V633" s="511"/>
      <c r="W633" s="511"/>
      <c r="X633" s="511"/>
      <c r="Y633" s="511"/>
      <c r="Z633" s="511"/>
      <c r="AA633" s="511"/>
      <c r="AB633" s="511"/>
      <c r="AC633" s="511"/>
      <c r="AD633" s="511"/>
    </row>
    <row r="634" spans="18:30" x14ac:dyDescent="0.25">
      <c r="R634" s="511"/>
      <c r="S634" s="511"/>
      <c r="T634" s="511"/>
      <c r="U634" s="511"/>
      <c r="V634" s="511"/>
      <c r="W634" s="511"/>
      <c r="X634" s="511"/>
      <c r="Y634" s="511"/>
      <c r="Z634" s="511"/>
      <c r="AA634" s="511"/>
      <c r="AB634" s="511"/>
      <c r="AC634" s="511"/>
      <c r="AD634" s="511"/>
    </row>
    <row r="635" spans="18:30" x14ac:dyDescent="0.25">
      <c r="R635" s="511"/>
      <c r="S635" s="511"/>
      <c r="T635" s="511"/>
      <c r="U635" s="511"/>
      <c r="V635" s="511"/>
      <c r="W635" s="511"/>
      <c r="X635" s="511"/>
      <c r="Y635" s="511"/>
      <c r="Z635" s="511"/>
      <c r="AA635" s="511"/>
      <c r="AB635" s="511"/>
      <c r="AC635" s="511"/>
      <c r="AD635" s="511"/>
    </row>
    <row r="636" spans="18:30" x14ac:dyDescent="0.25">
      <c r="R636" s="511"/>
      <c r="S636" s="511"/>
      <c r="T636" s="511"/>
      <c r="U636" s="511"/>
      <c r="V636" s="511"/>
      <c r="W636" s="511"/>
      <c r="X636" s="511"/>
      <c r="Y636" s="511"/>
      <c r="Z636" s="511"/>
      <c r="AA636" s="511"/>
      <c r="AB636" s="511"/>
      <c r="AC636" s="511"/>
      <c r="AD636" s="511"/>
    </row>
    <row r="637" spans="18:30" x14ac:dyDescent="0.25">
      <c r="R637" s="511"/>
      <c r="S637" s="511"/>
      <c r="T637" s="511"/>
      <c r="U637" s="511"/>
      <c r="V637" s="511"/>
      <c r="W637" s="511"/>
      <c r="X637" s="511"/>
      <c r="Y637" s="511"/>
      <c r="Z637" s="511"/>
      <c r="AA637" s="511"/>
      <c r="AB637" s="511"/>
      <c r="AC637" s="511"/>
      <c r="AD637" s="511"/>
    </row>
    <row r="638" spans="18:30" x14ac:dyDescent="0.25">
      <c r="R638" s="511"/>
      <c r="S638" s="511"/>
      <c r="T638" s="511"/>
      <c r="U638" s="511"/>
      <c r="V638" s="511"/>
      <c r="W638" s="511"/>
      <c r="X638" s="511"/>
      <c r="Y638" s="511"/>
      <c r="Z638" s="511"/>
      <c r="AA638" s="511"/>
      <c r="AB638" s="511"/>
      <c r="AC638" s="511"/>
      <c r="AD638" s="511"/>
    </row>
    <row r="639" spans="18:30" x14ac:dyDescent="0.25">
      <c r="R639" s="511"/>
      <c r="S639" s="511"/>
      <c r="T639" s="511"/>
      <c r="U639" s="511"/>
      <c r="V639" s="511"/>
      <c r="W639" s="511"/>
      <c r="X639" s="511"/>
      <c r="Y639" s="511"/>
      <c r="Z639" s="511"/>
      <c r="AA639" s="511"/>
      <c r="AB639" s="511"/>
      <c r="AC639" s="511"/>
      <c r="AD639" s="511"/>
    </row>
    <row r="640" spans="18:30" x14ac:dyDescent="0.25">
      <c r="R640" s="511"/>
      <c r="S640" s="511"/>
      <c r="T640" s="511"/>
      <c r="U640" s="511"/>
      <c r="V640" s="511"/>
      <c r="W640" s="511"/>
      <c r="X640" s="511"/>
      <c r="Y640" s="511"/>
      <c r="Z640" s="511"/>
      <c r="AA640" s="511"/>
      <c r="AB640" s="511"/>
      <c r="AC640" s="511"/>
      <c r="AD640" s="511"/>
    </row>
    <row r="641" spans="18:30" x14ac:dyDescent="0.25">
      <c r="R641" s="511"/>
      <c r="S641" s="511"/>
      <c r="T641" s="511"/>
      <c r="U641" s="511"/>
      <c r="V641" s="511"/>
      <c r="W641" s="511"/>
      <c r="X641" s="511"/>
      <c r="Y641" s="511"/>
      <c r="Z641" s="511"/>
      <c r="AA641" s="511"/>
      <c r="AB641" s="511"/>
      <c r="AC641" s="511"/>
      <c r="AD641" s="511"/>
    </row>
    <row r="642" spans="18:30" x14ac:dyDescent="0.25">
      <c r="R642" s="511"/>
      <c r="S642" s="511"/>
      <c r="T642" s="511"/>
      <c r="U642" s="511"/>
      <c r="V642" s="511"/>
      <c r="W642" s="511"/>
      <c r="X642" s="511"/>
      <c r="Y642" s="511"/>
      <c r="Z642" s="511"/>
      <c r="AA642" s="511"/>
      <c r="AB642" s="511"/>
      <c r="AC642" s="511"/>
      <c r="AD642" s="511"/>
    </row>
    <row r="643" spans="18:30" x14ac:dyDescent="0.25">
      <c r="R643" s="511"/>
      <c r="S643" s="511"/>
      <c r="T643" s="511"/>
      <c r="U643" s="511"/>
      <c r="V643" s="511"/>
      <c r="W643" s="511"/>
      <c r="X643" s="511"/>
      <c r="Y643" s="511"/>
      <c r="Z643" s="511"/>
      <c r="AA643" s="511"/>
      <c r="AB643" s="511"/>
      <c r="AC643" s="511"/>
      <c r="AD643" s="511"/>
    </row>
    <row r="644" spans="18:30" x14ac:dyDescent="0.25">
      <c r="R644" s="511"/>
      <c r="S644" s="511"/>
      <c r="T644" s="511"/>
      <c r="U644" s="511"/>
      <c r="V644" s="511"/>
      <c r="W644" s="511"/>
      <c r="X644" s="511"/>
      <c r="Y644" s="511"/>
      <c r="Z644" s="511"/>
      <c r="AA644" s="511"/>
      <c r="AB644" s="511"/>
      <c r="AC644" s="511"/>
      <c r="AD644" s="511"/>
    </row>
    <row r="645" spans="18:30" x14ac:dyDescent="0.25">
      <c r="R645" s="511"/>
      <c r="S645" s="511"/>
      <c r="T645" s="511"/>
      <c r="U645" s="511"/>
      <c r="V645" s="511"/>
      <c r="W645" s="511"/>
      <c r="X645" s="511"/>
      <c r="Y645" s="511"/>
      <c r="Z645" s="511"/>
      <c r="AA645" s="511"/>
      <c r="AB645" s="511"/>
      <c r="AC645" s="511"/>
      <c r="AD645" s="511"/>
    </row>
    <row r="646" spans="18:30" x14ac:dyDescent="0.25">
      <c r="R646" s="511"/>
      <c r="S646" s="511"/>
      <c r="T646" s="511"/>
      <c r="U646" s="511"/>
      <c r="V646" s="511"/>
      <c r="W646" s="511"/>
      <c r="X646" s="511"/>
      <c r="Y646" s="511"/>
      <c r="Z646" s="511"/>
      <c r="AA646" s="511"/>
      <c r="AB646" s="511"/>
      <c r="AC646" s="511"/>
      <c r="AD646" s="511"/>
    </row>
    <row r="647" spans="18:30" x14ac:dyDescent="0.25">
      <c r="R647" s="511"/>
      <c r="S647" s="511"/>
      <c r="T647" s="511"/>
      <c r="U647" s="511"/>
      <c r="V647" s="511"/>
      <c r="W647" s="511"/>
      <c r="X647" s="511"/>
      <c r="Y647" s="511"/>
      <c r="Z647" s="511"/>
      <c r="AA647" s="511"/>
      <c r="AB647" s="511"/>
      <c r="AC647" s="511"/>
      <c r="AD647" s="511"/>
    </row>
    <row r="648" spans="18:30" x14ac:dyDescent="0.25">
      <c r="R648" s="511"/>
      <c r="S648" s="511"/>
      <c r="T648" s="511"/>
      <c r="U648" s="511"/>
      <c r="V648" s="511"/>
      <c r="W648" s="511"/>
      <c r="X648" s="511"/>
      <c r="Y648" s="511"/>
      <c r="Z648" s="511"/>
      <c r="AA648" s="511"/>
      <c r="AB648" s="511"/>
      <c r="AC648" s="511"/>
      <c r="AD648" s="511"/>
    </row>
    <row r="649" spans="18:30" x14ac:dyDescent="0.25">
      <c r="R649" s="511"/>
      <c r="S649" s="511"/>
      <c r="T649" s="511"/>
      <c r="U649" s="511"/>
      <c r="V649" s="511"/>
      <c r="W649" s="511"/>
      <c r="X649" s="511"/>
      <c r="Y649" s="511"/>
      <c r="Z649" s="511"/>
      <c r="AA649" s="511"/>
      <c r="AB649" s="511"/>
      <c r="AC649" s="511"/>
      <c r="AD649" s="511"/>
    </row>
    <row r="650" spans="18:30" x14ac:dyDescent="0.25">
      <c r="R650" s="511"/>
      <c r="S650" s="511"/>
      <c r="T650" s="511"/>
      <c r="U650" s="511"/>
      <c r="V650" s="511"/>
      <c r="W650" s="511"/>
      <c r="X650" s="511"/>
      <c r="Y650" s="511"/>
      <c r="Z650" s="511"/>
      <c r="AA650" s="511"/>
      <c r="AB650" s="511"/>
      <c r="AC650" s="511"/>
      <c r="AD650" s="511"/>
    </row>
    <row r="651" spans="18:30" x14ac:dyDescent="0.25">
      <c r="R651" s="511"/>
      <c r="S651" s="511"/>
      <c r="T651" s="511"/>
      <c r="U651" s="511"/>
      <c r="V651" s="511"/>
      <c r="W651" s="511"/>
      <c r="X651" s="511"/>
      <c r="Y651" s="511"/>
      <c r="Z651" s="511"/>
      <c r="AA651" s="511"/>
      <c r="AB651" s="511"/>
      <c r="AC651" s="511"/>
      <c r="AD651" s="511"/>
    </row>
    <row r="652" spans="18:30" x14ac:dyDescent="0.25">
      <c r="R652" s="511"/>
      <c r="S652" s="511"/>
      <c r="T652" s="511"/>
      <c r="U652" s="511"/>
      <c r="V652" s="511"/>
      <c r="W652" s="511"/>
      <c r="X652" s="511"/>
      <c r="Y652" s="511"/>
      <c r="Z652" s="511"/>
      <c r="AA652" s="511"/>
      <c r="AB652" s="511"/>
      <c r="AC652" s="511"/>
      <c r="AD652" s="511"/>
    </row>
    <row r="653" spans="18:30" x14ac:dyDescent="0.25">
      <c r="R653" s="511"/>
      <c r="S653" s="511"/>
      <c r="T653" s="511"/>
      <c r="U653" s="511"/>
      <c r="V653" s="511"/>
      <c r="W653" s="511"/>
      <c r="X653" s="511"/>
      <c r="Y653" s="511"/>
      <c r="Z653" s="511"/>
      <c r="AA653" s="511"/>
      <c r="AB653" s="511"/>
      <c r="AC653" s="511"/>
      <c r="AD653" s="511"/>
    </row>
    <row r="654" spans="18:30" x14ac:dyDescent="0.25">
      <c r="R654" s="511"/>
      <c r="S654" s="511"/>
      <c r="T654" s="511"/>
      <c r="U654" s="511"/>
      <c r="V654" s="511"/>
      <c r="W654" s="511"/>
      <c r="X654" s="511"/>
      <c r="Y654" s="511"/>
      <c r="Z654" s="511"/>
      <c r="AA654" s="511"/>
      <c r="AB654" s="511"/>
      <c r="AC654" s="511"/>
      <c r="AD654" s="511"/>
    </row>
    <row r="655" spans="18:30" x14ac:dyDescent="0.25">
      <c r="R655" s="511"/>
      <c r="S655" s="511"/>
      <c r="T655" s="511"/>
      <c r="U655" s="511"/>
      <c r="V655" s="511"/>
      <c r="W655" s="511"/>
      <c r="X655" s="511"/>
      <c r="Y655" s="511"/>
      <c r="Z655" s="511"/>
      <c r="AA655" s="511"/>
      <c r="AB655" s="511"/>
      <c r="AC655" s="511"/>
      <c r="AD655" s="511"/>
    </row>
    <row r="656" spans="18:30" x14ac:dyDescent="0.25">
      <c r="R656" s="511"/>
      <c r="S656" s="511"/>
      <c r="T656" s="511"/>
      <c r="U656" s="511"/>
      <c r="V656" s="511"/>
      <c r="W656" s="511"/>
      <c r="X656" s="511"/>
      <c r="Y656" s="511"/>
      <c r="Z656" s="511"/>
      <c r="AA656" s="511"/>
      <c r="AB656" s="511"/>
      <c r="AC656" s="511"/>
      <c r="AD656" s="511"/>
    </row>
    <row r="657" spans="18:30" x14ac:dyDescent="0.25">
      <c r="R657" s="511"/>
      <c r="S657" s="511"/>
      <c r="T657" s="511"/>
      <c r="U657" s="511"/>
      <c r="V657" s="511"/>
      <c r="W657" s="511"/>
      <c r="X657" s="511"/>
      <c r="Y657" s="511"/>
      <c r="Z657" s="511"/>
      <c r="AA657" s="511"/>
      <c r="AB657" s="511"/>
      <c r="AC657" s="511"/>
      <c r="AD657" s="511"/>
    </row>
    <row r="658" spans="18:30" x14ac:dyDescent="0.25">
      <c r="R658" s="511"/>
      <c r="S658" s="511"/>
      <c r="T658" s="511"/>
      <c r="U658" s="511"/>
      <c r="V658" s="511"/>
      <c r="W658" s="511"/>
      <c r="X658" s="511"/>
      <c r="Y658" s="511"/>
      <c r="Z658" s="511"/>
      <c r="AA658" s="511"/>
      <c r="AB658" s="511"/>
      <c r="AC658" s="511"/>
      <c r="AD658" s="511"/>
    </row>
    <row r="659" spans="18:30" x14ac:dyDescent="0.25">
      <c r="R659" s="511"/>
      <c r="S659" s="511"/>
      <c r="T659" s="511"/>
      <c r="U659" s="511"/>
      <c r="V659" s="511"/>
      <c r="W659" s="511"/>
      <c r="X659" s="511"/>
      <c r="Y659" s="511"/>
      <c r="Z659" s="511"/>
      <c r="AA659" s="511"/>
      <c r="AB659" s="511"/>
      <c r="AC659" s="511"/>
      <c r="AD659" s="511"/>
    </row>
    <row r="660" spans="18:30" x14ac:dyDescent="0.25">
      <c r="R660" s="511"/>
      <c r="S660" s="511"/>
      <c r="T660" s="511"/>
      <c r="U660" s="511"/>
      <c r="V660" s="511"/>
      <c r="W660" s="511"/>
      <c r="X660" s="511"/>
      <c r="Y660" s="511"/>
      <c r="Z660" s="511"/>
      <c r="AA660" s="511"/>
      <c r="AB660" s="511"/>
      <c r="AC660" s="511"/>
      <c r="AD660" s="511"/>
    </row>
    <row r="661" spans="18:30" x14ac:dyDescent="0.25">
      <c r="R661" s="511"/>
      <c r="S661" s="511"/>
      <c r="T661" s="511"/>
      <c r="U661" s="511"/>
      <c r="V661" s="511"/>
      <c r="W661" s="511"/>
      <c r="X661" s="511"/>
      <c r="Y661" s="511"/>
      <c r="Z661" s="511"/>
      <c r="AA661" s="511"/>
      <c r="AB661" s="511"/>
      <c r="AC661" s="511"/>
      <c r="AD661" s="511"/>
    </row>
    <row r="662" spans="18:30" x14ac:dyDescent="0.25">
      <c r="R662" s="511"/>
      <c r="S662" s="511"/>
      <c r="T662" s="511"/>
      <c r="U662" s="511"/>
      <c r="V662" s="511"/>
      <c r="W662" s="511"/>
      <c r="X662" s="511"/>
      <c r="Y662" s="511"/>
      <c r="Z662" s="511"/>
      <c r="AA662" s="511"/>
      <c r="AB662" s="511"/>
      <c r="AC662" s="511"/>
      <c r="AD662" s="511"/>
    </row>
    <row r="663" spans="18:30" x14ac:dyDescent="0.25">
      <c r="R663" s="511"/>
      <c r="S663" s="511"/>
      <c r="T663" s="511"/>
      <c r="U663" s="511"/>
      <c r="V663" s="511"/>
      <c r="W663" s="511"/>
      <c r="X663" s="511"/>
      <c r="Y663" s="511"/>
      <c r="Z663" s="511"/>
      <c r="AA663" s="511"/>
      <c r="AB663" s="511"/>
      <c r="AC663" s="511"/>
      <c r="AD663" s="511"/>
    </row>
    <row r="664" spans="18:30" x14ac:dyDescent="0.25">
      <c r="R664" s="511"/>
      <c r="S664" s="511"/>
      <c r="T664" s="511"/>
      <c r="U664" s="511"/>
      <c r="V664" s="511"/>
      <c r="W664" s="511"/>
      <c r="X664" s="511"/>
      <c r="Y664" s="511"/>
      <c r="Z664" s="511"/>
      <c r="AA664" s="511"/>
      <c r="AB664" s="511"/>
      <c r="AC664" s="511"/>
      <c r="AD664" s="511"/>
    </row>
    <row r="665" spans="18:30" x14ac:dyDescent="0.25">
      <c r="R665" s="511"/>
      <c r="S665" s="511"/>
      <c r="T665" s="511"/>
      <c r="U665" s="511"/>
      <c r="V665" s="511"/>
      <c r="W665" s="511"/>
      <c r="X665" s="511"/>
      <c r="Y665" s="511"/>
      <c r="Z665" s="511"/>
      <c r="AA665" s="511"/>
      <c r="AB665" s="511"/>
      <c r="AC665" s="511"/>
      <c r="AD665" s="511"/>
    </row>
    <row r="666" spans="18:30" x14ac:dyDescent="0.25">
      <c r="R666" s="511"/>
      <c r="S666" s="511"/>
      <c r="T666" s="511"/>
      <c r="U666" s="511"/>
      <c r="V666" s="511"/>
      <c r="W666" s="511"/>
      <c r="X666" s="511"/>
      <c r="Y666" s="511"/>
      <c r="Z666" s="511"/>
      <c r="AA666" s="511"/>
      <c r="AB666" s="511"/>
      <c r="AC666" s="511"/>
      <c r="AD666" s="511"/>
    </row>
    <row r="667" spans="18:30" x14ac:dyDescent="0.25">
      <c r="R667" s="511"/>
      <c r="S667" s="511"/>
      <c r="T667" s="511"/>
      <c r="U667" s="511"/>
      <c r="V667" s="511"/>
      <c r="W667" s="511"/>
      <c r="X667" s="511"/>
      <c r="Y667" s="511"/>
      <c r="Z667" s="511"/>
      <c r="AA667" s="511"/>
      <c r="AB667" s="511"/>
      <c r="AC667" s="511"/>
      <c r="AD667" s="511"/>
    </row>
    <row r="668" spans="18:30" x14ac:dyDescent="0.25">
      <c r="R668" s="511"/>
      <c r="S668" s="511"/>
      <c r="T668" s="511"/>
      <c r="U668" s="511"/>
      <c r="V668" s="511"/>
      <c r="W668" s="511"/>
      <c r="X668" s="511"/>
      <c r="Y668" s="511"/>
      <c r="Z668" s="511"/>
      <c r="AA668" s="511"/>
      <c r="AB668" s="511"/>
      <c r="AC668" s="511"/>
      <c r="AD668" s="511"/>
    </row>
    <row r="669" spans="18:30" x14ac:dyDescent="0.25">
      <c r="R669" s="511"/>
      <c r="S669" s="511"/>
      <c r="T669" s="511"/>
      <c r="U669" s="511"/>
      <c r="V669" s="511"/>
      <c r="W669" s="511"/>
      <c r="X669" s="511"/>
      <c r="Y669" s="511"/>
      <c r="Z669" s="511"/>
      <c r="AA669" s="511"/>
      <c r="AB669" s="511"/>
      <c r="AC669" s="511"/>
      <c r="AD669" s="511"/>
    </row>
    <row r="670" spans="18:30" x14ac:dyDescent="0.25">
      <c r="R670" s="511"/>
      <c r="S670" s="511"/>
      <c r="T670" s="511"/>
      <c r="U670" s="511"/>
      <c r="V670" s="511"/>
      <c r="W670" s="511"/>
      <c r="X670" s="511"/>
      <c r="Y670" s="511"/>
      <c r="Z670" s="511"/>
      <c r="AA670" s="511"/>
      <c r="AB670" s="511"/>
      <c r="AC670" s="511"/>
      <c r="AD670" s="511"/>
    </row>
    <row r="671" spans="18:30" x14ac:dyDescent="0.25">
      <c r="R671" s="511"/>
      <c r="S671" s="511"/>
      <c r="T671" s="511"/>
      <c r="U671" s="511"/>
      <c r="V671" s="511"/>
      <c r="W671" s="511"/>
      <c r="X671" s="511"/>
      <c r="Y671" s="511"/>
      <c r="Z671" s="511"/>
      <c r="AA671" s="511"/>
      <c r="AB671" s="511"/>
      <c r="AC671" s="511"/>
      <c r="AD671" s="511"/>
    </row>
    <row r="672" spans="18:30" x14ac:dyDescent="0.25">
      <c r="R672" s="511"/>
      <c r="S672" s="511"/>
      <c r="T672" s="511"/>
      <c r="U672" s="511"/>
      <c r="V672" s="511"/>
      <c r="W672" s="511"/>
      <c r="X672" s="511"/>
      <c r="Y672" s="511"/>
      <c r="Z672" s="511"/>
      <c r="AA672" s="511"/>
      <c r="AB672" s="511"/>
      <c r="AC672" s="511"/>
      <c r="AD672" s="511"/>
    </row>
    <row r="673" spans="18:30" x14ac:dyDescent="0.25">
      <c r="R673" s="511"/>
      <c r="S673" s="511"/>
      <c r="T673" s="511"/>
      <c r="U673" s="511"/>
      <c r="V673" s="511"/>
      <c r="W673" s="511"/>
      <c r="X673" s="511"/>
      <c r="Y673" s="511"/>
      <c r="Z673" s="511"/>
      <c r="AA673" s="511"/>
      <c r="AB673" s="511"/>
      <c r="AC673" s="511"/>
      <c r="AD673" s="511"/>
    </row>
    <row r="674" spans="18:30" x14ac:dyDescent="0.25">
      <c r="R674" s="511"/>
      <c r="S674" s="511"/>
      <c r="T674" s="511"/>
      <c r="U674" s="511"/>
      <c r="V674" s="511"/>
      <c r="W674" s="511"/>
      <c r="X674" s="511"/>
      <c r="Y674" s="511"/>
      <c r="Z674" s="511"/>
      <c r="AA674" s="511"/>
      <c r="AB674" s="511"/>
      <c r="AC674" s="511"/>
      <c r="AD674" s="511"/>
    </row>
    <row r="675" spans="18:30" x14ac:dyDescent="0.25">
      <c r="R675" s="511"/>
      <c r="S675" s="511"/>
      <c r="T675" s="511"/>
      <c r="U675" s="511"/>
      <c r="V675" s="511"/>
      <c r="W675" s="511"/>
      <c r="X675" s="511"/>
      <c r="Y675" s="511"/>
      <c r="Z675" s="511"/>
      <c r="AA675" s="511"/>
      <c r="AB675" s="511"/>
      <c r="AC675" s="511"/>
      <c r="AD675" s="511"/>
    </row>
    <row r="676" spans="18:30" x14ac:dyDescent="0.25">
      <c r="R676" s="511"/>
      <c r="S676" s="511"/>
      <c r="T676" s="511"/>
      <c r="U676" s="511"/>
      <c r="V676" s="511"/>
      <c r="W676" s="511"/>
      <c r="X676" s="511"/>
      <c r="Y676" s="511"/>
      <c r="Z676" s="511"/>
      <c r="AA676" s="511"/>
      <c r="AB676" s="511"/>
      <c r="AC676" s="511"/>
      <c r="AD676" s="511"/>
    </row>
    <row r="677" spans="18:30" x14ac:dyDescent="0.25">
      <c r="R677" s="511"/>
      <c r="S677" s="511"/>
      <c r="T677" s="511"/>
      <c r="U677" s="511"/>
      <c r="V677" s="511"/>
      <c r="W677" s="511"/>
      <c r="X677" s="511"/>
      <c r="Y677" s="511"/>
      <c r="Z677" s="511"/>
      <c r="AA677" s="511"/>
      <c r="AB677" s="511"/>
      <c r="AC677" s="511"/>
      <c r="AD677" s="511"/>
    </row>
    <row r="678" spans="18:30" x14ac:dyDescent="0.25">
      <c r="R678" s="511"/>
      <c r="S678" s="511"/>
      <c r="T678" s="511"/>
      <c r="U678" s="511"/>
      <c r="V678" s="511"/>
      <c r="W678" s="511"/>
      <c r="X678" s="511"/>
      <c r="Y678" s="511"/>
      <c r="Z678" s="511"/>
      <c r="AA678" s="511"/>
      <c r="AB678" s="511"/>
      <c r="AC678" s="511"/>
      <c r="AD678" s="511"/>
    </row>
    <row r="679" spans="18:30" x14ac:dyDescent="0.25">
      <c r="R679" s="511"/>
      <c r="S679" s="511"/>
      <c r="T679" s="511"/>
      <c r="U679" s="511"/>
      <c r="V679" s="511"/>
      <c r="W679" s="511"/>
      <c r="X679" s="511"/>
      <c r="Y679" s="511"/>
      <c r="Z679" s="511"/>
      <c r="AA679" s="511"/>
      <c r="AB679" s="511"/>
      <c r="AC679" s="511"/>
      <c r="AD679" s="511"/>
    </row>
    <row r="680" spans="18:30" x14ac:dyDescent="0.25">
      <c r="R680" s="511"/>
      <c r="S680" s="511"/>
      <c r="T680" s="511"/>
      <c r="U680" s="511"/>
      <c r="V680" s="511"/>
      <c r="W680" s="511"/>
      <c r="X680" s="511"/>
      <c r="Y680" s="511"/>
      <c r="Z680" s="511"/>
      <c r="AA680" s="511"/>
      <c r="AB680" s="511"/>
      <c r="AC680" s="511"/>
      <c r="AD680" s="511"/>
    </row>
    <row r="681" spans="18:30" x14ac:dyDescent="0.25">
      <c r="R681" s="511"/>
      <c r="S681" s="511"/>
      <c r="T681" s="511"/>
      <c r="U681" s="511"/>
      <c r="V681" s="511"/>
      <c r="W681" s="511"/>
      <c r="X681" s="511"/>
      <c r="Y681" s="511"/>
      <c r="Z681" s="511"/>
      <c r="AA681" s="511"/>
      <c r="AB681" s="511"/>
      <c r="AC681" s="511"/>
      <c r="AD681" s="511"/>
    </row>
    <row r="682" spans="18:30" x14ac:dyDescent="0.25">
      <c r="R682" s="511"/>
      <c r="S682" s="511"/>
      <c r="T682" s="511"/>
      <c r="U682" s="511"/>
      <c r="V682" s="511"/>
      <c r="W682" s="511"/>
      <c r="X682" s="511"/>
      <c r="Y682" s="511"/>
      <c r="Z682" s="511"/>
      <c r="AA682" s="511"/>
      <c r="AB682" s="511"/>
      <c r="AC682" s="511"/>
      <c r="AD682" s="511"/>
    </row>
    <row r="683" spans="18:30" x14ac:dyDescent="0.25">
      <c r="R683" s="511"/>
      <c r="S683" s="511"/>
      <c r="T683" s="511"/>
      <c r="U683" s="511"/>
      <c r="V683" s="511"/>
      <c r="W683" s="511"/>
      <c r="X683" s="511"/>
      <c r="Y683" s="511"/>
      <c r="Z683" s="511"/>
      <c r="AA683" s="511"/>
      <c r="AB683" s="511"/>
      <c r="AC683" s="511"/>
      <c r="AD683" s="511"/>
    </row>
    <row r="684" spans="18:30" x14ac:dyDescent="0.25">
      <c r="R684" s="511"/>
      <c r="S684" s="511"/>
      <c r="T684" s="511"/>
      <c r="U684" s="511"/>
      <c r="V684" s="511"/>
      <c r="W684" s="511"/>
      <c r="X684" s="511"/>
      <c r="Y684" s="511"/>
      <c r="Z684" s="511"/>
      <c r="AA684" s="511"/>
      <c r="AB684" s="511"/>
      <c r="AC684" s="511"/>
      <c r="AD684" s="511"/>
    </row>
    <row r="685" spans="18:30" x14ac:dyDescent="0.25">
      <c r="R685" s="511"/>
      <c r="S685" s="511"/>
      <c r="T685" s="511"/>
      <c r="U685" s="511"/>
      <c r="V685" s="511"/>
      <c r="W685" s="511"/>
      <c r="X685" s="511"/>
      <c r="Y685" s="511"/>
      <c r="Z685" s="511"/>
      <c r="AA685" s="511"/>
      <c r="AB685" s="511"/>
      <c r="AC685" s="511"/>
      <c r="AD685" s="511"/>
    </row>
    <row r="686" spans="18:30" x14ac:dyDescent="0.25">
      <c r="R686" s="511"/>
      <c r="S686" s="511"/>
      <c r="T686" s="511"/>
      <c r="U686" s="511"/>
      <c r="V686" s="511"/>
      <c r="W686" s="511"/>
      <c r="X686" s="511"/>
      <c r="Y686" s="511"/>
      <c r="Z686" s="511"/>
      <c r="AA686" s="511"/>
      <c r="AB686" s="511"/>
      <c r="AC686" s="511"/>
      <c r="AD686" s="511"/>
    </row>
    <row r="687" spans="18:30" x14ac:dyDescent="0.25">
      <c r="R687" s="511"/>
      <c r="S687" s="511"/>
      <c r="T687" s="511"/>
      <c r="U687" s="511"/>
      <c r="V687" s="511"/>
      <c r="W687" s="511"/>
      <c r="X687" s="511"/>
      <c r="Y687" s="511"/>
      <c r="Z687" s="511"/>
      <c r="AA687" s="511"/>
      <c r="AB687" s="511"/>
      <c r="AC687" s="511"/>
      <c r="AD687" s="511"/>
    </row>
    <row r="688" spans="18:30" x14ac:dyDescent="0.25">
      <c r="R688" s="511"/>
      <c r="S688" s="511"/>
      <c r="T688" s="511"/>
      <c r="U688" s="511"/>
      <c r="V688" s="511"/>
      <c r="W688" s="511"/>
      <c r="X688" s="511"/>
      <c r="Y688" s="511"/>
      <c r="Z688" s="511"/>
      <c r="AA688" s="511"/>
      <c r="AB688" s="511"/>
      <c r="AC688" s="511"/>
      <c r="AD688" s="511"/>
    </row>
    <row r="689" spans="18:30" x14ac:dyDescent="0.25">
      <c r="R689" s="511"/>
      <c r="S689" s="511"/>
      <c r="T689" s="511"/>
      <c r="U689" s="511"/>
      <c r="V689" s="511"/>
      <c r="W689" s="511"/>
      <c r="X689" s="511"/>
      <c r="Y689" s="511"/>
      <c r="Z689" s="511"/>
      <c r="AA689" s="511"/>
      <c r="AB689" s="511"/>
      <c r="AC689" s="511"/>
      <c r="AD689" s="511"/>
    </row>
    <row r="690" spans="18:30" x14ac:dyDescent="0.25">
      <c r="R690" s="511"/>
      <c r="S690" s="511"/>
      <c r="T690" s="511"/>
      <c r="U690" s="511"/>
      <c r="V690" s="511"/>
      <c r="W690" s="511"/>
      <c r="X690" s="511"/>
      <c r="Y690" s="511"/>
      <c r="Z690" s="511"/>
      <c r="AA690" s="511"/>
      <c r="AB690" s="511"/>
      <c r="AC690" s="511"/>
      <c r="AD690" s="511"/>
    </row>
    <row r="691" spans="18:30" x14ac:dyDescent="0.25">
      <c r="R691" s="511"/>
      <c r="S691" s="511"/>
      <c r="T691" s="511"/>
      <c r="U691" s="511"/>
      <c r="V691" s="511"/>
      <c r="W691" s="511"/>
      <c r="X691" s="511"/>
      <c r="Y691" s="511"/>
      <c r="Z691" s="511"/>
      <c r="AA691" s="511"/>
      <c r="AB691" s="511"/>
      <c r="AC691" s="511"/>
      <c r="AD691" s="511"/>
    </row>
    <row r="692" spans="18:30" x14ac:dyDescent="0.25">
      <c r="R692" s="511"/>
      <c r="S692" s="511"/>
      <c r="T692" s="511"/>
      <c r="U692" s="511"/>
      <c r="V692" s="511"/>
      <c r="W692" s="511"/>
      <c r="X692" s="511"/>
      <c r="Y692" s="511"/>
      <c r="Z692" s="511"/>
      <c r="AA692" s="511"/>
      <c r="AB692" s="511"/>
      <c r="AC692" s="511"/>
      <c r="AD692" s="511"/>
    </row>
    <row r="693" spans="18:30" x14ac:dyDescent="0.25">
      <c r="R693" s="511"/>
      <c r="S693" s="511"/>
      <c r="T693" s="511"/>
      <c r="U693" s="511"/>
      <c r="V693" s="511"/>
      <c r="W693" s="511"/>
      <c r="X693" s="511"/>
      <c r="Y693" s="511"/>
      <c r="Z693" s="511"/>
      <c r="AA693" s="511"/>
      <c r="AB693" s="511"/>
      <c r="AC693" s="511"/>
      <c r="AD693" s="511"/>
    </row>
    <row r="694" spans="18:30" x14ac:dyDescent="0.25">
      <c r="R694" s="511"/>
      <c r="S694" s="511"/>
      <c r="T694" s="511"/>
      <c r="U694" s="511"/>
      <c r="V694" s="511"/>
      <c r="W694" s="511"/>
      <c r="X694" s="511"/>
      <c r="Y694" s="511"/>
      <c r="Z694" s="511"/>
      <c r="AA694" s="511"/>
      <c r="AB694" s="511"/>
      <c r="AC694" s="511"/>
      <c r="AD694" s="511"/>
    </row>
    <row r="695" spans="18:30" x14ac:dyDescent="0.25">
      <c r="R695" s="511"/>
      <c r="S695" s="511"/>
      <c r="T695" s="511"/>
      <c r="U695" s="511"/>
      <c r="V695" s="511"/>
      <c r="W695" s="511"/>
      <c r="X695" s="511"/>
      <c r="Y695" s="511"/>
      <c r="Z695" s="511"/>
      <c r="AA695" s="511"/>
      <c r="AB695" s="511"/>
      <c r="AC695" s="511"/>
      <c r="AD695" s="511"/>
    </row>
    <row r="696" spans="18:30" x14ac:dyDescent="0.25">
      <c r="R696" s="511"/>
      <c r="S696" s="511"/>
      <c r="T696" s="511"/>
      <c r="U696" s="511"/>
      <c r="V696" s="511"/>
      <c r="W696" s="511"/>
      <c r="X696" s="511"/>
      <c r="Y696" s="511"/>
      <c r="Z696" s="511"/>
      <c r="AA696" s="511"/>
      <c r="AB696" s="511"/>
      <c r="AC696" s="511"/>
      <c r="AD696" s="511"/>
    </row>
    <row r="697" spans="18:30" x14ac:dyDescent="0.25">
      <c r="R697" s="511"/>
      <c r="S697" s="511"/>
      <c r="T697" s="511"/>
      <c r="U697" s="511"/>
      <c r="V697" s="511"/>
      <c r="W697" s="511"/>
      <c r="X697" s="511"/>
      <c r="Y697" s="511"/>
      <c r="Z697" s="511"/>
      <c r="AA697" s="511"/>
      <c r="AB697" s="511"/>
      <c r="AC697" s="511"/>
      <c r="AD697" s="511"/>
    </row>
    <row r="698" spans="18:30" x14ac:dyDescent="0.25">
      <c r="R698" s="511"/>
      <c r="S698" s="511"/>
      <c r="T698" s="511"/>
      <c r="U698" s="511"/>
      <c r="V698" s="511"/>
      <c r="W698" s="511"/>
      <c r="X698" s="511"/>
      <c r="Y698" s="511"/>
      <c r="Z698" s="511"/>
      <c r="AA698" s="511"/>
      <c r="AB698" s="511"/>
      <c r="AC698" s="511"/>
      <c r="AD698" s="511"/>
    </row>
    <row r="699" spans="18:30" x14ac:dyDescent="0.25">
      <c r="R699" s="511"/>
      <c r="S699" s="511"/>
      <c r="T699" s="511"/>
      <c r="U699" s="511"/>
      <c r="V699" s="511"/>
      <c r="W699" s="511"/>
      <c r="X699" s="511"/>
      <c r="Y699" s="511"/>
      <c r="Z699" s="511"/>
      <c r="AA699" s="511"/>
      <c r="AB699" s="511"/>
      <c r="AC699" s="511"/>
      <c r="AD699" s="511"/>
    </row>
    <row r="700" spans="18:30" x14ac:dyDescent="0.25">
      <c r="R700" s="511"/>
      <c r="S700" s="511"/>
      <c r="T700" s="511"/>
      <c r="U700" s="511"/>
      <c r="V700" s="511"/>
      <c r="W700" s="511"/>
      <c r="X700" s="511"/>
      <c r="Y700" s="511"/>
      <c r="Z700" s="511"/>
      <c r="AA700" s="511"/>
      <c r="AB700" s="511"/>
      <c r="AC700" s="511"/>
      <c r="AD700" s="511"/>
    </row>
    <row r="701" spans="18:30" x14ac:dyDescent="0.25">
      <c r="R701" s="511"/>
      <c r="S701" s="511"/>
      <c r="T701" s="511"/>
      <c r="U701" s="511"/>
      <c r="V701" s="511"/>
      <c r="W701" s="511"/>
      <c r="X701" s="511"/>
      <c r="Y701" s="511"/>
      <c r="Z701" s="511"/>
      <c r="AA701" s="511"/>
      <c r="AB701" s="511"/>
      <c r="AC701" s="511"/>
      <c r="AD701" s="511"/>
    </row>
    <row r="702" spans="18:30" x14ac:dyDescent="0.25">
      <c r="R702" s="511"/>
      <c r="S702" s="511"/>
      <c r="T702" s="511"/>
      <c r="U702" s="511"/>
      <c r="V702" s="511"/>
      <c r="W702" s="511"/>
      <c r="X702" s="511"/>
      <c r="Y702" s="511"/>
      <c r="Z702" s="511"/>
      <c r="AA702" s="511"/>
      <c r="AB702" s="511"/>
      <c r="AC702" s="511"/>
      <c r="AD702" s="511"/>
    </row>
    <row r="703" spans="18:30" x14ac:dyDescent="0.25">
      <c r="R703" s="511"/>
      <c r="S703" s="511"/>
      <c r="T703" s="511"/>
      <c r="U703" s="511"/>
      <c r="V703" s="511"/>
      <c r="W703" s="511"/>
      <c r="X703" s="511"/>
      <c r="Y703" s="511"/>
      <c r="Z703" s="511"/>
      <c r="AA703" s="511"/>
      <c r="AB703" s="511"/>
      <c r="AC703" s="511"/>
      <c r="AD703" s="511"/>
    </row>
    <row r="704" spans="18:30" x14ac:dyDescent="0.25">
      <c r="R704" s="511"/>
      <c r="S704" s="511"/>
      <c r="T704" s="511"/>
      <c r="U704" s="511"/>
      <c r="V704" s="511"/>
      <c r="W704" s="511"/>
      <c r="X704" s="511"/>
      <c r="Y704" s="511"/>
      <c r="Z704" s="511"/>
      <c r="AA704" s="511"/>
      <c r="AB704" s="511"/>
      <c r="AC704" s="511"/>
      <c r="AD704" s="511"/>
    </row>
    <row r="705" spans="18:30" x14ac:dyDescent="0.25">
      <c r="R705" s="511"/>
      <c r="S705" s="511"/>
      <c r="T705" s="511"/>
      <c r="U705" s="511"/>
      <c r="V705" s="511"/>
      <c r="W705" s="511"/>
      <c r="X705" s="511"/>
      <c r="Y705" s="511"/>
      <c r="Z705" s="511"/>
      <c r="AA705" s="511"/>
      <c r="AB705" s="511"/>
      <c r="AC705" s="511"/>
      <c r="AD705" s="511"/>
    </row>
    <row r="706" spans="18:30" x14ac:dyDescent="0.25">
      <c r="R706" s="511"/>
      <c r="S706" s="511"/>
      <c r="T706" s="511"/>
      <c r="U706" s="511"/>
      <c r="V706" s="511"/>
      <c r="W706" s="511"/>
      <c r="X706" s="511"/>
      <c r="Y706" s="511"/>
      <c r="Z706" s="511"/>
      <c r="AA706" s="511"/>
      <c r="AB706" s="511"/>
      <c r="AC706" s="511"/>
      <c r="AD706" s="511"/>
    </row>
    <row r="707" spans="18:30" x14ac:dyDescent="0.25">
      <c r="R707" s="511"/>
      <c r="S707" s="511"/>
      <c r="T707" s="511"/>
      <c r="U707" s="511"/>
      <c r="V707" s="511"/>
      <c r="W707" s="511"/>
      <c r="X707" s="511"/>
      <c r="Y707" s="511"/>
      <c r="Z707" s="511"/>
      <c r="AA707" s="511"/>
      <c r="AB707" s="511"/>
      <c r="AC707" s="511"/>
      <c r="AD707" s="511"/>
    </row>
    <row r="708" spans="18:30" x14ac:dyDescent="0.25">
      <c r="R708" s="511"/>
      <c r="S708" s="511"/>
      <c r="T708" s="511"/>
      <c r="U708" s="511"/>
      <c r="V708" s="511"/>
      <c r="W708" s="511"/>
      <c r="X708" s="511"/>
      <c r="Y708" s="511"/>
      <c r="Z708" s="511"/>
      <c r="AA708" s="511"/>
      <c r="AB708" s="511"/>
      <c r="AC708" s="511"/>
      <c r="AD708" s="511"/>
    </row>
    <row r="709" spans="18:30" x14ac:dyDescent="0.25">
      <c r="R709" s="511"/>
      <c r="S709" s="511"/>
      <c r="T709" s="511"/>
      <c r="U709" s="511"/>
      <c r="V709" s="511"/>
      <c r="W709" s="511"/>
      <c r="X709" s="511"/>
      <c r="Y709" s="511"/>
      <c r="Z709" s="511"/>
      <c r="AA709" s="511"/>
      <c r="AB709" s="511"/>
      <c r="AC709" s="511"/>
      <c r="AD709" s="511"/>
    </row>
    <row r="710" spans="18:30" x14ac:dyDescent="0.25">
      <c r="R710" s="511"/>
      <c r="S710" s="511"/>
      <c r="T710" s="511"/>
      <c r="U710" s="511"/>
      <c r="V710" s="511"/>
      <c r="W710" s="511"/>
      <c r="X710" s="511"/>
      <c r="Y710" s="511"/>
      <c r="Z710" s="511"/>
      <c r="AA710" s="511"/>
      <c r="AB710" s="511"/>
      <c r="AC710" s="511"/>
      <c r="AD710" s="511"/>
    </row>
    <row r="711" spans="18:30" x14ac:dyDescent="0.25">
      <c r="R711" s="511"/>
      <c r="S711" s="511"/>
      <c r="T711" s="511"/>
      <c r="U711" s="511"/>
      <c r="V711" s="511"/>
      <c r="W711" s="511"/>
      <c r="X711" s="511"/>
      <c r="Y711" s="511"/>
      <c r="Z711" s="511"/>
      <c r="AA711" s="511"/>
      <c r="AB711" s="511"/>
      <c r="AC711" s="511"/>
      <c r="AD711" s="511"/>
    </row>
    <row r="712" spans="18:30" x14ac:dyDescent="0.25">
      <c r="R712" s="511"/>
      <c r="S712" s="511"/>
      <c r="T712" s="511"/>
      <c r="U712" s="511"/>
      <c r="V712" s="511"/>
      <c r="W712" s="511"/>
      <c r="X712" s="511"/>
      <c r="Y712" s="511"/>
      <c r="Z712" s="511"/>
      <c r="AA712" s="511"/>
      <c r="AB712" s="511"/>
      <c r="AC712" s="511"/>
      <c r="AD712" s="511"/>
    </row>
    <row r="713" spans="18:30" x14ac:dyDescent="0.25">
      <c r="R713" s="511"/>
      <c r="S713" s="511"/>
      <c r="T713" s="511"/>
      <c r="U713" s="511"/>
      <c r="V713" s="511"/>
      <c r="W713" s="511"/>
      <c r="X713" s="511"/>
      <c r="Y713" s="511"/>
      <c r="Z713" s="511"/>
      <c r="AA713" s="511"/>
      <c r="AB713" s="511"/>
      <c r="AC713" s="511"/>
      <c r="AD713" s="511"/>
    </row>
    <row r="714" spans="18:30" x14ac:dyDescent="0.25">
      <c r="R714" s="511"/>
      <c r="S714" s="511"/>
      <c r="T714" s="511"/>
      <c r="U714" s="511"/>
      <c r="V714" s="511"/>
      <c r="W714" s="511"/>
      <c r="X714" s="511"/>
      <c r="Y714" s="511"/>
      <c r="Z714" s="511"/>
      <c r="AA714" s="511"/>
      <c r="AB714" s="511"/>
      <c r="AC714" s="511"/>
      <c r="AD714" s="511"/>
    </row>
    <row r="715" spans="18:30" x14ac:dyDescent="0.25">
      <c r="R715" s="511"/>
      <c r="S715" s="511"/>
      <c r="T715" s="511"/>
      <c r="U715" s="511"/>
      <c r="V715" s="511"/>
      <c r="W715" s="511"/>
      <c r="X715" s="511"/>
      <c r="Y715" s="511"/>
      <c r="Z715" s="511"/>
      <c r="AA715" s="511"/>
      <c r="AB715" s="511"/>
      <c r="AC715" s="511"/>
      <c r="AD715" s="511"/>
    </row>
    <row r="716" spans="18:30" x14ac:dyDescent="0.25">
      <c r="R716" s="511"/>
      <c r="S716" s="511"/>
      <c r="T716" s="511"/>
      <c r="U716" s="511"/>
      <c r="V716" s="511"/>
      <c r="W716" s="511"/>
      <c r="X716" s="511"/>
      <c r="Y716" s="511"/>
      <c r="Z716" s="511"/>
      <c r="AA716" s="511"/>
      <c r="AB716" s="511"/>
      <c r="AC716" s="511"/>
      <c r="AD716" s="511"/>
    </row>
    <row r="717" spans="18:30" x14ac:dyDescent="0.25">
      <c r="R717" s="511"/>
      <c r="S717" s="511"/>
      <c r="T717" s="511"/>
      <c r="U717" s="511"/>
      <c r="V717" s="511"/>
      <c r="W717" s="511"/>
      <c r="X717" s="511"/>
      <c r="Y717" s="511"/>
      <c r="Z717" s="511"/>
      <c r="AA717" s="511"/>
      <c r="AB717" s="511"/>
      <c r="AC717" s="511"/>
      <c r="AD717" s="511"/>
    </row>
    <row r="718" spans="18:30" x14ac:dyDescent="0.25">
      <c r="R718" s="511"/>
      <c r="S718" s="511"/>
      <c r="T718" s="511"/>
      <c r="U718" s="511"/>
      <c r="V718" s="511"/>
      <c r="W718" s="511"/>
      <c r="X718" s="511"/>
      <c r="Y718" s="511"/>
      <c r="Z718" s="511"/>
      <c r="AA718" s="511"/>
      <c r="AB718" s="511"/>
      <c r="AC718" s="511"/>
      <c r="AD718" s="511"/>
    </row>
    <row r="719" spans="18:30" x14ac:dyDescent="0.25">
      <c r="R719" s="511"/>
      <c r="S719" s="511"/>
      <c r="T719" s="511"/>
      <c r="U719" s="511"/>
      <c r="V719" s="511"/>
      <c r="W719" s="511"/>
      <c r="X719" s="511"/>
      <c r="Y719" s="511"/>
      <c r="Z719" s="511"/>
      <c r="AA719" s="511"/>
      <c r="AB719" s="511"/>
      <c r="AC719" s="511"/>
      <c r="AD719" s="511"/>
    </row>
    <row r="720" spans="18:30" x14ac:dyDescent="0.25">
      <c r="R720" s="511"/>
      <c r="S720" s="511"/>
      <c r="T720" s="511"/>
      <c r="U720" s="511"/>
      <c r="V720" s="511"/>
      <c r="W720" s="511"/>
      <c r="X720" s="511"/>
      <c r="Y720" s="511"/>
      <c r="Z720" s="511"/>
      <c r="AA720" s="511"/>
      <c r="AB720" s="511"/>
      <c r="AC720" s="511"/>
      <c r="AD720" s="511"/>
    </row>
    <row r="721" spans="18:30" x14ac:dyDescent="0.25">
      <c r="R721" s="511"/>
      <c r="S721" s="511"/>
      <c r="T721" s="511"/>
      <c r="U721" s="511"/>
      <c r="V721" s="511"/>
      <c r="W721" s="511"/>
      <c r="X721" s="511"/>
      <c r="Y721" s="511"/>
      <c r="Z721" s="511"/>
      <c r="AA721" s="511"/>
      <c r="AB721" s="511"/>
      <c r="AC721" s="511"/>
      <c r="AD721" s="511"/>
    </row>
    <row r="722" spans="18:30" x14ac:dyDescent="0.25">
      <c r="R722" s="511"/>
      <c r="S722" s="511"/>
      <c r="T722" s="511"/>
      <c r="U722" s="511"/>
      <c r="V722" s="511"/>
      <c r="W722" s="511"/>
      <c r="X722" s="511"/>
      <c r="Y722" s="511"/>
      <c r="Z722" s="511"/>
      <c r="AA722" s="511"/>
      <c r="AB722" s="511"/>
      <c r="AC722" s="511"/>
      <c r="AD722" s="511"/>
    </row>
    <row r="723" spans="18:30" x14ac:dyDescent="0.25">
      <c r="R723" s="511"/>
      <c r="S723" s="511"/>
      <c r="T723" s="511"/>
      <c r="U723" s="511"/>
      <c r="V723" s="511"/>
      <c r="W723" s="511"/>
      <c r="X723" s="511"/>
      <c r="Y723" s="511"/>
      <c r="Z723" s="511"/>
      <c r="AA723" s="511"/>
      <c r="AB723" s="511"/>
      <c r="AC723" s="511"/>
      <c r="AD723" s="511"/>
    </row>
    <row r="724" spans="18:30" x14ac:dyDescent="0.25">
      <c r="R724" s="511"/>
      <c r="S724" s="511"/>
      <c r="T724" s="511"/>
      <c r="U724" s="511"/>
      <c r="V724" s="511"/>
      <c r="W724" s="511"/>
      <c r="X724" s="511"/>
      <c r="Y724" s="511"/>
      <c r="Z724" s="511"/>
      <c r="AA724" s="511"/>
      <c r="AB724" s="511"/>
      <c r="AC724" s="511"/>
      <c r="AD724" s="511"/>
    </row>
    <row r="725" spans="18:30" x14ac:dyDescent="0.25">
      <c r="R725" s="511"/>
      <c r="S725" s="511"/>
      <c r="T725" s="511"/>
      <c r="U725" s="511"/>
      <c r="V725" s="511"/>
      <c r="W725" s="511"/>
      <c r="X725" s="511"/>
      <c r="Y725" s="511"/>
      <c r="Z725" s="511"/>
      <c r="AA725" s="511"/>
      <c r="AB725" s="511"/>
      <c r="AC725" s="511"/>
      <c r="AD725" s="511"/>
    </row>
    <row r="726" spans="18:30" x14ac:dyDescent="0.25">
      <c r="R726" s="511"/>
      <c r="S726" s="511"/>
      <c r="T726" s="511"/>
      <c r="U726" s="511"/>
      <c r="V726" s="511"/>
      <c r="W726" s="511"/>
      <c r="X726" s="511"/>
      <c r="Y726" s="511"/>
      <c r="Z726" s="511"/>
      <c r="AA726" s="511"/>
      <c r="AB726" s="511"/>
      <c r="AC726" s="511"/>
      <c r="AD726" s="511"/>
    </row>
    <row r="727" spans="18:30" x14ac:dyDescent="0.25">
      <c r="R727" s="511"/>
      <c r="S727" s="511"/>
      <c r="T727" s="511"/>
      <c r="U727" s="511"/>
      <c r="V727" s="511"/>
      <c r="W727" s="511"/>
      <c r="X727" s="511"/>
      <c r="Y727" s="511"/>
      <c r="Z727" s="511"/>
      <c r="AA727" s="511"/>
      <c r="AB727" s="511"/>
      <c r="AC727" s="511"/>
      <c r="AD727" s="511"/>
    </row>
    <row r="728" spans="18:30" x14ac:dyDescent="0.25">
      <c r="R728" s="511"/>
      <c r="S728" s="511"/>
      <c r="T728" s="511"/>
      <c r="U728" s="511"/>
      <c r="V728" s="511"/>
      <c r="W728" s="511"/>
      <c r="X728" s="511"/>
      <c r="Y728" s="511"/>
      <c r="Z728" s="511"/>
      <c r="AA728" s="511"/>
      <c r="AB728" s="511"/>
      <c r="AC728" s="511"/>
      <c r="AD728" s="511"/>
    </row>
    <row r="729" spans="18:30" x14ac:dyDescent="0.25">
      <c r="R729" s="511"/>
      <c r="S729" s="511"/>
      <c r="T729" s="511"/>
      <c r="U729" s="511"/>
      <c r="V729" s="511"/>
      <c r="W729" s="511"/>
      <c r="X729" s="511"/>
      <c r="Y729" s="511"/>
      <c r="Z729" s="511"/>
      <c r="AA729" s="511"/>
      <c r="AB729" s="511"/>
      <c r="AC729" s="511"/>
      <c r="AD729" s="511"/>
    </row>
    <row r="730" spans="18:30" x14ac:dyDescent="0.25">
      <c r="R730" s="511"/>
      <c r="S730" s="511"/>
      <c r="T730" s="511"/>
      <c r="U730" s="511"/>
      <c r="V730" s="511"/>
      <c r="W730" s="511"/>
      <c r="X730" s="511"/>
      <c r="Y730" s="511"/>
      <c r="Z730" s="511"/>
      <c r="AA730" s="511"/>
      <c r="AB730" s="511"/>
      <c r="AC730" s="511"/>
      <c r="AD730" s="511"/>
    </row>
    <row r="731" spans="18:30" x14ac:dyDescent="0.25">
      <c r="R731" s="511"/>
      <c r="S731" s="511"/>
      <c r="T731" s="511"/>
      <c r="U731" s="511"/>
      <c r="V731" s="511"/>
      <c r="W731" s="511"/>
      <c r="X731" s="511"/>
      <c r="Y731" s="511"/>
      <c r="Z731" s="511"/>
      <c r="AA731" s="511"/>
      <c r="AB731" s="511"/>
      <c r="AC731" s="511"/>
      <c r="AD731" s="511"/>
    </row>
    <row r="732" spans="18:30" x14ac:dyDescent="0.25">
      <c r="R732" s="511"/>
      <c r="S732" s="511"/>
      <c r="T732" s="511"/>
      <c r="U732" s="511"/>
      <c r="V732" s="511"/>
      <c r="W732" s="511"/>
      <c r="X732" s="511"/>
      <c r="Y732" s="511"/>
      <c r="Z732" s="511"/>
      <c r="AA732" s="511"/>
      <c r="AB732" s="511"/>
      <c r="AC732" s="511"/>
      <c r="AD732" s="511"/>
    </row>
    <row r="733" spans="18:30" x14ac:dyDescent="0.25">
      <c r="R733" s="511"/>
      <c r="S733" s="511"/>
      <c r="T733" s="511"/>
      <c r="U733" s="511"/>
      <c r="V733" s="511"/>
      <c r="W733" s="511"/>
      <c r="X733" s="511"/>
      <c r="Y733" s="511"/>
      <c r="Z733" s="511"/>
      <c r="AA733" s="511"/>
      <c r="AB733" s="511"/>
      <c r="AC733" s="511"/>
      <c r="AD733" s="511"/>
    </row>
    <row r="734" spans="18:30" x14ac:dyDescent="0.25">
      <c r="R734" s="511"/>
      <c r="S734" s="511"/>
      <c r="T734" s="511"/>
      <c r="U734" s="511"/>
      <c r="V734" s="511"/>
      <c r="W734" s="511"/>
      <c r="X734" s="511"/>
      <c r="Y734" s="511"/>
      <c r="Z734" s="511"/>
      <c r="AA734" s="511"/>
      <c r="AB734" s="511"/>
      <c r="AC734" s="511"/>
      <c r="AD734" s="511"/>
    </row>
    <row r="735" spans="18:30" x14ac:dyDescent="0.25">
      <c r="R735" s="511"/>
      <c r="S735" s="511"/>
      <c r="T735" s="511"/>
      <c r="U735" s="511"/>
      <c r="V735" s="511"/>
      <c r="W735" s="511"/>
      <c r="X735" s="511"/>
      <c r="Y735" s="511"/>
      <c r="Z735" s="511"/>
      <c r="AA735" s="511"/>
      <c r="AB735" s="511"/>
      <c r="AC735" s="511"/>
      <c r="AD735" s="511"/>
    </row>
    <row r="736" spans="18:30" x14ac:dyDescent="0.25">
      <c r="R736" s="511"/>
      <c r="S736" s="511"/>
      <c r="T736" s="511"/>
      <c r="U736" s="511"/>
      <c r="V736" s="511"/>
      <c r="W736" s="511"/>
      <c r="X736" s="511"/>
      <c r="Y736" s="511"/>
      <c r="Z736" s="511"/>
      <c r="AA736" s="511"/>
      <c r="AB736" s="511"/>
      <c r="AC736" s="511"/>
      <c r="AD736" s="511"/>
    </row>
    <row r="737" spans="18:30" x14ac:dyDescent="0.25">
      <c r="R737" s="511"/>
      <c r="S737" s="511"/>
      <c r="T737" s="511"/>
      <c r="U737" s="511"/>
      <c r="V737" s="511"/>
      <c r="W737" s="511"/>
      <c r="X737" s="511"/>
      <c r="Y737" s="511"/>
      <c r="Z737" s="511"/>
      <c r="AA737" s="511"/>
      <c r="AB737" s="511"/>
      <c r="AC737" s="511"/>
      <c r="AD737" s="511"/>
    </row>
    <row r="738" spans="18:30" x14ac:dyDescent="0.25">
      <c r="R738" s="511"/>
      <c r="S738" s="511"/>
      <c r="T738" s="511"/>
      <c r="U738" s="511"/>
      <c r="V738" s="511"/>
      <c r="W738" s="511"/>
      <c r="X738" s="511"/>
      <c r="Y738" s="511"/>
      <c r="Z738" s="511"/>
      <c r="AA738" s="511"/>
      <c r="AB738" s="511"/>
      <c r="AC738" s="511"/>
      <c r="AD738" s="511"/>
    </row>
    <row r="739" spans="18:30" x14ac:dyDescent="0.25">
      <c r="R739" s="511"/>
      <c r="S739" s="511"/>
      <c r="T739" s="511"/>
      <c r="U739" s="511"/>
      <c r="V739" s="511"/>
      <c r="W739" s="511"/>
      <c r="X739" s="511"/>
      <c r="Y739" s="511"/>
      <c r="Z739" s="511"/>
      <c r="AA739" s="511"/>
      <c r="AB739" s="511"/>
      <c r="AC739" s="511"/>
      <c r="AD739" s="511"/>
    </row>
    <row r="740" spans="18:30" x14ac:dyDescent="0.25">
      <c r="R740" s="511"/>
      <c r="S740" s="511"/>
      <c r="T740" s="511"/>
      <c r="U740" s="511"/>
      <c r="V740" s="511"/>
      <c r="W740" s="511"/>
      <c r="X740" s="511"/>
      <c r="Y740" s="511"/>
      <c r="Z740" s="511"/>
      <c r="AA740" s="511"/>
      <c r="AB740" s="511"/>
      <c r="AC740" s="511"/>
      <c r="AD740" s="511"/>
    </row>
    <row r="741" spans="18:30" x14ac:dyDescent="0.25">
      <c r="R741" s="511"/>
      <c r="S741" s="511"/>
      <c r="T741" s="511"/>
      <c r="U741" s="511"/>
      <c r="V741" s="511"/>
      <c r="W741" s="511"/>
      <c r="X741" s="511"/>
      <c r="Y741" s="511"/>
      <c r="Z741" s="511"/>
      <c r="AA741" s="511"/>
      <c r="AB741" s="511"/>
      <c r="AC741" s="511"/>
      <c r="AD741" s="511"/>
    </row>
    <row r="742" spans="18:30" x14ac:dyDescent="0.25">
      <c r="R742" s="511"/>
      <c r="S742" s="511"/>
      <c r="T742" s="511"/>
      <c r="U742" s="511"/>
      <c r="V742" s="511"/>
      <c r="W742" s="511"/>
      <c r="X742" s="511"/>
      <c r="Y742" s="511"/>
      <c r="Z742" s="511"/>
      <c r="AA742" s="511"/>
      <c r="AB742" s="511"/>
      <c r="AC742" s="511"/>
      <c r="AD742" s="511"/>
    </row>
    <row r="743" spans="18:30" x14ac:dyDescent="0.25">
      <c r="R743" s="511"/>
      <c r="S743" s="511"/>
      <c r="T743" s="511"/>
      <c r="U743" s="511"/>
      <c r="V743" s="511"/>
      <c r="W743" s="511"/>
      <c r="X743" s="511"/>
      <c r="Y743" s="511"/>
      <c r="Z743" s="511"/>
      <c r="AA743" s="511"/>
      <c r="AB743" s="511"/>
      <c r="AC743" s="511"/>
      <c r="AD743" s="511"/>
    </row>
    <row r="744" spans="18:30" x14ac:dyDescent="0.25">
      <c r="R744" s="511"/>
      <c r="S744" s="511"/>
      <c r="T744" s="511"/>
      <c r="U744" s="511"/>
      <c r="V744" s="511"/>
      <c r="W744" s="511"/>
      <c r="X744" s="511"/>
      <c r="Y744" s="511"/>
      <c r="Z744" s="511"/>
      <c r="AA744" s="511"/>
      <c r="AB744" s="511"/>
      <c r="AC744" s="511"/>
      <c r="AD744" s="511"/>
    </row>
    <row r="745" spans="18:30" x14ac:dyDescent="0.25">
      <c r="R745" s="511"/>
      <c r="S745" s="511"/>
      <c r="T745" s="511"/>
      <c r="U745" s="511"/>
      <c r="V745" s="511"/>
      <c r="W745" s="511"/>
      <c r="X745" s="511"/>
      <c r="Y745" s="511"/>
      <c r="Z745" s="511"/>
      <c r="AA745" s="511"/>
      <c r="AB745" s="511"/>
      <c r="AC745" s="511"/>
      <c r="AD745" s="511"/>
    </row>
    <row r="746" spans="18:30" x14ac:dyDescent="0.25">
      <c r="R746" s="511"/>
      <c r="S746" s="511"/>
      <c r="T746" s="511"/>
      <c r="U746" s="511"/>
      <c r="V746" s="511"/>
      <c r="W746" s="511"/>
      <c r="X746" s="511"/>
      <c r="Y746" s="511"/>
      <c r="Z746" s="511"/>
      <c r="AA746" s="511"/>
      <c r="AB746" s="511"/>
      <c r="AC746" s="511"/>
      <c r="AD746" s="511"/>
    </row>
    <row r="747" spans="18:30" x14ac:dyDescent="0.25">
      <c r="R747" s="511"/>
      <c r="S747" s="511"/>
      <c r="T747" s="511"/>
      <c r="U747" s="511"/>
      <c r="V747" s="511"/>
      <c r="W747" s="511"/>
      <c r="X747" s="511"/>
      <c r="Y747" s="511"/>
      <c r="Z747" s="511"/>
      <c r="AA747" s="511"/>
      <c r="AB747" s="511"/>
      <c r="AC747" s="511"/>
      <c r="AD747" s="511"/>
    </row>
    <row r="748" spans="18:30" x14ac:dyDescent="0.25">
      <c r="R748" s="511"/>
      <c r="S748" s="511"/>
      <c r="T748" s="511"/>
      <c r="U748" s="511"/>
      <c r="V748" s="511"/>
      <c r="W748" s="511"/>
      <c r="X748" s="511"/>
      <c r="Y748" s="511"/>
      <c r="Z748" s="511"/>
      <c r="AA748" s="511"/>
      <c r="AB748" s="511"/>
      <c r="AC748" s="511"/>
      <c r="AD748" s="511"/>
    </row>
    <row r="749" spans="18:30" x14ac:dyDescent="0.25">
      <c r="R749" s="511"/>
      <c r="S749" s="511"/>
      <c r="T749" s="511"/>
      <c r="U749" s="511"/>
      <c r="V749" s="511"/>
      <c r="W749" s="511"/>
      <c r="X749" s="511"/>
      <c r="Y749" s="511"/>
      <c r="Z749" s="511"/>
      <c r="AA749" s="511"/>
      <c r="AB749" s="511"/>
      <c r="AC749" s="511"/>
      <c r="AD749" s="511"/>
    </row>
    <row r="750" spans="18:30" x14ac:dyDescent="0.25">
      <c r="R750" s="511"/>
      <c r="S750" s="511"/>
      <c r="T750" s="511"/>
      <c r="U750" s="511"/>
      <c r="V750" s="511"/>
      <c r="W750" s="511"/>
      <c r="X750" s="511"/>
      <c r="Y750" s="511"/>
      <c r="Z750" s="511"/>
      <c r="AA750" s="511"/>
      <c r="AB750" s="511"/>
      <c r="AC750" s="511"/>
      <c r="AD750" s="511"/>
    </row>
    <row r="751" spans="18:30" x14ac:dyDescent="0.25">
      <c r="R751" s="511"/>
      <c r="S751" s="511"/>
      <c r="T751" s="511"/>
      <c r="U751" s="511"/>
      <c r="V751" s="511"/>
      <c r="W751" s="511"/>
      <c r="X751" s="511"/>
      <c r="Y751" s="511"/>
      <c r="Z751" s="511"/>
      <c r="AA751" s="511"/>
      <c r="AB751" s="511"/>
      <c r="AC751" s="511"/>
      <c r="AD751" s="511"/>
    </row>
    <row r="752" spans="18:30" x14ac:dyDescent="0.25">
      <c r="R752" s="511"/>
      <c r="S752" s="511"/>
      <c r="T752" s="511"/>
      <c r="U752" s="511"/>
      <c r="V752" s="511"/>
      <c r="W752" s="511"/>
      <c r="X752" s="511"/>
      <c r="Y752" s="511"/>
      <c r="Z752" s="511"/>
      <c r="AA752" s="511"/>
      <c r="AB752" s="511"/>
      <c r="AC752" s="511"/>
      <c r="AD752" s="511"/>
    </row>
    <row r="753" spans="18:30" x14ac:dyDescent="0.25">
      <c r="R753" s="511"/>
      <c r="S753" s="511"/>
      <c r="T753" s="511"/>
      <c r="U753" s="511"/>
      <c r="V753" s="511"/>
      <c r="W753" s="511"/>
      <c r="X753" s="511"/>
      <c r="Y753" s="511"/>
      <c r="Z753" s="511"/>
      <c r="AA753" s="511"/>
      <c r="AB753" s="511"/>
      <c r="AC753" s="511"/>
      <c r="AD753" s="511"/>
    </row>
    <row r="754" spans="18:30" x14ac:dyDescent="0.25">
      <c r="R754" s="511"/>
      <c r="S754" s="511"/>
      <c r="T754" s="511"/>
      <c r="U754" s="511"/>
      <c r="V754" s="511"/>
      <c r="W754" s="511"/>
      <c r="X754" s="511"/>
      <c r="Y754" s="511"/>
      <c r="Z754" s="511"/>
      <c r="AA754" s="511"/>
      <c r="AB754" s="511"/>
      <c r="AC754" s="511"/>
      <c r="AD754" s="511"/>
    </row>
    <row r="755" spans="18:30" x14ac:dyDescent="0.25">
      <c r="R755" s="511"/>
      <c r="S755" s="511"/>
      <c r="T755" s="511"/>
      <c r="U755" s="511"/>
      <c r="V755" s="511"/>
      <c r="W755" s="511"/>
      <c r="X755" s="511"/>
      <c r="Y755" s="511"/>
      <c r="Z755" s="511"/>
      <c r="AA755" s="511"/>
      <c r="AB755" s="511"/>
      <c r="AC755" s="511"/>
      <c r="AD755" s="511"/>
    </row>
    <row r="756" spans="18:30" x14ac:dyDescent="0.25">
      <c r="R756" s="511"/>
      <c r="S756" s="511"/>
      <c r="T756" s="511"/>
      <c r="U756" s="511"/>
      <c r="V756" s="511"/>
      <c r="W756" s="511"/>
      <c r="X756" s="511"/>
      <c r="Y756" s="511"/>
      <c r="Z756" s="511"/>
      <c r="AA756" s="511"/>
      <c r="AB756" s="511"/>
      <c r="AC756" s="511"/>
      <c r="AD756" s="511"/>
    </row>
    <row r="757" spans="18:30" x14ac:dyDescent="0.25">
      <c r="R757" s="511"/>
      <c r="S757" s="511"/>
      <c r="T757" s="511"/>
      <c r="U757" s="511"/>
      <c r="V757" s="511"/>
      <c r="W757" s="511"/>
      <c r="X757" s="511"/>
      <c r="Y757" s="511"/>
      <c r="Z757" s="511"/>
      <c r="AA757" s="511"/>
      <c r="AB757" s="511"/>
      <c r="AC757" s="511"/>
      <c r="AD757" s="511"/>
    </row>
    <row r="758" spans="18:30" x14ac:dyDescent="0.25">
      <c r="R758" s="511"/>
      <c r="S758" s="511"/>
      <c r="T758" s="511"/>
      <c r="U758" s="511"/>
      <c r="V758" s="511"/>
      <c r="W758" s="511"/>
      <c r="X758" s="511"/>
      <c r="Y758" s="511"/>
      <c r="Z758" s="511"/>
      <c r="AA758" s="511"/>
      <c r="AB758" s="511"/>
      <c r="AC758" s="511"/>
      <c r="AD758" s="511"/>
    </row>
    <row r="759" spans="18:30" x14ac:dyDescent="0.25">
      <c r="R759" s="511"/>
      <c r="S759" s="511"/>
      <c r="T759" s="511"/>
      <c r="U759" s="511"/>
      <c r="V759" s="511"/>
      <c r="W759" s="511"/>
      <c r="X759" s="511"/>
      <c r="Y759" s="511"/>
      <c r="Z759" s="511"/>
      <c r="AA759" s="511"/>
      <c r="AB759" s="511"/>
      <c r="AC759" s="511"/>
      <c r="AD759" s="511"/>
    </row>
    <row r="760" spans="18:30" x14ac:dyDescent="0.25">
      <c r="R760" s="511"/>
      <c r="S760" s="511"/>
      <c r="T760" s="511"/>
      <c r="U760" s="511"/>
      <c r="V760" s="511"/>
      <c r="W760" s="511"/>
      <c r="X760" s="511"/>
      <c r="Y760" s="511"/>
      <c r="Z760" s="511"/>
      <c r="AA760" s="511"/>
      <c r="AB760" s="511"/>
      <c r="AC760" s="511"/>
      <c r="AD760" s="511"/>
    </row>
    <row r="761" spans="18:30" x14ac:dyDescent="0.25">
      <c r="R761" s="511"/>
      <c r="S761" s="511"/>
      <c r="T761" s="511"/>
      <c r="U761" s="511"/>
      <c r="V761" s="511"/>
      <c r="W761" s="511"/>
      <c r="X761" s="511"/>
      <c r="Y761" s="511"/>
      <c r="Z761" s="511"/>
      <c r="AA761" s="511"/>
      <c r="AB761" s="511"/>
      <c r="AC761" s="511"/>
      <c r="AD761" s="511"/>
    </row>
    <row r="762" spans="18:30" x14ac:dyDescent="0.25">
      <c r="R762" s="511"/>
      <c r="S762" s="511"/>
      <c r="T762" s="511"/>
      <c r="U762" s="511"/>
      <c r="V762" s="511"/>
      <c r="W762" s="511"/>
      <c r="X762" s="511"/>
      <c r="Y762" s="511"/>
      <c r="Z762" s="511"/>
      <c r="AA762" s="511"/>
      <c r="AB762" s="511"/>
      <c r="AC762" s="511"/>
      <c r="AD762" s="511"/>
    </row>
    <row r="763" spans="18:30" x14ac:dyDescent="0.25">
      <c r="R763" s="511"/>
      <c r="S763" s="511"/>
      <c r="T763" s="511"/>
      <c r="U763" s="511"/>
      <c r="V763" s="511"/>
      <c r="W763" s="511"/>
      <c r="X763" s="511"/>
      <c r="Y763" s="511"/>
      <c r="Z763" s="511"/>
      <c r="AA763" s="511"/>
      <c r="AB763" s="511"/>
      <c r="AC763" s="511"/>
      <c r="AD763" s="511"/>
    </row>
    <row r="764" spans="18:30" x14ac:dyDescent="0.25">
      <c r="R764" s="511"/>
      <c r="S764" s="511"/>
      <c r="T764" s="511"/>
      <c r="U764" s="511"/>
      <c r="V764" s="511"/>
      <c r="W764" s="511"/>
      <c r="X764" s="511"/>
      <c r="Y764" s="511"/>
      <c r="Z764" s="511"/>
      <c r="AA764" s="511"/>
      <c r="AB764" s="511"/>
      <c r="AC764" s="511"/>
      <c r="AD764" s="511"/>
    </row>
    <row r="765" spans="18:30" x14ac:dyDescent="0.25">
      <c r="R765" s="511"/>
      <c r="S765" s="511"/>
      <c r="T765" s="511"/>
      <c r="U765" s="511"/>
      <c r="V765" s="511"/>
      <c r="W765" s="511"/>
      <c r="X765" s="511"/>
      <c r="Y765" s="511"/>
      <c r="Z765" s="511"/>
      <c r="AA765" s="511"/>
      <c r="AB765" s="511"/>
      <c r="AC765" s="511"/>
      <c r="AD765" s="511"/>
    </row>
    <row r="766" spans="18:30" x14ac:dyDescent="0.25">
      <c r="R766" s="511"/>
      <c r="S766" s="511"/>
      <c r="T766" s="511"/>
      <c r="U766" s="511"/>
      <c r="V766" s="511"/>
      <c r="W766" s="511"/>
      <c r="X766" s="511"/>
      <c r="Y766" s="511"/>
      <c r="Z766" s="511"/>
      <c r="AA766" s="511"/>
      <c r="AB766" s="511"/>
      <c r="AC766" s="511"/>
      <c r="AD766" s="511"/>
    </row>
    <row r="767" spans="18:30" x14ac:dyDescent="0.25">
      <c r="R767" s="511"/>
      <c r="S767" s="511"/>
      <c r="T767" s="511"/>
      <c r="U767" s="511"/>
      <c r="V767" s="511"/>
      <c r="W767" s="511"/>
      <c r="X767" s="511"/>
      <c r="Y767" s="511"/>
      <c r="Z767" s="511"/>
      <c r="AA767" s="511"/>
      <c r="AB767" s="511"/>
      <c r="AC767" s="511"/>
      <c r="AD767" s="511"/>
    </row>
    <row r="768" spans="18:30" x14ac:dyDescent="0.25">
      <c r="R768" s="511"/>
      <c r="S768" s="511"/>
      <c r="T768" s="511"/>
      <c r="U768" s="511"/>
      <c r="V768" s="511"/>
      <c r="W768" s="511"/>
      <c r="X768" s="511"/>
      <c r="Y768" s="511"/>
      <c r="Z768" s="511"/>
      <c r="AA768" s="511"/>
      <c r="AB768" s="511"/>
      <c r="AC768" s="511"/>
      <c r="AD768" s="511"/>
    </row>
    <row r="769" spans="18:30" x14ac:dyDescent="0.25">
      <c r="R769" s="511"/>
      <c r="S769" s="511"/>
      <c r="T769" s="511"/>
      <c r="U769" s="511"/>
      <c r="V769" s="511"/>
      <c r="W769" s="511"/>
      <c r="X769" s="511"/>
      <c r="Y769" s="511"/>
      <c r="Z769" s="511"/>
      <c r="AA769" s="511"/>
      <c r="AB769" s="511"/>
      <c r="AC769" s="511"/>
      <c r="AD769" s="511"/>
    </row>
    <row r="770" spans="18:30" x14ac:dyDescent="0.25">
      <c r="R770" s="511"/>
      <c r="S770" s="511"/>
      <c r="T770" s="511"/>
      <c r="U770" s="511"/>
      <c r="V770" s="511"/>
      <c r="W770" s="511"/>
      <c r="X770" s="511"/>
      <c r="Y770" s="511"/>
      <c r="Z770" s="511"/>
      <c r="AA770" s="511"/>
      <c r="AB770" s="511"/>
      <c r="AC770" s="511"/>
      <c r="AD770" s="511"/>
    </row>
    <row r="771" spans="18:30" x14ac:dyDescent="0.25">
      <c r="R771" s="511"/>
      <c r="S771" s="511"/>
      <c r="T771" s="511"/>
      <c r="U771" s="511"/>
      <c r="V771" s="511"/>
      <c r="W771" s="511"/>
      <c r="X771" s="511"/>
      <c r="Y771" s="511"/>
      <c r="Z771" s="511"/>
      <c r="AA771" s="511"/>
      <c r="AB771" s="511"/>
      <c r="AC771" s="511"/>
      <c r="AD771" s="511"/>
    </row>
    <row r="772" spans="18:30" x14ac:dyDescent="0.25">
      <c r="R772" s="511"/>
      <c r="S772" s="511"/>
      <c r="T772" s="511"/>
      <c r="U772" s="511"/>
      <c r="V772" s="511"/>
      <c r="W772" s="511"/>
      <c r="X772" s="511"/>
      <c r="Y772" s="511"/>
      <c r="Z772" s="511"/>
      <c r="AA772" s="511"/>
      <c r="AB772" s="511"/>
      <c r="AC772" s="511"/>
      <c r="AD772" s="511"/>
    </row>
    <row r="773" spans="18:30" x14ac:dyDescent="0.25">
      <c r="R773" s="511"/>
      <c r="S773" s="511"/>
      <c r="T773" s="511"/>
      <c r="U773" s="511"/>
      <c r="V773" s="511"/>
      <c r="W773" s="511"/>
      <c r="X773" s="511"/>
      <c r="Y773" s="511"/>
      <c r="Z773" s="511"/>
      <c r="AA773" s="511"/>
      <c r="AB773" s="511"/>
      <c r="AC773" s="511"/>
      <c r="AD773" s="511"/>
    </row>
    <row r="774" spans="18:30" x14ac:dyDescent="0.25">
      <c r="R774" s="511"/>
      <c r="S774" s="511"/>
      <c r="T774" s="511"/>
      <c r="U774" s="511"/>
      <c r="V774" s="511"/>
      <c r="W774" s="511"/>
      <c r="X774" s="511"/>
      <c r="Y774" s="511"/>
      <c r="Z774" s="511"/>
      <c r="AA774" s="511"/>
      <c r="AB774" s="511"/>
      <c r="AC774" s="511"/>
      <c r="AD774" s="511"/>
    </row>
    <row r="775" spans="18:30" x14ac:dyDescent="0.25">
      <c r="R775" s="511"/>
      <c r="S775" s="511"/>
      <c r="T775" s="511"/>
      <c r="U775" s="511"/>
      <c r="V775" s="511"/>
      <c r="W775" s="511"/>
      <c r="X775" s="511"/>
      <c r="Y775" s="511"/>
      <c r="Z775" s="511"/>
      <c r="AA775" s="511"/>
      <c r="AB775" s="511"/>
      <c r="AC775" s="511"/>
      <c r="AD775" s="511"/>
    </row>
    <row r="776" spans="18:30" x14ac:dyDescent="0.25">
      <c r="R776" s="511"/>
      <c r="S776" s="511"/>
      <c r="T776" s="511"/>
      <c r="U776" s="511"/>
      <c r="V776" s="511"/>
      <c r="W776" s="511"/>
      <c r="X776" s="511"/>
      <c r="Y776" s="511"/>
      <c r="Z776" s="511"/>
      <c r="AA776" s="511"/>
      <c r="AB776" s="511"/>
      <c r="AC776" s="511"/>
      <c r="AD776" s="511"/>
    </row>
    <row r="777" spans="18:30" x14ac:dyDescent="0.25">
      <c r="R777" s="511"/>
      <c r="S777" s="511"/>
      <c r="T777" s="511"/>
      <c r="U777" s="511"/>
      <c r="V777" s="511"/>
      <c r="W777" s="511"/>
      <c r="X777" s="511"/>
      <c r="Y777" s="511"/>
      <c r="Z777" s="511"/>
      <c r="AA777" s="511"/>
      <c r="AB777" s="511"/>
      <c r="AC777" s="511"/>
      <c r="AD777" s="511"/>
    </row>
    <row r="778" spans="18:30" x14ac:dyDescent="0.25">
      <c r="R778" s="511"/>
      <c r="S778" s="511"/>
      <c r="T778" s="511"/>
      <c r="U778" s="511"/>
      <c r="V778" s="511"/>
      <c r="W778" s="511"/>
      <c r="X778" s="511"/>
      <c r="Y778" s="511"/>
      <c r="Z778" s="511"/>
      <c r="AA778" s="511"/>
      <c r="AB778" s="511"/>
      <c r="AC778" s="511"/>
      <c r="AD778" s="511"/>
    </row>
    <row r="779" spans="18:30" x14ac:dyDescent="0.25">
      <c r="R779" s="511"/>
      <c r="S779" s="511"/>
      <c r="T779" s="511"/>
      <c r="U779" s="511"/>
      <c r="V779" s="511"/>
      <c r="W779" s="511"/>
      <c r="X779" s="511"/>
      <c r="Y779" s="511"/>
      <c r="Z779" s="511"/>
      <c r="AA779" s="511"/>
      <c r="AB779" s="511"/>
      <c r="AC779" s="511"/>
      <c r="AD779" s="511"/>
    </row>
    <row r="780" spans="18:30" x14ac:dyDescent="0.25">
      <c r="R780" s="511"/>
      <c r="S780" s="511"/>
      <c r="T780" s="511"/>
      <c r="U780" s="511"/>
      <c r="V780" s="511"/>
      <c r="W780" s="511"/>
      <c r="X780" s="511"/>
      <c r="Y780" s="511"/>
      <c r="Z780" s="511"/>
      <c r="AA780" s="511"/>
      <c r="AB780" s="511"/>
      <c r="AC780" s="511"/>
      <c r="AD780" s="511"/>
    </row>
    <row r="781" spans="18:30" x14ac:dyDescent="0.25">
      <c r="R781" s="511"/>
      <c r="S781" s="511"/>
      <c r="T781" s="511"/>
      <c r="U781" s="511"/>
      <c r="V781" s="511"/>
      <c r="W781" s="511"/>
      <c r="X781" s="511"/>
      <c r="Y781" s="511"/>
      <c r="Z781" s="511"/>
      <c r="AA781" s="511"/>
      <c r="AB781" s="511"/>
      <c r="AC781" s="511"/>
      <c r="AD781" s="511"/>
    </row>
    <row r="782" spans="18:30" x14ac:dyDescent="0.25">
      <c r="R782" s="511"/>
      <c r="S782" s="511"/>
      <c r="T782" s="511"/>
      <c r="U782" s="511"/>
      <c r="V782" s="511"/>
      <c r="W782" s="511"/>
      <c r="X782" s="511"/>
      <c r="Y782" s="511"/>
      <c r="Z782" s="511"/>
      <c r="AA782" s="511"/>
      <c r="AB782" s="511"/>
      <c r="AC782" s="511"/>
      <c r="AD782" s="511"/>
    </row>
    <row r="783" spans="18:30" x14ac:dyDescent="0.25">
      <c r="R783" s="511"/>
      <c r="S783" s="511"/>
      <c r="T783" s="511"/>
      <c r="U783" s="511"/>
      <c r="V783" s="511"/>
      <c r="W783" s="511"/>
      <c r="X783" s="511"/>
      <c r="Y783" s="511"/>
      <c r="Z783" s="511"/>
      <c r="AA783" s="511"/>
      <c r="AB783" s="511"/>
      <c r="AC783" s="511"/>
      <c r="AD783" s="511"/>
    </row>
    <row r="784" spans="18:30" x14ac:dyDescent="0.25">
      <c r="R784" s="511"/>
      <c r="S784" s="511"/>
      <c r="T784" s="511"/>
      <c r="U784" s="511"/>
      <c r="V784" s="511"/>
      <c r="W784" s="511"/>
      <c r="X784" s="511"/>
      <c r="Y784" s="511"/>
      <c r="Z784" s="511"/>
      <c r="AA784" s="511"/>
      <c r="AB784" s="511"/>
      <c r="AC784" s="511"/>
      <c r="AD784" s="511"/>
    </row>
    <row r="785" spans="18:30" x14ac:dyDescent="0.25">
      <c r="R785" s="511"/>
      <c r="S785" s="511"/>
      <c r="T785" s="511"/>
      <c r="U785" s="511"/>
      <c r="V785" s="511"/>
      <c r="W785" s="511"/>
      <c r="X785" s="511"/>
      <c r="Y785" s="511"/>
      <c r="Z785" s="511"/>
      <c r="AA785" s="511"/>
      <c r="AB785" s="511"/>
      <c r="AC785" s="511"/>
      <c r="AD785" s="511"/>
    </row>
    <row r="786" spans="18:30" x14ac:dyDescent="0.25">
      <c r="R786" s="511"/>
      <c r="S786" s="511"/>
      <c r="T786" s="511"/>
      <c r="U786" s="511"/>
      <c r="V786" s="511"/>
      <c r="W786" s="511"/>
      <c r="X786" s="511"/>
      <c r="Y786" s="511"/>
      <c r="Z786" s="511"/>
      <c r="AA786" s="511"/>
      <c r="AB786" s="511"/>
      <c r="AC786" s="511"/>
      <c r="AD786" s="511"/>
    </row>
    <row r="787" spans="18:30" x14ac:dyDescent="0.25">
      <c r="R787" s="511"/>
      <c r="S787" s="511"/>
      <c r="T787" s="511"/>
      <c r="U787" s="511"/>
      <c r="V787" s="511"/>
      <c r="W787" s="511"/>
      <c r="X787" s="511"/>
      <c r="Y787" s="511"/>
      <c r="Z787" s="511"/>
      <c r="AA787" s="511"/>
      <c r="AB787" s="511"/>
      <c r="AC787" s="511"/>
      <c r="AD787" s="511"/>
    </row>
    <row r="788" spans="18:30" x14ac:dyDescent="0.25">
      <c r="R788" s="511"/>
      <c r="S788" s="511"/>
      <c r="T788" s="511"/>
      <c r="U788" s="511"/>
      <c r="V788" s="511"/>
      <c r="W788" s="511"/>
      <c r="X788" s="511"/>
      <c r="Y788" s="511"/>
      <c r="Z788" s="511"/>
      <c r="AA788" s="511"/>
      <c r="AB788" s="511"/>
      <c r="AC788" s="511"/>
      <c r="AD788" s="511"/>
    </row>
    <row r="789" spans="18:30" x14ac:dyDescent="0.25">
      <c r="R789" s="511"/>
      <c r="S789" s="511"/>
      <c r="T789" s="511"/>
      <c r="U789" s="511"/>
      <c r="V789" s="511"/>
      <c r="W789" s="511"/>
      <c r="X789" s="511"/>
      <c r="Y789" s="511"/>
      <c r="Z789" s="511"/>
      <c r="AA789" s="511"/>
      <c r="AB789" s="511"/>
      <c r="AC789" s="511"/>
      <c r="AD789" s="511"/>
    </row>
    <row r="790" spans="18:30" x14ac:dyDescent="0.25">
      <c r="R790" s="511"/>
      <c r="S790" s="511"/>
      <c r="T790" s="511"/>
      <c r="U790" s="511"/>
      <c r="V790" s="511"/>
      <c r="W790" s="511"/>
      <c r="X790" s="511"/>
      <c r="Y790" s="511"/>
      <c r="Z790" s="511"/>
      <c r="AA790" s="511"/>
      <c r="AB790" s="511"/>
      <c r="AC790" s="511"/>
      <c r="AD790" s="511"/>
    </row>
    <row r="791" spans="18:30" x14ac:dyDescent="0.25">
      <c r="R791" s="511"/>
      <c r="S791" s="511"/>
      <c r="T791" s="511"/>
      <c r="U791" s="511"/>
      <c r="V791" s="511"/>
      <c r="W791" s="511"/>
      <c r="X791" s="511"/>
      <c r="Y791" s="511"/>
      <c r="Z791" s="511"/>
      <c r="AA791" s="511"/>
      <c r="AB791" s="511"/>
      <c r="AC791" s="511"/>
      <c r="AD791" s="511"/>
    </row>
    <row r="792" spans="18:30" x14ac:dyDescent="0.25">
      <c r="R792" s="511"/>
      <c r="S792" s="511"/>
      <c r="T792" s="511"/>
      <c r="U792" s="511"/>
      <c r="V792" s="511"/>
      <c r="W792" s="511"/>
      <c r="X792" s="511"/>
      <c r="Y792" s="511"/>
      <c r="Z792" s="511"/>
      <c r="AA792" s="511"/>
      <c r="AB792" s="511"/>
      <c r="AC792" s="511"/>
      <c r="AD792" s="511"/>
    </row>
    <row r="793" spans="18:30" x14ac:dyDescent="0.25">
      <c r="R793" s="511"/>
      <c r="S793" s="511"/>
      <c r="T793" s="511"/>
      <c r="U793" s="511"/>
      <c r="V793" s="511"/>
      <c r="W793" s="511"/>
      <c r="X793" s="511"/>
      <c r="Y793" s="511"/>
      <c r="Z793" s="511"/>
      <c r="AA793" s="511"/>
      <c r="AB793" s="511"/>
      <c r="AC793" s="511"/>
      <c r="AD793" s="511"/>
    </row>
    <row r="794" spans="18:30" x14ac:dyDescent="0.25">
      <c r="R794" s="511"/>
      <c r="S794" s="511"/>
      <c r="T794" s="511"/>
      <c r="U794" s="511"/>
      <c r="V794" s="511"/>
      <c r="W794" s="511"/>
      <c r="X794" s="511"/>
      <c r="Y794" s="511"/>
      <c r="Z794" s="511"/>
      <c r="AA794" s="511"/>
      <c r="AB794" s="511"/>
      <c r="AC794" s="511"/>
      <c r="AD794" s="511"/>
    </row>
    <row r="795" spans="18:30" x14ac:dyDescent="0.25">
      <c r="R795" s="511"/>
      <c r="S795" s="511"/>
      <c r="T795" s="511"/>
      <c r="U795" s="511"/>
      <c r="V795" s="511"/>
      <c r="W795" s="511"/>
      <c r="X795" s="511"/>
      <c r="Y795" s="511"/>
      <c r="Z795" s="511"/>
      <c r="AA795" s="511"/>
      <c r="AB795" s="511"/>
      <c r="AC795" s="511"/>
      <c r="AD795" s="511"/>
    </row>
    <row r="796" spans="18:30" x14ac:dyDescent="0.25">
      <c r="R796" s="511"/>
      <c r="S796" s="511"/>
      <c r="T796" s="511"/>
      <c r="U796" s="511"/>
      <c r="V796" s="511"/>
      <c r="W796" s="511"/>
      <c r="X796" s="511"/>
      <c r="Y796" s="511"/>
      <c r="Z796" s="511"/>
      <c r="AA796" s="511"/>
      <c r="AB796" s="511"/>
      <c r="AC796" s="511"/>
      <c r="AD796" s="511"/>
    </row>
    <row r="797" spans="18:30" x14ac:dyDescent="0.25">
      <c r="R797" s="511"/>
      <c r="S797" s="511"/>
      <c r="T797" s="511"/>
      <c r="U797" s="511"/>
      <c r="V797" s="511"/>
      <c r="W797" s="511"/>
      <c r="X797" s="511"/>
      <c r="Y797" s="511"/>
      <c r="Z797" s="511"/>
      <c r="AA797" s="511"/>
      <c r="AB797" s="511"/>
      <c r="AC797" s="511"/>
      <c r="AD797" s="511"/>
    </row>
    <row r="798" spans="18:30" x14ac:dyDescent="0.25">
      <c r="R798" s="511"/>
      <c r="S798" s="511"/>
      <c r="T798" s="511"/>
      <c r="U798" s="511"/>
      <c r="V798" s="511"/>
      <c r="W798" s="511"/>
      <c r="X798" s="511"/>
      <c r="Y798" s="511"/>
      <c r="Z798" s="511"/>
      <c r="AA798" s="511"/>
      <c r="AB798" s="511"/>
      <c r="AC798" s="511"/>
      <c r="AD798" s="511"/>
    </row>
    <row r="799" spans="18:30" x14ac:dyDescent="0.25">
      <c r="R799" s="511"/>
      <c r="S799" s="511"/>
      <c r="T799" s="511"/>
      <c r="U799" s="511"/>
      <c r="V799" s="511"/>
      <c r="W799" s="511"/>
      <c r="X799" s="511"/>
      <c r="Y799" s="511"/>
      <c r="Z799" s="511"/>
      <c r="AA799" s="511"/>
      <c r="AB799" s="511"/>
      <c r="AC799" s="511"/>
      <c r="AD799" s="511"/>
    </row>
    <row r="800" spans="18:30" x14ac:dyDescent="0.25">
      <c r="R800" s="511"/>
      <c r="S800" s="511"/>
      <c r="T800" s="511"/>
      <c r="U800" s="511"/>
      <c r="V800" s="511"/>
      <c r="W800" s="511"/>
      <c r="X800" s="511"/>
      <c r="Y800" s="511"/>
      <c r="Z800" s="511"/>
      <c r="AA800" s="511"/>
      <c r="AB800" s="511"/>
      <c r="AC800" s="511"/>
      <c r="AD800" s="511"/>
    </row>
    <row r="801" spans="18:30" x14ac:dyDescent="0.25">
      <c r="R801" s="511"/>
      <c r="S801" s="511"/>
      <c r="T801" s="511"/>
      <c r="U801" s="511"/>
      <c r="V801" s="511"/>
      <c r="W801" s="511"/>
      <c r="X801" s="511"/>
      <c r="Y801" s="511"/>
      <c r="Z801" s="511"/>
      <c r="AA801" s="511"/>
      <c r="AB801" s="511"/>
      <c r="AC801" s="511"/>
      <c r="AD801" s="511"/>
    </row>
    <row r="802" spans="18:30" x14ac:dyDescent="0.25">
      <c r="R802" s="511"/>
      <c r="S802" s="511"/>
      <c r="T802" s="511"/>
      <c r="U802" s="511"/>
      <c r="V802" s="511"/>
      <c r="W802" s="511"/>
      <c r="X802" s="511"/>
      <c r="Y802" s="511"/>
      <c r="Z802" s="511"/>
      <c r="AA802" s="511"/>
      <c r="AB802" s="511"/>
      <c r="AC802" s="511"/>
      <c r="AD802" s="511"/>
    </row>
    <row r="803" spans="18:30" x14ac:dyDescent="0.25">
      <c r="R803" s="511"/>
      <c r="S803" s="511"/>
      <c r="T803" s="511"/>
      <c r="U803" s="511"/>
      <c r="V803" s="511"/>
      <c r="W803" s="511"/>
      <c r="X803" s="511"/>
      <c r="Y803" s="511"/>
      <c r="Z803" s="511"/>
      <c r="AA803" s="511"/>
      <c r="AB803" s="511"/>
      <c r="AC803" s="511"/>
      <c r="AD803" s="511"/>
    </row>
    <row r="804" spans="18:30" x14ac:dyDescent="0.25">
      <c r="R804" s="511"/>
      <c r="S804" s="511"/>
      <c r="T804" s="511"/>
      <c r="U804" s="511"/>
      <c r="V804" s="511"/>
      <c r="W804" s="511"/>
      <c r="X804" s="511"/>
      <c r="Y804" s="511"/>
      <c r="Z804" s="511"/>
      <c r="AA804" s="511"/>
      <c r="AB804" s="511"/>
      <c r="AC804" s="511"/>
      <c r="AD804" s="511"/>
    </row>
    <row r="805" spans="18:30" x14ac:dyDescent="0.25">
      <c r="R805" s="511"/>
      <c r="S805" s="511"/>
      <c r="T805" s="511"/>
      <c r="U805" s="511"/>
      <c r="V805" s="511"/>
      <c r="W805" s="511"/>
      <c r="X805" s="511"/>
      <c r="Y805" s="511"/>
      <c r="Z805" s="511"/>
      <c r="AA805" s="511"/>
      <c r="AB805" s="511"/>
      <c r="AC805" s="511"/>
      <c r="AD805" s="511"/>
    </row>
    <row r="806" spans="18:30" x14ac:dyDescent="0.25">
      <c r="R806" s="511"/>
      <c r="S806" s="511"/>
      <c r="T806" s="511"/>
      <c r="U806" s="511"/>
      <c r="V806" s="511"/>
      <c r="W806" s="511"/>
      <c r="X806" s="511"/>
      <c r="Y806" s="511"/>
      <c r="Z806" s="511"/>
      <c r="AA806" s="511"/>
      <c r="AB806" s="511"/>
      <c r="AC806" s="511"/>
      <c r="AD806" s="511"/>
    </row>
    <row r="807" spans="18:30" x14ac:dyDescent="0.25">
      <c r="R807" s="511"/>
      <c r="S807" s="511"/>
      <c r="T807" s="511"/>
      <c r="U807" s="511"/>
      <c r="V807" s="511"/>
      <c r="W807" s="511"/>
      <c r="X807" s="511"/>
      <c r="Y807" s="511"/>
      <c r="Z807" s="511"/>
      <c r="AA807" s="511"/>
      <c r="AB807" s="511"/>
      <c r="AC807" s="511"/>
      <c r="AD807" s="511"/>
    </row>
    <row r="808" spans="18:30" x14ac:dyDescent="0.25">
      <c r="R808" s="511"/>
      <c r="S808" s="511"/>
      <c r="T808" s="511"/>
      <c r="U808" s="511"/>
      <c r="V808" s="511"/>
      <c r="W808" s="511"/>
      <c r="X808" s="511"/>
      <c r="Y808" s="511"/>
      <c r="Z808" s="511"/>
      <c r="AA808" s="511"/>
      <c r="AB808" s="511"/>
      <c r="AC808" s="511"/>
      <c r="AD808" s="511"/>
    </row>
    <row r="809" spans="18:30" x14ac:dyDescent="0.25">
      <c r="R809" s="511"/>
      <c r="S809" s="511"/>
      <c r="T809" s="511"/>
      <c r="U809" s="511"/>
      <c r="V809" s="511"/>
      <c r="W809" s="511"/>
      <c r="X809" s="511"/>
      <c r="Y809" s="511"/>
      <c r="Z809" s="511"/>
      <c r="AA809" s="511"/>
      <c r="AB809" s="511"/>
      <c r="AC809" s="511"/>
      <c r="AD809" s="511"/>
    </row>
    <row r="810" spans="18:30" x14ac:dyDescent="0.25">
      <c r="R810" s="511"/>
      <c r="S810" s="511"/>
      <c r="T810" s="511"/>
      <c r="U810" s="511"/>
      <c r="V810" s="511"/>
      <c r="W810" s="511"/>
      <c r="X810" s="511"/>
      <c r="Y810" s="511"/>
      <c r="Z810" s="511"/>
      <c r="AA810" s="511"/>
      <c r="AB810" s="511"/>
      <c r="AC810" s="511"/>
      <c r="AD810" s="511"/>
    </row>
    <row r="811" spans="18:30" x14ac:dyDescent="0.25">
      <c r="R811" s="511"/>
      <c r="S811" s="511"/>
      <c r="T811" s="511"/>
      <c r="U811" s="511"/>
      <c r="V811" s="511"/>
      <c r="W811" s="511"/>
      <c r="X811" s="511"/>
      <c r="Y811" s="511"/>
      <c r="Z811" s="511"/>
      <c r="AA811" s="511"/>
      <c r="AB811" s="511"/>
      <c r="AC811" s="511"/>
      <c r="AD811" s="511"/>
    </row>
    <row r="812" spans="18:30" x14ac:dyDescent="0.25">
      <c r="R812" s="511"/>
      <c r="S812" s="511"/>
      <c r="T812" s="511"/>
      <c r="U812" s="511"/>
      <c r="V812" s="511"/>
      <c r="W812" s="511"/>
      <c r="X812" s="511"/>
      <c r="Y812" s="511"/>
      <c r="Z812" s="511"/>
      <c r="AA812" s="511"/>
      <c r="AB812" s="511"/>
      <c r="AC812" s="511"/>
      <c r="AD812" s="511"/>
    </row>
    <row r="813" spans="18:30" x14ac:dyDescent="0.25">
      <c r="R813" s="511"/>
      <c r="S813" s="511"/>
      <c r="T813" s="511"/>
      <c r="U813" s="511"/>
      <c r="V813" s="511"/>
      <c r="W813" s="511"/>
      <c r="X813" s="511"/>
      <c r="Y813" s="511"/>
      <c r="Z813" s="511"/>
      <c r="AA813" s="511"/>
      <c r="AB813" s="511"/>
      <c r="AC813" s="511"/>
      <c r="AD813" s="511"/>
    </row>
    <row r="814" spans="18:30" x14ac:dyDescent="0.25">
      <c r="R814" s="511"/>
      <c r="S814" s="511"/>
      <c r="T814" s="511"/>
      <c r="U814" s="511"/>
      <c r="V814" s="511"/>
      <c r="W814" s="511"/>
      <c r="X814" s="511"/>
      <c r="Y814" s="511"/>
      <c r="Z814" s="511"/>
      <c r="AA814" s="511"/>
      <c r="AB814" s="511"/>
      <c r="AC814" s="511"/>
      <c r="AD814" s="511"/>
    </row>
    <row r="815" spans="18:30" x14ac:dyDescent="0.25">
      <c r="R815" s="511"/>
      <c r="S815" s="511"/>
      <c r="T815" s="511"/>
      <c r="U815" s="511"/>
      <c r="V815" s="511"/>
      <c r="W815" s="511"/>
      <c r="X815" s="511"/>
      <c r="Y815" s="511"/>
      <c r="Z815" s="511"/>
      <c r="AA815" s="511"/>
      <c r="AB815" s="511"/>
      <c r="AC815" s="511"/>
      <c r="AD815" s="511"/>
    </row>
    <row r="816" spans="18:30" x14ac:dyDescent="0.25">
      <c r="R816" s="511"/>
      <c r="S816" s="511"/>
      <c r="T816" s="511"/>
      <c r="U816" s="511"/>
      <c r="V816" s="511"/>
      <c r="W816" s="511"/>
      <c r="X816" s="511"/>
      <c r="Y816" s="511"/>
      <c r="Z816" s="511"/>
      <c r="AA816" s="511"/>
      <c r="AB816" s="511"/>
      <c r="AC816" s="511"/>
      <c r="AD816" s="511"/>
    </row>
    <row r="817" spans="18:30" x14ac:dyDescent="0.25">
      <c r="R817" s="511"/>
      <c r="S817" s="511"/>
      <c r="T817" s="511"/>
      <c r="U817" s="511"/>
      <c r="V817" s="511"/>
      <c r="W817" s="511"/>
      <c r="X817" s="511"/>
      <c r="Y817" s="511"/>
      <c r="Z817" s="511"/>
      <c r="AA817" s="511"/>
      <c r="AB817" s="511"/>
      <c r="AC817" s="511"/>
      <c r="AD817" s="511"/>
    </row>
    <row r="818" spans="18:30" x14ac:dyDescent="0.25">
      <c r="R818" s="511"/>
      <c r="S818" s="511"/>
      <c r="T818" s="511"/>
      <c r="U818" s="511"/>
      <c r="V818" s="511"/>
      <c r="W818" s="511"/>
      <c r="X818" s="511"/>
      <c r="Y818" s="511"/>
      <c r="Z818" s="511"/>
      <c r="AA818" s="511"/>
      <c r="AB818" s="511"/>
      <c r="AC818" s="511"/>
      <c r="AD818" s="511"/>
    </row>
    <row r="819" spans="18:30" x14ac:dyDescent="0.25">
      <c r="R819" s="511"/>
      <c r="S819" s="511"/>
      <c r="T819" s="511"/>
      <c r="U819" s="511"/>
      <c r="V819" s="511"/>
      <c r="W819" s="511"/>
      <c r="X819" s="511"/>
      <c r="Y819" s="511"/>
      <c r="Z819" s="511"/>
      <c r="AA819" s="511"/>
      <c r="AB819" s="511"/>
      <c r="AC819" s="511"/>
      <c r="AD819" s="511"/>
    </row>
    <row r="820" spans="18:30" x14ac:dyDescent="0.25">
      <c r="R820" s="511"/>
      <c r="S820" s="511"/>
      <c r="T820" s="511"/>
      <c r="U820" s="511"/>
      <c r="V820" s="511"/>
      <c r="W820" s="511"/>
      <c r="X820" s="511"/>
      <c r="Y820" s="511"/>
      <c r="Z820" s="511"/>
      <c r="AA820" s="511"/>
      <c r="AB820" s="511"/>
      <c r="AC820" s="511"/>
      <c r="AD820" s="511"/>
    </row>
    <row r="821" spans="18:30" x14ac:dyDescent="0.25">
      <c r="R821" s="511"/>
      <c r="S821" s="511"/>
      <c r="T821" s="511"/>
      <c r="U821" s="511"/>
      <c r="V821" s="511"/>
      <c r="W821" s="511"/>
      <c r="X821" s="511"/>
      <c r="Y821" s="511"/>
      <c r="Z821" s="511"/>
      <c r="AA821" s="511"/>
      <c r="AB821" s="511"/>
      <c r="AC821" s="511"/>
      <c r="AD821" s="511"/>
    </row>
    <row r="822" spans="18:30" x14ac:dyDescent="0.25">
      <c r="R822" s="511"/>
      <c r="S822" s="511"/>
      <c r="T822" s="511"/>
      <c r="U822" s="511"/>
      <c r="V822" s="511"/>
      <c r="W822" s="511"/>
      <c r="X822" s="511"/>
      <c r="Y822" s="511"/>
      <c r="Z822" s="511"/>
      <c r="AA822" s="511"/>
      <c r="AB822" s="511"/>
      <c r="AC822" s="511"/>
      <c r="AD822" s="511"/>
    </row>
    <row r="823" spans="18:30" x14ac:dyDescent="0.25">
      <c r="R823" s="511"/>
      <c r="S823" s="511"/>
      <c r="T823" s="511"/>
      <c r="U823" s="511"/>
      <c r="V823" s="511"/>
      <c r="W823" s="511"/>
      <c r="X823" s="511"/>
      <c r="Y823" s="511"/>
      <c r="Z823" s="511"/>
      <c r="AA823" s="511"/>
      <c r="AB823" s="511"/>
      <c r="AC823" s="511"/>
      <c r="AD823" s="511"/>
    </row>
    <row r="824" spans="18:30" x14ac:dyDescent="0.25">
      <c r="R824" s="511"/>
      <c r="S824" s="511"/>
      <c r="T824" s="511"/>
      <c r="U824" s="511"/>
      <c r="V824" s="511"/>
      <c r="W824" s="511"/>
      <c r="X824" s="511"/>
      <c r="Y824" s="511"/>
      <c r="Z824" s="511"/>
      <c r="AA824" s="511"/>
      <c r="AB824" s="511"/>
      <c r="AC824" s="511"/>
      <c r="AD824" s="511"/>
    </row>
    <row r="825" spans="18:30" x14ac:dyDescent="0.25">
      <c r="R825" s="511"/>
      <c r="S825" s="511"/>
      <c r="T825" s="511"/>
      <c r="U825" s="511"/>
      <c r="V825" s="511"/>
      <c r="W825" s="511"/>
      <c r="X825" s="511"/>
      <c r="Y825" s="511"/>
      <c r="Z825" s="511"/>
      <c r="AA825" s="511"/>
      <c r="AB825" s="511"/>
      <c r="AC825" s="511"/>
      <c r="AD825" s="511"/>
    </row>
    <row r="826" spans="18:30" x14ac:dyDescent="0.25">
      <c r="R826" s="511"/>
      <c r="S826" s="511"/>
      <c r="T826" s="511"/>
      <c r="U826" s="511"/>
      <c r="V826" s="511"/>
      <c r="W826" s="511"/>
      <c r="X826" s="511"/>
      <c r="Y826" s="511"/>
      <c r="Z826" s="511"/>
      <c r="AA826" s="511"/>
      <c r="AB826" s="511"/>
      <c r="AC826" s="511"/>
      <c r="AD826" s="511"/>
    </row>
    <row r="827" spans="18:30" x14ac:dyDescent="0.25">
      <c r="R827" s="511"/>
      <c r="S827" s="511"/>
      <c r="T827" s="511"/>
      <c r="U827" s="511"/>
      <c r="V827" s="511"/>
      <c r="W827" s="511"/>
      <c r="X827" s="511"/>
      <c r="Y827" s="511"/>
      <c r="Z827" s="511"/>
      <c r="AA827" s="511"/>
      <c r="AB827" s="511"/>
      <c r="AC827" s="511"/>
      <c r="AD827" s="511"/>
    </row>
    <row r="828" spans="18:30" x14ac:dyDescent="0.25">
      <c r="R828" s="511"/>
      <c r="S828" s="511"/>
      <c r="T828" s="511"/>
      <c r="U828" s="511"/>
      <c r="V828" s="511"/>
      <c r="W828" s="511"/>
      <c r="X828" s="511"/>
      <c r="Y828" s="511"/>
      <c r="Z828" s="511"/>
      <c r="AA828" s="511"/>
      <c r="AB828" s="511"/>
      <c r="AC828" s="511"/>
      <c r="AD828" s="511"/>
    </row>
    <row r="829" spans="18:30" x14ac:dyDescent="0.25">
      <c r="R829" s="511"/>
      <c r="S829" s="511"/>
      <c r="T829" s="511"/>
      <c r="U829" s="511"/>
      <c r="V829" s="511"/>
      <c r="W829" s="511"/>
      <c r="X829" s="511"/>
      <c r="Y829" s="511"/>
      <c r="Z829" s="511"/>
      <c r="AA829" s="511"/>
      <c r="AB829" s="511"/>
      <c r="AC829" s="511"/>
      <c r="AD829" s="511"/>
    </row>
    <row r="830" spans="18:30" x14ac:dyDescent="0.25">
      <c r="R830" s="511"/>
      <c r="S830" s="511"/>
      <c r="T830" s="511"/>
      <c r="U830" s="511"/>
      <c r="V830" s="511"/>
      <c r="W830" s="511"/>
      <c r="X830" s="511"/>
      <c r="Y830" s="511"/>
      <c r="Z830" s="511"/>
      <c r="AA830" s="511"/>
      <c r="AB830" s="511"/>
      <c r="AC830" s="511"/>
      <c r="AD830" s="511"/>
    </row>
    <row r="831" spans="18:30" x14ac:dyDescent="0.25">
      <c r="R831" s="511"/>
      <c r="S831" s="511"/>
      <c r="T831" s="511"/>
      <c r="U831" s="511"/>
      <c r="V831" s="511"/>
      <c r="W831" s="511"/>
      <c r="X831" s="511"/>
      <c r="Y831" s="511"/>
      <c r="Z831" s="511"/>
      <c r="AA831" s="511"/>
      <c r="AB831" s="511"/>
      <c r="AC831" s="511"/>
      <c r="AD831" s="511"/>
    </row>
    <row r="832" spans="18:30" x14ac:dyDescent="0.25">
      <c r="R832" s="511"/>
      <c r="S832" s="511"/>
      <c r="T832" s="511"/>
      <c r="U832" s="511"/>
      <c r="V832" s="511"/>
      <c r="W832" s="511"/>
      <c r="X832" s="511"/>
      <c r="Y832" s="511"/>
      <c r="Z832" s="511"/>
      <c r="AA832" s="511"/>
      <c r="AB832" s="511"/>
      <c r="AC832" s="511"/>
      <c r="AD832" s="511"/>
    </row>
    <row r="833" spans="18:30" x14ac:dyDescent="0.25">
      <c r="R833" s="511"/>
      <c r="S833" s="511"/>
      <c r="T833" s="511"/>
      <c r="U833" s="511"/>
      <c r="V833" s="511"/>
      <c r="W833" s="511"/>
      <c r="X833" s="511"/>
      <c r="Y833" s="511"/>
      <c r="Z833" s="511"/>
      <c r="AA833" s="511"/>
      <c r="AB833" s="511"/>
      <c r="AC833" s="511"/>
      <c r="AD833" s="511"/>
    </row>
    <row r="834" spans="18:30" x14ac:dyDescent="0.25">
      <c r="R834" s="511"/>
      <c r="S834" s="511"/>
      <c r="T834" s="511"/>
      <c r="U834" s="511"/>
      <c r="V834" s="511"/>
      <c r="W834" s="511"/>
      <c r="X834" s="511"/>
      <c r="Y834" s="511"/>
      <c r="Z834" s="511"/>
      <c r="AA834" s="511"/>
      <c r="AB834" s="511"/>
      <c r="AC834" s="511"/>
      <c r="AD834" s="511"/>
    </row>
    <row r="835" spans="18:30" x14ac:dyDescent="0.25">
      <c r="R835" s="511"/>
      <c r="S835" s="511"/>
      <c r="T835" s="511"/>
      <c r="U835" s="511"/>
      <c r="V835" s="511"/>
      <c r="W835" s="511"/>
      <c r="X835" s="511"/>
      <c r="Y835" s="511"/>
      <c r="Z835" s="511"/>
      <c r="AA835" s="511"/>
      <c r="AB835" s="511"/>
      <c r="AC835" s="511"/>
      <c r="AD835" s="511"/>
    </row>
    <row r="836" spans="18:30" x14ac:dyDescent="0.25">
      <c r="R836" s="511"/>
      <c r="S836" s="511"/>
      <c r="T836" s="511"/>
      <c r="U836" s="511"/>
      <c r="V836" s="511"/>
      <c r="W836" s="511"/>
      <c r="X836" s="511"/>
      <c r="Y836" s="511"/>
      <c r="Z836" s="511"/>
      <c r="AA836" s="511"/>
      <c r="AB836" s="511"/>
      <c r="AC836" s="511"/>
      <c r="AD836" s="511"/>
    </row>
    <row r="837" spans="18:30" x14ac:dyDescent="0.25">
      <c r="R837" s="511"/>
      <c r="S837" s="511"/>
      <c r="T837" s="511"/>
      <c r="U837" s="511"/>
      <c r="V837" s="511"/>
      <c r="W837" s="511"/>
      <c r="X837" s="511"/>
      <c r="Y837" s="511"/>
      <c r="Z837" s="511"/>
      <c r="AA837" s="511"/>
      <c r="AB837" s="511"/>
      <c r="AC837" s="511"/>
      <c r="AD837" s="511"/>
    </row>
    <row r="838" spans="18:30" x14ac:dyDescent="0.25">
      <c r="R838" s="511"/>
      <c r="S838" s="511"/>
      <c r="T838" s="511"/>
      <c r="U838" s="511"/>
      <c r="V838" s="511"/>
      <c r="W838" s="511"/>
      <c r="X838" s="511"/>
      <c r="Y838" s="511"/>
      <c r="Z838" s="511"/>
      <c r="AA838" s="511"/>
      <c r="AB838" s="511"/>
      <c r="AC838" s="511"/>
      <c r="AD838" s="511"/>
    </row>
    <row r="839" spans="18:30" x14ac:dyDescent="0.25">
      <c r="R839" s="511"/>
      <c r="S839" s="511"/>
      <c r="T839" s="511"/>
      <c r="U839" s="511"/>
      <c r="V839" s="511"/>
      <c r="W839" s="511"/>
      <c r="X839" s="511"/>
      <c r="Y839" s="511"/>
      <c r="Z839" s="511"/>
      <c r="AA839" s="511"/>
      <c r="AB839" s="511"/>
      <c r="AC839" s="511"/>
      <c r="AD839" s="511"/>
    </row>
    <row r="840" spans="18:30" x14ac:dyDescent="0.25">
      <c r="R840" s="511"/>
      <c r="S840" s="511"/>
      <c r="T840" s="511"/>
      <c r="U840" s="511"/>
      <c r="V840" s="511"/>
      <c r="W840" s="511"/>
      <c r="X840" s="511"/>
      <c r="Y840" s="511"/>
      <c r="Z840" s="511"/>
      <c r="AA840" s="511"/>
      <c r="AB840" s="511"/>
      <c r="AC840" s="511"/>
      <c r="AD840" s="511"/>
    </row>
    <row r="841" spans="18:30" x14ac:dyDescent="0.25">
      <c r="R841" s="511"/>
      <c r="S841" s="511"/>
      <c r="T841" s="511"/>
      <c r="U841" s="511"/>
      <c r="V841" s="511"/>
      <c r="W841" s="511"/>
      <c r="X841" s="511"/>
      <c r="Y841" s="511"/>
      <c r="Z841" s="511"/>
      <c r="AA841" s="511"/>
      <c r="AB841" s="511"/>
      <c r="AC841" s="511"/>
      <c r="AD841" s="511"/>
    </row>
    <row r="842" spans="18:30" x14ac:dyDescent="0.25">
      <c r="R842" s="511"/>
      <c r="S842" s="511"/>
      <c r="T842" s="511"/>
      <c r="U842" s="511"/>
      <c r="V842" s="511"/>
      <c r="W842" s="511"/>
      <c r="X842" s="511"/>
      <c r="Y842" s="511"/>
      <c r="Z842" s="511"/>
      <c r="AA842" s="511"/>
      <c r="AB842" s="511"/>
      <c r="AC842" s="511"/>
      <c r="AD842" s="511"/>
    </row>
    <row r="843" spans="18:30" x14ac:dyDescent="0.25">
      <c r="R843" s="511"/>
      <c r="S843" s="511"/>
      <c r="T843" s="511"/>
      <c r="U843" s="511"/>
      <c r="V843" s="511"/>
      <c r="W843" s="511"/>
      <c r="X843" s="511"/>
      <c r="Y843" s="511"/>
      <c r="Z843" s="511"/>
      <c r="AA843" s="511"/>
      <c r="AB843" s="511"/>
      <c r="AC843" s="511"/>
      <c r="AD843" s="511"/>
    </row>
    <row r="844" spans="18:30" x14ac:dyDescent="0.25">
      <c r="R844" s="511"/>
      <c r="S844" s="511"/>
      <c r="T844" s="511"/>
      <c r="U844" s="511"/>
      <c r="V844" s="511"/>
      <c r="W844" s="511"/>
      <c r="X844" s="511"/>
      <c r="Y844" s="511"/>
      <c r="Z844" s="511"/>
      <c r="AA844" s="511"/>
      <c r="AB844" s="511"/>
      <c r="AC844" s="511"/>
      <c r="AD844" s="511"/>
    </row>
    <row r="845" spans="18:30" x14ac:dyDescent="0.25">
      <c r="R845" s="511"/>
      <c r="S845" s="511"/>
      <c r="T845" s="511"/>
      <c r="U845" s="511"/>
      <c r="V845" s="511"/>
      <c r="W845" s="511"/>
      <c r="X845" s="511"/>
      <c r="Y845" s="511"/>
      <c r="Z845" s="511"/>
      <c r="AA845" s="511"/>
      <c r="AB845" s="511"/>
      <c r="AC845" s="511"/>
      <c r="AD845" s="511"/>
    </row>
    <row r="846" spans="18:30" x14ac:dyDescent="0.25">
      <c r="R846" s="511"/>
      <c r="S846" s="511"/>
      <c r="T846" s="511"/>
      <c r="U846" s="511"/>
      <c r="V846" s="511"/>
      <c r="W846" s="511"/>
      <c r="X846" s="511"/>
      <c r="Y846" s="511"/>
      <c r="Z846" s="511"/>
      <c r="AA846" s="511"/>
      <c r="AB846" s="511"/>
      <c r="AC846" s="511"/>
      <c r="AD846" s="511"/>
    </row>
    <row r="847" spans="18:30" x14ac:dyDescent="0.25">
      <c r="R847" s="511"/>
      <c r="S847" s="511"/>
      <c r="T847" s="511"/>
      <c r="U847" s="511"/>
      <c r="V847" s="511"/>
      <c r="W847" s="511"/>
      <c r="X847" s="511"/>
      <c r="Y847" s="511"/>
      <c r="Z847" s="511"/>
      <c r="AA847" s="511"/>
      <c r="AB847" s="511"/>
      <c r="AC847" s="511"/>
      <c r="AD847" s="511"/>
    </row>
    <row r="848" spans="18:30" x14ac:dyDescent="0.25">
      <c r="R848" s="511"/>
      <c r="S848" s="511"/>
      <c r="T848" s="511"/>
      <c r="U848" s="511"/>
      <c r="V848" s="511"/>
      <c r="W848" s="511"/>
      <c r="X848" s="511"/>
      <c r="Y848" s="511"/>
      <c r="Z848" s="511"/>
      <c r="AA848" s="511"/>
      <c r="AB848" s="511"/>
      <c r="AC848" s="511"/>
      <c r="AD848" s="511"/>
    </row>
    <row r="849" spans="18:30" x14ac:dyDescent="0.25">
      <c r="R849" s="511"/>
      <c r="S849" s="511"/>
      <c r="T849" s="511"/>
      <c r="U849" s="511"/>
      <c r="V849" s="511"/>
      <c r="W849" s="511"/>
      <c r="X849" s="511"/>
      <c r="Y849" s="511"/>
      <c r="Z849" s="511"/>
      <c r="AA849" s="511"/>
      <c r="AB849" s="511"/>
      <c r="AC849" s="511"/>
      <c r="AD849" s="511"/>
    </row>
    <row r="850" spans="18:30" x14ac:dyDescent="0.25">
      <c r="R850" s="511"/>
      <c r="S850" s="511"/>
      <c r="T850" s="511"/>
      <c r="U850" s="511"/>
      <c r="V850" s="511"/>
      <c r="W850" s="511"/>
      <c r="X850" s="511"/>
      <c r="Y850" s="511"/>
      <c r="Z850" s="511"/>
      <c r="AA850" s="511"/>
      <c r="AB850" s="511"/>
      <c r="AC850" s="511"/>
      <c r="AD850" s="511"/>
    </row>
    <row r="851" spans="18:30" x14ac:dyDescent="0.25">
      <c r="R851" s="511"/>
      <c r="S851" s="511"/>
      <c r="T851" s="511"/>
      <c r="U851" s="511"/>
      <c r="V851" s="511"/>
      <c r="W851" s="511"/>
      <c r="X851" s="511"/>
      <c r="Y851" s="511"/>
      <c r="Z851" s="511"/>
      <c r="AA851" s="511"/>
      <c r="AB851" s="511"/>
      <c r="AC851" s="511"/>
      <c r="AD851" s="511"/>
    </row>
    <row r="852" spans="18:30" x14ac:dyDescent="0.25">
      <c r="R852" s="511"/>
      <c r="S852" s="511"/>
      <c r="T852" s="511"/>
      <c r="U852" s="511"/>
      <c r="V852" s="511"/>
      <c r="W852" s="511"/>
      <c r="X852" s="511"/>
      <c r="Y852" s="511"/>
      <c r="Z852" s="511"/>
      <c r="AA852" s="511"/>
      <c r="AB852" s="511"/>
      <c r="AC852" s="511"/>
      <c r="AD852" s="511"/>
    </row>
    <row r="853" spans="18:30" x14ac:dyDescent="0.25">
      <c r="R853" s="511"/>
      <c r="S853" s="511"/>
      <c r="T853" s="511"/>
      <c r="U853" s="511"/>
      <c r="V853" s="511"/>
      <c r="W853" s="511"/>
      <c r="X853" s="511"/>
      <c r="Y853" s="511"/>
      <c r="Z853" s="511"/>
      <c r="AA853" s="511"/>
      <c r="AB853" s="511"/>
      <c r="AC853" s="511"/>
      <c r="AD853" s="511"/>
    </row>
    <row r="854" spans="18:30" x14ac:dyDescent="0.25">
      <c r="R854" s="511"/>
      <c r="S854" s="511"/>
      <c r="T854" s="511"/>
      <c r="U854" s="511"/>
      <c r="V854" s="511"/>
      <c r="W854" s="511"/>
      <c r="X854" s="511"/>
      <c r="Y854" s="511"/>
      <c r="Z854" s="511"/>
      <c r="AA854" s="511"/>
      <c r="AB854" s="511"/>
      <c r="AC854" s="511"/>
      <c r="AD854" s="511"/>
    </row>
    <row r="855" spans="18:30" x14ac:dyDescent="0.25">
      <c r="R855" s="511"/>
      <c r="S855" s="511"/>
      <c r="T855" s="511"/>
      <c r="U855" s="511"/>
      <c r="V855" s="511"/>
      <c r="W855" s="511"/>
      <c r="X855" s="511"/>
      <c r="Y855" s="511"/>
      <c r="Z855" s="511"/>
      <c r="AA855" s="511"/>
      <c r="AB855" s="511"/>
      <c r="AC855" s="511"/>
      <c r="AD855" s="511"/>
    </row>
    <row r="856" spans="18:30" x14ac:dyDescent="0.25">
      <c r="R856" s="511"/>
      <c r="S856" s="511"/>
      <c r="T856" s="511"/>
      <c r="U856" s="511"/>
      <c r="V856" s="511"/>
      <c r="W856" s="511"/>
      <c r="X856" s="511"/>
      <c r="Y856" s="511"/>
      <c r="Z856" s="511"/>
      <c r="AA856" s="511"/>
      <c r="AB856" s="511"/>
      <c r="AC856" s="511"/>
      <c r="AD856" s="511"/>
    </row>
    <row r="857" spans="18:30" x14ac:dyDescent="0.25">
      <c r="R857" s="511"/>
      <c r="S857" s="511"/>
      <c r="T857" s="511"/>
      <c r="U857" s="511"/>
      <c r="V857" s="511"/>
      <c r="W857" s="511"/>
      <c r="X857" s="511"/>
      <c r="Y857" s="511"/>
      <c r="Z857" s="511"/>
      <c r="AA857" s="511"/>
      <c r="AB857" s="511"/>
      <c r="AC857" s="511"/>
      <c r="AD857" s="511"/>
    </row>
    <row r="858" spans="18:30" x14ac:dyDescent="0.25">
      <c r="R858" s="511"/>
      <c r="S858" s="511"/>
      <c r="T858" s="511"/>
      <c r="U858" s="511"/>
      <c r="V858" s="511"/>
      <c r="W858" s="511"/>
      <c r="X858" s="511"/>
      <c r="Y858" s="511"/>
      <c r="Z858" s="511"/>
      <c r="AA858" s="511"/>
      <c r="AB858" s="511"/>
      <c r="AC858" s="511"/>
      <c r="AD858" s="511"/>
    </row>
    <row r="859" spans="18:30" x14ac:dyDescent="0.25">
      <c r="R859" s="511"/>
      <c r="S859" s="511"/>
      <c r="T859" s="511"/>
      <c r="U859" s="511"/>
      <c r="V859" s="511"/>
      <c r="W859" s="511"/>
      <c r="X859" s="511"/>
      <c r="Y859" s="511"/>
      <c r="Z859" s="511"/>
      <c r="AA859" s="511"/>
      <c r="AB859" s="511"/>
      <c r="AC859" s="511"/>
      <c r="AD859" s="511"/>
    </row>
    <row r="860" spans="18:30" x14ac:dyDescent="0.25">
      <c r="R860" s="511"/>
      <c r="S860" s="511"/>
      <c r="T860" s="511"/>
      <c r="U860" s="511"/>
      <c r="V860" s="511"/>
      <c r="W860" s="511"/>
      <c r="X860" s="511"/>
      <c r="Y860" s="511"/>
      <c r="Z860" s="511"/>
      <c r="AA860" s="511"/>
      <c r="AB860" s="511"/>
      <c r="AC860" s="511"/>
      <c r="AD860" s="511"/>
    </row>
    <row r="861" spans="18:30" x14ac:dyDescent="0.25">
      <c r="R861" s="511"/>
      <c r="S861" s="511"/>
      <c r="T861" s="511"/>
      <c r="U861" s="511"/>
      <c r="V861" s="511"/>
      <c r="W861" s="511"/>
      <c r="X861" s="511"/>
      <c r="Y861" s="511"/>
      <c r="Z861" s="511"/>
      <c r="AA861" s="511"/>
      <c r="AB861" s="511"/>
      <c r="AC861" s="511"/>
      <c r="AD861" s="511"/>
    </row>
    <row r="862" spans="18:30" x14ac:dyDescent="0.25">
      <c r="R862" s="511"/>
      <c r="S862" s="511"/>
      <c r="T862" s="511"/>
      <c r="U862" s="511"/>
      <c r="V862" s="511"/>
      <c r="W862" s="511"/>
      <c r="X862" s="511"/>
      <c r="Y862" s="511"/>
      <c r="Z862" s="511"/>
      <c r="AA862" s="511"/>
      <c r="AB862" s="511"/>
      <c r="AC862" s="511"/>
      <c r="AD862" s="511"/>
    </row>
    <row r="863" spans="18:30" x14ac:dyDescent="0.25">
      <c r="R863" s="511"/>
      <c r="S863" s="511"/>
      <c r="T863" s="511"/>
      <c r="U863" s="511"/>
      <c r="V863" s="511"/>
      <c r="W863" s="511"/>
      <c r="X863" s="511"/>
      <c r="Y863" s="511"/>
      <c r="Z863" s="511"/>
      <c r="AA863" s="511"/>
      <c r="AB863" s="511"/>
      <c r="AC863" s="511"/>
      <c r="AD863" s="511"/>
    </row>
    <row r="864" spans="18:30" x14ac:dyDescent="0.25">
      <c r="R864" s="511"/>
      <c r="S864" s="511"/>
      <c r="T864" s="511"/>
      <c r="U864" s="511"/>
      <c r="V864" s="511"/>
      <c r="W864" s="511"/>
      <c r="X864" s="511"/>
      <c r="Y864" s="511"/>
      <c r="Z864" s="511"/>
      <c r="AA864" s="511"/>
      <c r="AB864" s="511"/>
      <c r="AC864" s="511"/>
      <c r="AD864" s="511"/>
    </row>
    <row r="865" spans="18:30" x14ac:dyDescent="0.25">
      <c r="R865" s="511"/>
      <c r="S865" s="511"/>
      <c r="T865" s="511"/>
      <c r="U865" s="511"/>
      <c r="V865" s="511"/>
      <c r="W865" s="511"/>
      <c r="X865" s="511"/>
      <c r="Y865" s="511"/>
      <c r="Z865" s="511"/>
      <c r="AA865" s="511"/>
      <c r="AB865" s="511"/>
      <c r="AC865" s="511"/>
      <c r="AD865" s="511"/>
    </row>
    <row r="866" spans="18:30" x14ac:dyDescent="0.25">
      <c r="R866" s="511"/>
      <c r="S866" s="511"/>
      <c r="T866" s="511"/>
      <c r="U866" s="511"/>
      <c r="V866" s="511"/>
      <c r="W866" s="511"/>
      <c r="X866" s="511"/>
      <c r="Y866" s="511"/>
      <c r="Z866" s="511"/>
      <c r="AA866" s="511"/>
      <c r="AB866" s="511"/>
      <c r="AC866" s="511"/>
      <c r="AD866" s="511"/>
    </row>
    <row r="867" spans="18:30" x14ac:dyDescent="0.25">
      <c r="R867" s="511"/>
      <c r="S867" s="511"/>
      <c r="T867" s="511"/>
      <c r="U867" s="511"/>
      <c r="V867" s="511"/>
      <c r="W867" s="511"/>
      <c r="X867" s="511"/>
      <c r="Y867" s="511"/>
      <c r="Z867" s="511"/>
      <c r="AA867" s="511"/>
      <c r="AB867" s="511"/>
      <c r="AC867" s="511"/>
      <c r="AD867" s="511"/>
    </row>
    <row r="868" spans="18:30" x14ac:dyDescent="0.25">
      <c r="R868" s="511"/>
      <c r="S868" s="511"/>
      <c r="T868" s="511"/>
      <c r="U868" s="511"/>
      <c r="V868" s="511"/>
      <c r="W868" s="511"/>
      <c r="X868" s="511"/>
      <c r="Y868" s="511"/>
      <c r="Z868" s="511"/>
      <c r="AA868" s="511"/>
      <c r="AB868" s="511"/>
      <c r="AC868" s="511"/>
      <c r="AD868" s="511"/>
    </row>
    <row r="869" spans="18:30" x14ac:dyDescent="0.25">
      <c r="R869" s="511"/>
      <c r="S869" s="511"/>
      <c r="T869" s="511"/>
      <c r="U869" s="511"/>
      <c r="V869" s="511"/>
      <c r="W869" s="511"/>
      <c r="X869" s="511"/>
      <c r="Y869" s="511"/>
      <c r="Z869" s="511"/>
      <c r="AA869" s="511"/>
      <c r="AB869" s="511"/>
      <c r="AC869" s="511"/>
      <c r="AD869" s="511"/>
    </row>
    <row r="870" spans="18:30" x14ac:dyDescent="0.25">
      <c r="R870" s="511"/>
      <c r="S870" s="511"/>
      <c r="T870" s="511"/>
      <c r="U870" s="511"/>
      <c r="V870" s="511"/>
      <c r="W870" s="511"/>
      <c r="X870" s="511"/>
      <c r="Y870" s="511"/>
      <c r="Z870" s="511"/>
      <c r="AA870" s="511"/>
      <c r="AB870" s="511"/>
      <c r="AC870" s="511"/>
      <c r="AD870" s="511"/>
    </row>
    <row r="871" spans="18:30" x14ac:dyDescent="0.25">
      <c r="R871" s="511"/>
      <c r="S871" s="511"/>
      <c r="T871" s="511"/>
      <c r="U871" s="511"/>
      <c r="V871" s="511"/>
      <c r="W871" s="511"/>
      <c r="X871" s="511"/>
      <c r="Y871" s="511"/>
      <c r="Z871" s="511"/>
      <c r="AA871" s="511"/>
      <c r="AB871" s="511"/>
      <c r="AC871" s="511"/>
      <c r="AD871" s="511"/>
    </row>
    <row r="872" spans="18:30" x14ac:dyDescent="0.25">
      <c r="R872" s="511"/>
      <c r="S872" s="511"/>
      <c r="T872" s="511"/>
      <c r="U872" s="511"/>
      <c r="V872" s="511"/>
      <c r="W872" s="511"/>
      <c r="X872" s="511"/>
      <c r="Y872" s="511"/>
      <c r="Z872" s="511"/>
      <c r="AA872" s="511"/>
      <c r="AB872" s="511"/>
      <c r="AC872" s="511"/>
      <c r="AD872" s="511"/>
    </row>
    <row r="873" spans="18:30" x14ac:dyDescent="0.25">
      <c r="R873" s="511"/>
      <c r="S873" s="511"/>
      <c r="T873" s="511"/>
      <c r="U873" s="511"/>
      <c r="V873" s="511"/>
      <c r="W873" s="511"/>
      <c r="X873" s="511"/>
      <c r="Y873" s="511"/>
      <c r="Z873" s="511"/>
      <c r="AA873" s="511"/>
      <c r="AB873" s="511"/>
      <c r="AC873" s="511"/>
      <c r="AD873" s="511"/>
    </row>
    <row r="874" spans="18:30" x14ac:dyDescent="0.25">
      <c r="R874" s="511"/>
      <c r="S874" s="511"/>
      <c r="T874" s="511"/>
      <c r="U874" s="511"/>
      <c r="V874" s="511"/>
      <c r="W874" s="511"/>
      <c r="X874" s="511"/>
      <c r="Y874" s="511"/>
      <c r="Z874" s="511"/>
      <c r="AA874" s="511"/>
      <c r="AB874" s="511"/>
      <c r="AC874" s="511"/>
      <c r="AD874" s="511"/>
    </row>
    <row r="875" spans="18:30" x14ac:dyDescent="0.25">
      <c r="R875" s="511"/>
      <c r="S875" s="511"/>
      <c r="T875" s="511"/>
      <c r="U875" s="511"/>
      <c r="V875" s="511"/>
      <c r="W875" s="511"/>
      <c r="X875" s="511"/>
      <c r="Y875" s="511"/>
      <c r="Z875" s="511"/>
      <c r="AA875" s="511"/>
      <c r="AB875" s="511"/>
      <c r="AC875" s="511"/>
      <c r="AD875" s="511"/>
    </row>
    <row r="876" spans="18:30" x14ac:dyDescent="0.25">
      <c r="R876" s="511"/>
      <c r="S876" s="511"/>
      <c r="T876" s="511"/>
      <c r="U876" s="511"/>
      <c r="V876" s="511"/>
      <c r="W876" s="511"/>
      <c r="X876" s="511"/>
      <c r="Y876" s="511"/>
      <c r="Z876" s="511"/>
      <c r="AA876" s="511"/>
      <c r="AB876" s="511"/>
      <c r="AC876" s="511"/>
      <c r="AD876" s="511"/>
    </row>
    <row r="877" spans="18:30" x14ac:dyDescent="0.25">
      <c r="R877" s="511"/>
      <c r="S877" s="511"/>
      <c r="T877" s="511"/>
      <c r="U877" s="511"/>
      <c r="V877" s="511"/>
      <c r="W877" s="511"/>
      <c r="X877" s="511"/>
      <c r="Y877" s="511"/>
      <c r="Z877" s="511"/>
      <c r="AA877" s="511"/>
      <c r="AB877" s="511"/>
      <c r="AC877" s="511"/>
      <c r="AD877" s="511"/>
    </row>
    <row r="878" spans="18:30" x14ac:dyDescent="0.25">
      <c r="R878" s="511"/>
      <c r="S878" s="511"/>
      <c r="T878" s="511"/>
      <c r="U878" s="511"/>
      <c r="V878" s="511"/>
      <c r="W878" s="511"/>
      <c r="X878" s="511"/>
      <c r="Y878" s="511"/>
      <c r="Z878" s="511"/>
      <c r="AA878" s="511"/>
      <c r="AB878" s="511"/>
      <c r="AC878" s="511"/>
      <c r="AD878" s="511"/>
    </row>
    <row r="879" spans="18:30" x14ac:dyDescent="0.25">
      <c r="R879" s="511"/>
      <c r="S879" s="511"/>
      <c r="T879" s="511"/>
      <c r="U879" s="511"/>
      <c r="V879" s="511"/>
      <c r="W879" s="511"/>
      <c r="X879" s="511"/>
      <c r="Y879" s="511"/>
      <c r="Z879" s="511"/>
      <c r="AA879" s="511"/>
      <c r="AB879" s="511"/>
      <c r="AC879" s="511"/>
      <c r="AD879" s="511"/>
    </row>
    <row r="880" spans="18:30" x14ac:dyDescent="0.25">
      <c r="R880" s="511"/>
      <c r="S880" s="511"/>
      <c r="T880" s="511"/>
      <c r="U880" s="511"/>
      <c r="V880" s="511"/>
      <c r="W880" s="511"/>
      <c r="X880" s="511"/>
      <c r="Y880" s="511"/>
      <c r="Z880" s="511"/>
      <c r="AA880" s="511"/>
      <c r="AB880" s="511"/>
      <c r="AC880" s="511"/>
      <c r="AD880" s="511"/>
    </row>
    <row r="881" spans="18:30" x14ac:dyDescent="0.25">
      <c r="R881" s="511"/>
      <c r="S881" s="511"/>
      <c r="T881" s="511"/>
      <c r="U881" s="511"/>
      <c r="V881" s="511"/>
      <c r="W881" s="511"/>
      <c r="X881" s="511"/>
      <c r="Y881" s="511"/>
      <c r="Z881" s="511"/>
      <c r="AA881" s="511"/>
      <c r="AB881" s="511"/>
      <c r="AC881" s="511"/>
      <c r="AD881" s="511"/>
    </row>
    <row r="882" spans="18:30" x14ac:dyDescent="0.25">
      <c r="R882" s="511"/>
      <c r="S882" s="511"/>
      <c r="T882" s="511"/>
      <c r="U882" s="511"/>
      <c r="V882" s="511"/>
      <c r="W882" s="511"/>
      <c r="X882" s="511"/>
      <c r="Y882" s="511"/>
      <c r="Z882" s="511"/>
      <c r="AA882" s="511"/>
      <c r="AB882" s="511"/>
      <c r="AC882" s="511"/>
      <c r="AD882" s="511"/>
    </row>
    <row r="883" spans="18:30" x14ac:dyDescent="0.25">
      <c r="R883" s="511"/>
      <c r="S883" s="511"/>
      <c r="T883" s="511"/>
      <c r="U883" s="511"/>
      <c r="V883" s="511"/>
      <c r="W883" s="511"/>
      <c r="X883" s="511"/>
      <c r="Y883" s="511"/>
      <c r="Z883" s="511"/>
      <c r="AA883" s="511"/>
      <c r="AB883" s="511"/>
      <c r="AC883" s="511"/>
      <c r="AD883" s="511"/>
    </row>
    <row r="884" spans="18:30" x14ac:dyDescent="0.25">
      <c r="R884" s="511"/>
      <c r="S884" s="511"/>
      <c r="T884" s="511"/>
      <c r="U884" s="511"/>
      <c r="V884" s="511"/>
      <c r="W884" s="511"/>
      <c r="X884" s="511"/>
      <c r="Y884" s="511"/>
      <c r="Z884" s="511"/>
      <c r="AA884" s="511"/>
      <c r="AB884" s="511"/>
      <c r="AC884" s="511"/>
      <c r="AD884" s="511"/>
    </row>
    <row r="885" spans="18:30" x14ac:dyDescent="0.25">
      <c r="R885" s="511"/>
      <c r="S885" s="511"/>
      <c r="T885" s="511"/>
      <c r="U885" s="511"/>
      <c r="V885" s="511"/>
      <c r="W885" s="511"/>
      <c r="X885" s="511"/>
      <c r="Y885" s="511"/>
      <c r="Z885" s="511"/>
      <c r="AA885" s="511"/>
      <c r="AB885" s="511"/>
      <c r="AC885" s="511"/>
      <c r="AD885" s="511"/>
    </row>
    <row r="886" spans="18:30" x14ac:dyDescent="0.25">
      <c r="R886" s="511"/>
      <c r="S886" s="511"/>
      <c r="T886" s="511"/>
      <c r="U886" s="511"/>
      <c r="V886" s="511"/>
      <c r="W886" s="511"/>
      <c r="X886" s="511"/>
      <c r="Y886" s="511"/>
      <c r="Z886" s="511"/>
      <c r="AA886" s="511"/>
      <c r="AB886" s="511"/>
      <c r="AC886" s="511"/>
      <c r="AD886" s="511"/>
    </row>
    <row r="887" spans="18:30" x14ac:dyDescent="0.25">
      <c r="R887" s="511"/>
      <c r="S887" s="511"/>
      <c r="T887" s="511"/>
      <c r="U887" s="511"/>
      <c r="V887" s="511"/>
      <c r="W887" s="511"/>
      <c r="X887" s="511"/>
      <c r="Y887" s="511"/>
      <c r="Z887" s="511"/>
      <c r="AA887" s="511"/>
      <c r="AB887" s="511"/>
      <c r="AC887" s="511"/>
      <c r="AD887" s="511"/>
    </row>
    <row r="888" spans="18:30" x14ac:dyDescent="0.25">
      <c r="R888" s="511"/>
      <c r="S888" s="511"/>
      <c r="T888" s="511"/>
      <c r="U888" s="511"/>
      <c r="V888" s="511"/>
      <c r="W888" s="511"/>
      <c r="X888" s="511"/>
      <c r="Y888" s="511"/>
      <c r="Z888" s="511"/>
      <c r="AA888" s="511"/>
      <c r="AB888" s="511"/>
      <c r="AC888" s="511"/>
      <c r="AD888" s="511"/>
    </row>
    <row r="889" spans="18:30" x14ac:dyDescent="0.25">
      <c r="R889" s="511"/>
      <c r="S889" s="511"/>
      <c r="T889" s="511"/>
      <c r="U889" s="511"/>
      <c r="V889" s="511"/>
      <c r="W889" s="511"/>
      <c r="X889" s="511"/>
      <c r="Y889" s="511"/>
      <c r="Z889" s="511"/>
      <c r="AA889" s="511"/>
      <c r="AB889" s="511"/>
      <c r="AC889" s="511"/>
      <c r="AD889" s="511"/>
    </row>
    <row r="890" spans="18:30" x14ac:dyDescent="0.25">
      <c r="R890" s="511"/>
      <c r="S890" s="511"/>
      <c r="T890" s="511"/>
      <c r="U890" s="511"/>
      <c r="V890" s="511"/>
      <c r="W890" s="511"/>
      <c r="X890" s="511"/>
      <c r="Y890" s="511"/>
      <c r="Z890" s="511"/>
      <c r="AA890" s="511"/>
      <c r="AB890" s="511"/>
      <c r="AC890" s="511"/>
      <c r="AD890" s="511"/>
    </row>
    <row r="891" spans="18:30" x14ac:dyDescent="0.25">
      <c r="R891" s="511"/>
      <c r="S891" s="511"/>
      <c r="T891" s="511"/>
      <c r="U891" s="511"/>
      <c r="V891" s="511"/>
      <c r="W891" s="511"/>
      <c r="X891" s="511"/>
      <c r="Y891" s="511"/>
      <c r="Z891" s="511"/>
      <c r="AA891" s="511"/>
      <c r="AB891" s="511"/>
      <c r="AC891" s="511"/>
      <c r="AD891" s="511"/>
    </row>
    <row r="892" spans="18:30" x14ac:dyDescent="0.25">
      <c r="R892" s="511"/>
      <c r="S892" s="511"/>
      <c r="T892" s="511"/>
      <c r="U892" s="511"/>
      <c r="V892" s="511"/>
      <c r="W892" s="511"/>
      <c r="X892" s="511"/>
      <c r="Y892" s="511"/>
      <c r="Z892" s="511"/>
      <c r="AA892" s="511"/>
      <c r="AB892" s="511"/>
      <c r="AC892" s="511"/>
      <c r="AD892" s="511"/>
    </row>
    <row r="893" spans="18:30" x14ac:dyDescent="0.25">
      <c r="R893" s="511"/>
      <c r="S893" s="511"/>
      <c r="T893" s="511"/>
      <c r="U893" s="511"/>
      <c r="V893" s="511"/>
      <c r="W893" s="511"/>
      <c r="X893" s="511"/>
      <c r="Y893" s="511"/>
      <c r="Z893" s="511"/>
      <c r="AA893" s="511"/>
      <c r="AB893" s="511"/>
      <c r="AC893" s="511"/>
      <c r="AD893" s="511"/>
    </row>
    <row r="894" spans="18:30" x14ac:dyDescent="0.25">
      <c r="R894" s="511"/>
      <c r="S894" s="511"/>
      <c r="T894" s="511"/>
      <c r="U894" s="511"/>
      <c r="V894" s="511"/>
      <c r="W894" s="511"/>
      <c r="X894" s="511"/>
      <c r="Y894" s="511"/>
      <c r="Z894" s="511"/>
      <c r="AA894" s="511"/>
      <c r="AB894" s="511"/>
      <c r="AC894" s="511"/>
      <c r="AD894" s="511"/>
    </row>
    <row r="895" spans="18:30" x14ac:dyDescent="0.25">
      <c r="R895" s="511"/>
      <c r="S895" s="511"/>
      <c r="T895" s="511"/>
      <c r="U895" s="511"/>
      <c r="V895" s="511"/>
      <c r="W895" s="511"/>
      <c r="X895" s="511"/>
      <c r="Y895" s="511"/>
      <c r="Z895" s="511"/>
      <c r="AA895" s="511"/>
      <c r="AB895" s="511"/>
      <c r="AC895" s="511"/>
      <c r="AD895" s="511"/>
    </row>
    <row r="896" spans="18:30" x14ac:dyDescent="0.25">
      <c r="R896" s="511"/>
      <c r="S896" s="511"/>
      <c r="T896" s="511"/>
      <c r="U896" s="511"/>
      <c r="V896" s="511"/>
      <c r="W896" s="511"/>
      <c r="X896" s="511"/>
      <c r="Y896" s="511"/>
      <c r="Z896" s="511"/>
      <c r="AA896" s="511"/>
      <c r="AB896" s="511"/>
      <c r="AC896" s="511"/>
      <c r="AD896" s="511"/>
    </row>
    <row r="897" spans="18:30" x14ac:dyDescent="0.25">
      <c r="R897" s="511"/>
      <c r="S897" s="511"/>
      <c r="T897" s="511"/>
      <c r="U897" s="511"/>
      <c r="V897" s="511"/>
      <c r="W897" s="511"/>
      <c r="X897" s="511"/>
      <c r="Y897" s="511"/>
      <c r="Z897" s="511"/>
      <c r="AA897" s="511"/>
      <c r="AB897" s="511"/>
      <c r="AC897" s="511"/>
      <c r="AD897" s="511"/>
    </row>
    <row r="898" spans="18:30" x14ac:dyDescent="0.25">
      <c r="R898" s="511"/>
      <c r="S898" s="511"/>
      <c r="T898" s="511"/>
      <c r="U898" s="511"/>
      <c r="V898" s="511"/>
      <c r="W898" s="511"/>
      <c r="X898" s="511"/>
      <c r="Y898" s="511"/>
      <c r="Z898" s="511"/>
      <c r="AA898" s="511"/>
      <c r="AB898" s="511"/>
      <c r="AC898" s="511"/>
      <c r="AD898" s="511"/>
    </row>
    <row r="899" spans="18:30" x14ac:dyDescent="0.25">
      <c r="R899" s="511"/>
      <c r="S899" s="511"/>
      <c r="T899" s="511"/>
      <c r="U899" s="511"/>
      <c r="V899" s="511"/>
      <c r="W899" s="511"/>
      <c r="X899" s="511"/>
      <c r="Y899" s="511"/>
      <c r="Z899" s="511"/>
      <c r="AA899" s="511"/>
      <c r="AB899" s="511"/>
      <c r="AC899" s="511"/>
      <c r="AD899" s="511"/>
    </row>
    <row r="900" spans="18:30" x14ac:dyDescent="0.25">
      <c r="R900" s="511"/>
      <c r="S900" s="511"/>
      <c r="T900" s="511"/>
      <c r="U900" s="511"/>
      <c r="V900" s="511"/>
      <c r="W900" s="511"/>
      <c r="X900" s="511"/>
      <c r="Y900" s="511"/>
      <c r="Z900" s="511"/>
      <c r="AA900" s="511"/>
      <c r="AB900" s="511"/>
      <c r="AC900" s="511"/>
      <c r="AD900" s="511"/>
    </row>
    <row r="901" spans="18:30" x14ac:dyDescent="0.25">
      <c r="R901" s="511"/>
      <c r="S901" s="511"/>
      <c r="T901" s="511"/>
      <c r="U901" s="511"/>
      <c r="V901" s="511"/>
      <c r="W901" s="511"/>
      <c r="X901" s="511"/>
      <c r="Y901" s="511"/>
      <c r="Z901" s="511"/>
      <c r="AA901" s="511"/>
      <c r="AB901" s="511"/>
      <c r="AC901" s="511"/>
      <c r="AD901" s="511"/>
    </row>
    <row r="902" spans="18:30" x14ac:dyDescent="0.25">
      <c r="R902" s="511"/>
      <c r="S902" s="511"/>
      <c r="T902" s="511"/>
      <c r="U902" s="511"/>
      <c r="V902" s="511"/>
      <c r="W902" s="511"/>
      <c r="X902" s="511"/>
      <c r="Y902" s="511"/>
      <c r="Z902" s="511"/>
      <c r="AA902" s="511"/>
      <c r="AB902" s="511"/>
      <c r="AC902" s="511"/>
      <c r="AD902" s="511"/>
    </row>
    <row r="903" spans="18:30" x14ac:dyDescent="0.25">
      <c r="R903" s="511"/>
      <c r="S903" s="511"/>
      <c r="T903" s="511"/>
      <c r="U903" s="511"/>
      <c r="V903" s="511"/>
      <c r="W903" s="511"/>
      <c r="X903" s="511"/>
      <c r="Y903" s="511"/>
      <c r="Z903" s="511"/>
      <c r="AA903" s="511"/>
      <c r="AB903" s="511"/>
      <c r="AC903" s="511"/>
      <c r="AD903" s="511"/>
    </row>
    <row r="904" spans="18:30" x14ac:dyDescent="0.25">
      <c r="R904" s="511"/>
      <c r="S904" s="511"/>
      <c r="T904" s="511"/>
      <c r="U904" s="511"/>
      <c r="V904" s="511"/>
      <c r="W904" s="511"/>
      <c r="X904" s="511"/>
      <c r="Y904" s="511"/>
      <c r="Z904" s="511"/>
      <c r="AA904" s="511"/>
      <c r="AB904" s="511"/>
      <c r="AC904" s="511"/>
      <c r="AD904" s="511"/>
    </row>
    <row r="905" spans="18:30" x14ac:dyDescent="0.25">
      <c r="R905" s="511"/>
      <c r="S905" s="511"/>
      <c r="T905" s="511"/>
      <c r="U905" s="511"/>
      <c r="V905" s="511"/>
      <c r="W905" s="511"/>
      <c r="X905" s="511"/>
      <c r="Y905" s="511"/>
      <c r="Z905" s="511"/>
      <c r="AA905" s="511"/>
      <c r="AB905" s="511"/>
      <c r="AC905" s="511"/>
      <c r="AD905" s="511"/>
    </row>
    <row r="906" spans="18:30" x14ac:dyDescent="0.25">
      <c r="R906" s="511"/>
      <c r="S906" s="511"/>
      <c r="T906" s="511"/>
      <c r="U906" s="511"/>
      <c r="V906" s="511"/>
      <c r="W906" s="511"/>
      <c r="X906" s="511"/>
      <c r="Y906" s="511"/>
      <c r="Z906" s="511"/>
      <c r="AA906" s="511"/>
      <c r="AB906" s="511"/>
      <c r="AC906" s="511"/>
      <c r="AD906" s="511"/>
    </row>
    <row r="907" spans="18:30" x14ac:dyDescent="0.25">
      <c r="R907" s="511"/>
      <c r="S907" s="511"/>
      <c r="T907" s="511"/>
      <c r="U907" s="511"/>
      <c r="V907" s="511"/>
      <c r="W907" s="511"/>
      <c r="X907" s="511"/>
      <c r="Y907" s="511"/>
      <c r="Z907" s="511"/>
      <c r="AA907" s="511"/>
      <c r="AB907" s="511"/>
      <c r="AC907" s="511"/>
      <c r="AD907" s="511"/>
    </row>
    <row r="908" spans="18:30" x14ac:dyDescent="0.25">
      <c r="R908" s="511"/>
      <c r="S908" s="511"/>
      <c r="T908" s="511"/>
      <c r="U908" s="511"/>
      <c r="V908" s="511"/>
      <c r="W908" s="511"/>
      <c r="X908" s="511"/>
      <c r="Y908" s="511"/>
      <c r="Z908" s="511"/>
      <c r="AA908" s="511"/>
      <c r="AB908" s="511"/>
      <c r="AC908" s="511"/>
      <c r="AD908" s="511"/>
    </row>
    <row r="909" spans="18:30" x14ac:dyDescent="0.25">
      <c r="R909" s="511"/>
      <c r="S909" s="511"/>
      <c r="T909" s="511"/>
      <c r="U909" s="511"/>
      <c r="V909" s="511"/>
      <c r="W909" s="511"/>
      <c r="X909" s="511"/>
      <c r="Y909" s="511"/>
      <c r="Z909" s="511"/>
      <c r="AA909" s="511"/>
      <c r="AB909" s="511"/>
      <c r="AC909" s="511"/>
      <c r="AD909" s="511"/>
    </row>
    <row r="910" spans="18:30" x14ac:dyDescent="0.25">
      <c r="R910" s="511"/>
      <c r="S910" s="511"/>
      <c r="T910" s="511"/>
      <c r="U910" s="511"/>
      <c r="V910" s="511"/>
      <c r="W910" s="511"/>
      <c r="X910" s="511"/>
      <c r="Y910" s="511"/>
      <c r="Z910" s="511"/>
      <c r="AA910" s="511"/>
      <c r="AB910" s="511"/>
      <c r="AC910" s="511"/>
      <c r="AD910" s="511"/>
    </row>
    <row r="911" spans="18:30" x14ac:dyDescent="0.25">
      <c r="R911" s="511"/>
      <c r="S911" s="511"/>
      <c r="T911" s="511"/>
      <c r="U911" s="511"/>
      <c r="V911" s="511"/>
      <c r="W911" s="511"/>
      <c r="X911" s="511"/>
      <c r="Y911" s="511"/>
      <c r="Z911" s="511"/>
      <c r="AA911" s="511"/>
      <c r="AB911" s="511"/>
      <c r="AC911" s="511"/>
      <c r="AD911" s="511"/>
    </row>
    <row r="912" spans="18:30" x14ac:dyDescent="0.25">
      <c r="R912" s="511"/>
      <c r="S912" s="511"/>
      <c r="T912" s="511"/>
      <c r="U912" s="511"/>
      <c r="V912" s="511"/>
      <c r="W912" s="511"/>
      <c r="X912" s="511"/>
      <c r="Y912" s="511"/>
      <c r="Z912" s="511"/>
      <c r="AA912" s="511"/>
      <c r="AB912" s="511"/>
      <c r="AC912" s="511"/>
      <c r="AD912" s="511"/>
    </row>
    <row r="913" spans="18:30" x14ac:dyDescent="0.25">
      <c r="R913" s="511"/>
      <c r="S913" s="511"/>
      <c r="T913" s="511"/>
      <c r="U913" s="511"/>
      <c r="V913" s="511"/>
      <c r="W913" s="511"/>
      <c r="X913" s="511"/>
      <c r="Y913" s="511"/>
      <c r="Z913" s="511"/>
      <c r="AA913" s="511"/>
      <c r="AB913" s="511"/>
      <c r="AC913" s="511"/>
      <c r="AD913" s="511"/>
    </row>
    <row r="914" spans="18:30" x14ac:dyDescent="0.25">
      <c r="R914" s="511"/>
      <c r="S914" s="511"/>
      <c r="T914" s="511"/>
      <c r="U914" s="511"/>
      <c r="V914" s="511"/>
      <c r="W914" s="511"/>
      <c r="X914" s="511"/>
      <c r="Y914" s="511"/>
      <c r="Z914" s="511"/>
      <c r="AA914" s="511"/>
      <c r="AB914" s="511"/>
      <c r="AC914" s="511"/>
      <c r="AD914" s="511"/>
    </row>
    <row r="915" spans="18:30" x14ac:dyDescent="0.25">
      <c r="R915" s="511"/>
      <c r="S915" s="511"/>
      <c r="T915" s="511"/>
      <c r="U915" s="511"/>
      <c r="V915" s="511"/>
      <c r="W915" s="511"/>
      <c r="X915" s="511"/>
      <c r="Y915" s="511"/>
      <c r="Z915" s="511"/>
      <c r="AA915" s="511"/>
      <c r="AB915" s="511"/>
      <c r="AC915" s="511"/>
      <c r="AD915" s="511"/>
    </row>
    <row r="916" spans="18:30" x14ac:dyDescent="0.25">
      <c r="R916" s="511"/>
      <c r="S916" s="511"/>
      <c r="T916" s="511"/>
      <c r="U916" s="511"/>
      <c r="V916" s="511"/>
      <c r="W916" s="511"/>
      <c r="X916" s="511"/>
      <c r="Y916" s="511"/>
      <c r="Z916" s="511"/>
      <c r="AA916" s="511"/>
      <c r="AB916" s="511"/>
      <c r="AC916" s="511"/>
      <c r="AD916" s="511"/>
    </row>
    <row r="917" spans="18:30" x14ac:dyDescent="0.25">
      <c r="R917" s="511"/>
      <c r="S917" s="511"/>
      <c r="T917" s="511"/>
      <c r="U917" s="511"/>
      <c r="V917" s="511"/>
      <c r="W917" s="511"/>
      <c r="X917" s="511"/>
      <c r="Y917" s="511"/>
      <c r="Z917" s="511"/>
      <c r="AA917" s="511"/>
      <c r="AB917" s="511"/>
      <c r="AC917" s="511"/>
      <c r="AD917" s="511"/>
    </row>
    <row r="918" spans="18:30" x14ac:dyDescent="0.25">
      <c r="R918" s="511"/>
      <c r="S918" s="511"/>
      <c r="T918" s="511"/>
      <c r="U918" s="511"/>
      <c r="V918" s="511"/>
      <c r="W918" s="511"/>
      <c r="X918" s="511"/>
      <c r="Y918" s="511"/>
      <c r="Z918" s="511"/>
      <c r="AA918" s="511"/>
      <c r="AB918" s="511"/>
      <c r="AC918" s="511"/>
      <c r="AD918" s="511"/>
    </row>
    <row r="919" spans="18:30" x14ac:dyDescent="0.25">
      <c r="R919" s="511"/>
      <c r="S919" s="511"/>
      <c r="T919" s="511"/>
      <c r="U919" s="511"/>
      <c r="V919" s="511"/>
      <c r="W919" s="511"/>
      <c r="X919" s="511"/>
      <c r="Y919" s="511"/>
      <c r="Z919" s="511"/>
      <c r="AA919" s="511"/>
      <c r="AB919" s="511"/>
      <c r="AC919" s="511"/>
      <c r="AD919" s="511"/>
    </row>
    <row r="920" spans="18:30" x14ac:dyDescent="0.25">
      <c r="R920" s="511"/>
      <c r="S920" s="511"/>
      <c r="T920" s="511"/>
      <c r="U920" s="511"/>
      <c r="V920" s="511"/>
      <c r="W920" s="511"/>
      <c r="X920" s="511"/>
      <c r="Y920" s="511"/>
      <c r="Z920" s="511"/>
      <c r="AA920" s="511"/>
      <c r="AB920" s="511"/>
      <c r="AC920" s="511"/>
      <c r="AD920" s="511"/>
    </row>
    <row r="921" spans="18:30" x14ac:dyDescent="0.25">
      <c r="R921" s="511"/>
      <c r="S921" s="511"/>
      <c r="T921" s="511"/>
      <c r="U921" s="511"/>
      <c r="V921" s="511"/>
      <c r="W921" s="511"/>
      <c r="X921" s="511"/>
      <c r="Y921" s="511"/>
      <c r="Z921" s="511"/>
      <c r="AA921" s="511"/>
      <c r="AB921" s="511"/>
      <c r="AC921" s="511"/>
      <c r="AD921" s="511"/>
    </row>
    <row r="922" spans="18:30" x14ac:dyDescent="0.25">
      <c r="R922" s="511"/>
      <c r="S922" s="511"/>
      <c r="T922" s="511"/>
      <c r="U922" s="511"/>
      <c r="V922" s="511"/>
      <c r="W922" s="511"/>
      <c r="X922" s="511"/>
      <c r="Y922" s="511"/>
      <c r="Z922" s="511"/>
      <c r="AA922" s="511"/>
      <c r="AB922" s="511"/>
      <c r="AC922" s="511"/>
      <c r="AD922" s="511"/>
    </row>
    <row r="923" spans="18:30" x14ac:dyDescent="0.25">
      <c r="R923" s="511"/>
      <c r="S923" s="511"/>
      <c r="T923" s="511"/>
      <c r="U923" s="511"/>
      <c r="V923" s="511"/>
      <c r="W923" s="511"/>
      <c r="X923" s="511"/>
      <c r="Y923" s="511"/>
      <c r="Z923" s="511"/>
      <c r="AA923" s="511"/>
      <c r="AB923" s="511"/>
      <c r="AC923" s="511"/>
      <c r="AD923" s="511"/>
    </row>
    <row r="924" spans="18:30" x14ac:dyDescent="0.25">
      <c r="R924" s="511"/>
      <c r="S924" s="511"/>
      <c r="T924" s="511"/>
      <c r="U924" s="511"/>
      <c r="V924" s="511"/>
      <c r="W924" s="511"/>
      <c r="X924" s="511"/>
      <c r="Y924" s="511"/>
      <c r="Z924" s="511"/>
      <c r="AA924" s="511"/>
      <c r="AB924" s="511"/>
      <c r="AC924" s="511"/>
      <c r="AD924" s="511"/>
    </row>
    <row r="925" spans="18:30" x14ac:dyDescent="0.25">
      <c r="R925" s="511"/>
      <c r="S925" s="511"/>
      <c r="T925" s="511"/>
      <c r="U925" s="511"/>
      <c r="V925" s="511"/>
      <c r="W925" s="511"/>
      <c r="X925" s="511"/>
      <c r="Y925" s="511"/>
      <c r="Z925" s="511"/>
      <c r="AA925" s="511"/>
      <c r="AB925" s="511"/>
      <c r="AC925" s="511"/>
      <c r="AD925" s="511"/>
    </row>
    <row r="926" spans="18:30" x14ac:dyDescent="0.25">
      <c r="R926" s="511"/>
      <c r="S926" s="511"/>
      <c r="T926" s="511"/>
      <c r="U926" s="511"/>
      <c r="V926" s="511"/>
      <c r="W926" s="511"/>
      <c r="X926" s="511"/>
      <c r="Y926" s="511"/>
      <c r="Z926" s="511"/>
      <c r="AA926" s="511"/>
      <c r="AB926" s="511"/>
      <c r="AC926" s="511"/>
      <c r="AD926" s="511"/>
    </row>
    <row r="927" spans="18:30" x14ac:dyDescent="0.25">
      <c r="R927" s="511"/>
      <c r="S927" s="511"/>
      <c r="T927" s="511"/>
      <c r="U927" s="511"/>
      <c r="V927" s="511"/>
      <c r="W927" s="511"/>
      <c r="X927" s="511"/>
      <c r="Y927" s="511"/>
      <c r="Z927" s="511"/>
      <c r="AA927" s="511"/>
      <c r="AB927" s="511"/>
      <c r="AC927" s="511"/>
      <c r="AD927" s="511"/>
    </row>
    <row r="928" spans="18:30" x14ac:dyDescent="0.25">
      <c r="R928" s="511"/>
      <c r="S928" s="511"/>
      <c r="T928" s="511"/>
      <c r="U928" s="511"/>
      <c r="V928" s="511"/>
      <c r="W928" s="511"/>
      <c r="X928" s="511"/>
      <c r="Y928" s="511"/>
      <c r="Z928" s="511"/>
      <c r="AA928" s="511"/>
      <c r="AB928" s="511"/>
      <c r="AC928" s="511"/>
      <c r="AD928" s="511"/>
    </row>
    <row r="929" spans="18:30" x14ac:dyDescent="0.25">
      <c r="R929" s="511"/>
      <c r="S929" s="511"/>
      <c r="T929" s="511"/>
      <c r="U929" s="511"/>
      <c r="V929" s="511"/>
      <c r="W929" s="511"/>
      <c r="X929" s="511"/>
      <c r="Y929" s="511"/>
      <c r="Z929" s="511"/>
      <c r="AA929" s="511"/>
      <c r="AB929" s="511"/>
      <c r="AC929" s="511"/>
      <c r="AD929" s="511"/>
    </row>
    <row r="930" spans="18:30" x14ac:dyDescent="0.25">
      <c r="R930" s="511"/>
      <c r="S930" s="511"/>
      <c r="T930" s="511"/>
      <c r="U930" s="511"/>
      <c r="V930" s="511"/>
      <c r="W930" s="511"/>
      <c r="X930" s="511"/>
      <c r="Y930" s="511"/>
      <c r="Z930" s="511"/>
      <c r="AA930" s="511"/>
      <c r="AB930" s="511"/>
      <c r="AC930" s="511"/>
      <c r="AD930" s="511"/>
    </row>
    <row r="931" spans="18:30" x14ac:dyDescent="0.25">
      <c r="R931" s="511"/>
      <c r="S931" s="511"/>
      <c r="T931" s="511"/>
      <c r="U931" s="511"/>
      <c r="V931" s="511"/>
      <c r="W931" s="511"/>
      <c r="X931" s="511"/>
      <c r="Y931" s="511"/>
      <c r="Z931" s="511"/>
      <c r="AA931" s="511"/>
      <c r="AB931" s="511"/>
      <c r="AC931" s="511"/>
      <c r="AD931" s="511"/>
    </row>
    <row r="932" spans="18:30" x14ac:dyDescent="0.25">
      <c r="R932" s="511"/>
      <c r="S932" s="511"/>
      <c r="T932" s="511"/>
      <c r="U932" s="511"/>
      <c r="V932" s="511"/>
      <c r="W932" s="511"/>
      <c r="X932" s="511"/>
      <c r="Y932" s="511"/>
      <c r="Z932" s="511"/>
      <c r="AA932" s="511"/>
      <c r="AB932" s="511"/>
      <c r="AC932" s="511"/>
      <c r="AD932" s="511"/>
    </row>
    <row r="933" spans="18:30" x14ac:dyDescent="0.25">
      <c r="R933" s="511"/>
      <c r="S933" s="511"/>
      <c r="T933" s="511"/>
      <c r="U933" s="511"/>
      <c r="V933" s="511"/>
      <c r="W933" s="511"/>
      <c r="X933" s="511"/>
      <c r="Y933" s="511"/>
      <c r="Z933" s="511"/>
      <c r="AA933" s="511"/>
      <c r="AB933" s="511"/>
      <c r="AC933" s="511"/>
      <c r="AD933" s="511"/>
    </row>
    <row r="934" spans="18:30" x14ac:dyDescent="0.25">
      <c r="R934" s="511"/>
      <c r="S934" s="511"/>
      <c r="T934" s="511"/>
      <c r="U934" s="511"/>
      <c r="V934" s="511"/>
      <c r="W934" s="511"/>
      <c r="X934" s="511"/>
      <c r="Y934" s="511"/>
      <c r="Z934" s="511"/>
      <c r="AA934" s="511"/>
      <c r="AB934" s="511"/>
      <c r="AC934" s="511"/>
      <c r="AD934" s="511"/>
    </row>
    <row r="935" spans="18:30" x14ac:dyDescent="0.25">
      <c r="R935" s="511"/>
      <c r="S935" s="511"/>
      <c r="T935" s="511"/>
      <c r="U935" s="511"/>
      <c r="V935" s="511"/>
      <c r="W935" s="511"/>
      <c r="X935" s="511"/>
      <c r="Y935" s="511"/>
      <c r="Z935" s="511"/>
      <c r="AA935" s="511"/>
      <c r="AB935" s="511"/>
      <c r="AC935" s="511"/>
      <c r="AD935" s="511"/>
    </row>
    <row r="936" spans="18:30" x14ac:dyDescent="0.25">
      <c r="R936" s="511"/>
      <c r="S936" s="511"/>
      <c r="T936" s="511"/>
      <c r="U936" s="511"/>
      <c r="V936" s="511"/>
      <c r="W936" s="511"/>
      <c r="X936" s="511"/>
      <c r="Y936" s="511"/>
      <c r="Z936" s="511"/>
      <c r="AA936" s="511"/>
      <c r="AB936" s="511"/>
      <c r="AC936" s="511"/>
      <c r="AD936" s="511"/>
    </row>
    <row r="937" spans="18:30" x14ac:dyDescent="0.25">
      <c r="R937" s="511"/>
      <c r="S937" s="511"/>
      <c r="T937" s="511"/>
      <c r="U937" s="511"/>
      <c r="V937" s="511"/>
      <c r="W937" s="511"/>
      <c r="X937" s="511"/>
      <c r="Y937" s="511"/>
      <c r="Z937" s="511"/>
      <c r="AA937" s="511"/>
      <c r="AB937" s="511"/>
      <c r="AC937" s="511"/>
      <c r="AD937" s="511"/>
    </row>
    <row r="938" spans="18:30" x14ac:dyDescent="0.25">
      <c r="R938" s="511"/>
      <c r="S938" s="511"/>
      <c r="T938" s="511"/>
      <c r="U938" s="511"/>
      <c r="V938" s="511"/>
      <c r="W938" s="511"/>
      <c r="X938" s="511"/>
      <c r="Y938" s="511"/>
      <c r="Z938" s="511"/>
      <c r="AA938" s="511"/>
      <c r="AB938" s="511"/>
      <c r="AC938" s="511"/>
      <c r="AD938" s="511"/>
    </row>
    <row r="939" spans="18:30" x14ac:dyDescent="0.25">
      <c r="R939" s="511"/>
      <c r="S939" s="511"/>
      <c r="T939" s="511"/>
      <c r="U939" s="511"/>
      <c r="V939" s="511"/>
      <c r="W939" s="511"/>
      <c r="X939" s="511"/>
      <c r="Y939" s="511"/>
      <c r="Z939" s="511"/>
      <c r="AA939" s="511"/>
      <c r="AB939" s="511"/>
      <c r="AC939" s="511"/>
      <c r="AD939" s="511"/>
    </row>
    <row r="940" spans="18:30" x14ac:dyDescent="0.25">
      <c r="R940" s="511"/>
      <c r="S940" s="511"/>
      <c r="T940" s="511"/>
      <c r="U940" s="511"/>
      <c r="V940" s="511"/>
      <c r="W940" s="511"/>
      <c r="X940" s="511"/>
      <c r="Y940" s="511"/>
      <c r="Z940" s="511"/>
      <c r="AA940" s="511"/>
      <c r="AB940" s="511"/>
      <c r="AC940" s="511"/>
      <c r="AD940" s="511"/>
    </row>
    <row r="941" spans="18:30" x14ac:dyDescent="0.25">
      <c r="R941" s="511"/>
      <c r="S941" s="511"/>
      <c r="T941" s="511"/>
      <c r="U941" s="511"/>
      <c r="V941" s="511"/>
      <c r="W941" s="511"/>
      <c r="X941" s="511"/>
      <c r="Y941" s="511"/>
      <c r="Z941" s="511"/>
      <c r="AA941" s="511"/>
      <c r="AB941" s="511"/>
      <c r="AC941" s="511"/>
      <c r="AD941" s="511"/>
    </row>
    <row r="942" spans="18:30" x14ac:dyDescent="0.25">
      <c r="R942" s="511"/>
      <c r="S942" s="511"/>
      <c r="T942" s="511"/>
      <c r="U942" s="511"/>
      <c r="V942" s="511"/>
      <c r="W942" s="511"/>
      <c r="X942" s="511"/>
      <c r="Y942" s="511"/>
      <c r="Z942" s="511"/>
      <c r="AA942" s="511"/>
      <c r="AB942" s="511"/>
      <c r="AC942" s="511"/>
      <c r="AD942" s="511"/>
    </row>
    <row r="943" spans="18:30" x14ac:dyDescent="0.25">
      <c r="R943" s="511"/>
      <c r="S943" s="511"/>
      <c r="T943" s="511"/>
      <c r="U943" s="511"/>
      <c r="V943" s="511"/>
      <c r="W943" s="511"/>
      <c r="X943" s="511"/>
      <c r="Y943" s="511"/>
      <c r="Z943" s="511"/>
      <c r="AA943" s="511"/>
      <c r="AB943" s="511"/>
      <c r="AC943" s="511"/>
      <c r="AD943" s="511"/>
    </row>
    <row r="944" spans="18:30" x14ac:dyDescent="0.25">
      <c r="R944" s="511"/>
      <c r="S944" s="511"/>
      <c r="T944" s="511"/>
      <c r="U944" s="511"/>
      <c r="V944" s="511"/>
      <c r="W944" s="511"/>
      <c r="X944" s="511"/>
      <c r="Y944" s="511"/>
      <c r="Z944" s="511"/>
      <c r="AA944" s="511"/>
      <c r="AB944" s="511"/>
      <c r="AC944" s="511"/>
      <c r="AD944" s="511"/>
    </row>
    <row r="945" spans="18:30" x14ac:dyDescent="0.25">
      <c r="R945" s="511"/>
      <c r="S945" s="511"/>
      <c r="T945" s="511"/>
      <c r="U945" s="511"/>
      <c r="V945" s="511"/>
      <c r="W945" s="511"/>
      <c r="X945" s="511"/>
      <c r="Y945" s="511"/>
      <c r="Z945" s="511"/>
      <c r="AA945" s="511"/>
      <c r="AB945" s="511"/>
      <c r="AC945" s="511"/>
      <c r="AD945" s="511"/>
    </row>
    <row r="946" spans="18:30" x14ac:dyDescent="0.25">
      <c r="R946" s="511"/>
      <c r="S946" s="511"/>
      <c r="T946" s="511"/>
      <c r="U946" s="511"/>
      <c r="V946" s="511"/>
      <c r="W946" s="511"/>
      <c r="X946" s="511"/>
      <c r="Y946" s="511"/>
      <c r="Z946" s="511"/>
      <c r="AA946" s="511"/>
      <c r="AB946" s="511"/>
      <c r="AC946" s="511"/>
      <c r="AD946" s="511"/>
    </row>
    <row r="947" spans="18:30" x14ac:dyDescent="0.25">
      <c r="R947" s="511"/>
      <c r="S947" s="511"/>
      <c r="T947" s="511"/>
      <c r="U947" s="511"/>
      <c r="V947" s="511"/>
      <c r="W947" s="511"/>
      <c r="X947" s="511"/>
      <c r="Y947" s="511"/>
      <c r="Z947" s="511"/>
      <c r="AA947" s="511"/>
      <c r="AB947" s="511"/>
      <c r="AC947" s="511"/>
      <c r="AD947" s="511"/>
    </row>
    <row r="948" spans="18:30" x14ac:dyDescent="0.25">
      <c r="R948" s="511"/>
      <c r="S948" s="511"/>
      <c r="T948" s="511"/>
      <c r="U948" s="511"/>
      <c r="V948" s="511"/>
      <c r="W948" s="511"/>
      <c r="X948" s="511"/>
      <c r="Y948" s="511"/>
      <c r="Z948" s="511"/>
      <c r="AA948" s="511"/>
      <c r="AB948" s="511"/>
      <c r="AC948" s="511"/>
      <c r="AD948" s="511"/>
    </row>
    <row r="949" spans="18:30" x14ac:dyDescent="0.25">
      <c r="R949" s="511"/>
      <c r="S949" s="511"/>
      <c r="T949" s="511"/>
      <c r="U949" s="511"/>
      <c r="V949" s="511"/>
      <c r="W949" s="511"/>
      <c r="X949" s="511"/>
      <c r="Y949" s="511"/>
      <c r="Z949" s="511"/>
      <c r="AA949" s="511"/>
      <c r="AB949" s="511"/>
      <c r="AC949" s="511"/>
      <c r="AD949" s="511"/>
    </row>
    <row r="950" spans="18:30" x14ac:dyDescent="0.25">
      <c r="R950" s="511"/>
      <c r="S950" s="511"/>
      <c r="T950" s="511"/>
      <c r="U950" s="511"/>
      <c r="V950" s="511"/>
      <c r="W950" s="511"/>
      <c r="X950" s="511"/>
      <c r="Y950" s="511"/>
      <c r="Z950" s="511"/>
      <c r="AA950" s="511"/>
      <c r="AB950" s="511"/>
      <c r="AC950" s="511"/>
      <c r="AD950" s="511"/>
    </row>
    <row r="951" spans="18:30" x14ac:dyDescent="0.25">
      <c r="R951" s="511"/>
      <c r="S951" s="511"/>
      <c r="T951" s="511"/>
      <c r="U951" s="511"/>
      <c r="V951" s="511"/>
      <c r="W951" s="511"/>
      <c r="X951" s="511"/>
      <c r="Y951" s="511"/>
      <c r="Z951" s="511"/>
      <c r="AA951" s="511"/>
      <c r="AB951" s="511"/>
      <c r="AC951" s="511"/>
      <c r="AD951" s="511"/>
    </row>
    <row r="952" spans="18:30" x14ac:dyDescent="0.25">
      <c r="R952" s="511"/>
      <c r="S952" s="511"/>
      <c r="T952" s="511"/>
      <c r="U952" s="511"/>
      <c r="V952" s="511"/>
      <c r="W952" s="511"/>
      <c r="X952" s="511"/>
      <c r="Y952" s="511"/>
      <c r="Z952" s="511"/>
      <c r="AA952" s="511"/>
      <c r="AB952" s="511"/>
      <c r="AC952" s="511"/>
      <c r="AD952" s="511"/>
    </row>
    <row r="953" spans="18:30" x14ac:dyDescent="0.25">
      <c r="R953" s="511"/>
      <c r="S953" s="511"/>
      <c r="T953" s="511"/>
      <c r="U953" s="511"/>
      <c r="V953" s="511"/>
      <c r="W953" s="511"/>
      <c r="X953" s="511"/>
      <c r="Y953" s="511"/>
      <c r="Z953" s="511"/>
      <c r="AA953" s="511"/>
      <c r="AB953" s="511"/>
      <c r="AC953" s="511"/>
      <c r="AD953" s="511"/>
    </row>
    <row r="954" spans="18:30" x14ac:dyDescent="0.25">
      <c r="R954" s="511"/>
      <c r="S954" s="511"/>
      <c r="T954" s="511"/>
      <c r="U954" s="511"/>
      <c r="V954" s="511"/>
      <c r="W954" s="511"/>
      <c r="X954" s="511"/>
      <c r="Y954" s="511"/>
      <c r="Z954" s="511"/>
      <c r="AA954" s="511"/>
      <c r="AB954" s="511"/>
      <c r="AC954" s="511"/>
      <c r="AD954" s="511"/>
    </row>
    <row r="955" spans="18:30" x14ac:dyDescent="0.25">
      <c r="R955" s="511"/>
      <c r="S955" s="511"/>
      <c r="T955" s="511"/>
      <c r="U955" s="511"/>
      <c r="V955" s="511"/>
      <c r="W955" s="511"/>
      <c r="X955" s="511"/>
      <c r="Y955" s="511"/>
      <c r="Z955" s="511"/>
      <c r="AA955" s="511"/>
      <c r="AB955" s="511"/>
      <c r="AC955" s="511"/>
      <c r="AD955" s="511"/>
    </row>
    <row r="956" spans="18:30" x14ac:dyDescent="0.25">
      <c r="R956" s="511"/>
      <c r="S956" s="511"/>
      <c r="T956" s="511"/>
      <c r="U956" s="511"/>
      <c r="V956" s="511"/>
      <c r="W956" s="511"/>
      <c r="X956" s="511"/>
      <c r="Y956" s="511"/>
      <c r="Z956" s="511"/>
      <c r="AA956" s="511"/>
      <c r="AB956" s="511"/>
      <c r="AC956" s="511"/>
      <c r="AD956" s="511"/>
    </row>
    <row r="957" spans="18:30" x14ac:dyDescent="0.25">
      <c r="R957" s="511"/>
      <c r="S957" s="511"/>
      <c r="T957" s="511"/>
      <c r="U957" s="511"/>
      <c r="V957" s="511"/>
      <c r="W957" s="511"/>
      <c r="X957" s="511"/>
      <c r="Y957" s="511"/>
      <c r="Z957" s="511"/>
      <c r="AA957" s="511"/>
      <c r="AB957" s="511"/>
      <c r="AC957" s="511"/>
      <c r="AD957" s="511"/>
    </row>
    <row r="958" spans="18:30" x14ac:dyDescent="0.25">
      <c r="R958" s="511"/>
      <c r="S958" s="511"/>
      <c r="T958" s="511"/>
      <c r="U958" s="511"/>
      <c r="V958" s="511"/>
      <c r="W958" s="511"/>
      <c r="X958" s="511"/>
      <c r="Y958" s="511"/>
      <c r="Z958" s="511"/>
      <c r="AA958" s="511"/>
      <c r="AB958" s="511"/>
      <c r="AC958" s="511"/>
      <c r="AD958" s="511"/>
    </row>
    <row r="959" spans="18:30" x14ac:dyDescent="0.25">
      <c r="R959" s="511"/>
      <c r="S959" s="511"/>
      <c r="T959" s="511"/>
      <c r="U959" s="511"/>
      <c r="V959" s="511"/>
      <c r="W959" s="511"/>
      <c r="X959" s="511"/>
      <c r="Y959" s="511"/>
      <c r="Z959" s="511"/>
      <c r="AA959" s="511"/>
      <c r="AB959" s="511"/>
      <c r="AC959" s="511"/>
      <c r="AD959" s="511"/>
    </row>
    <row r="960" spans="18:30" x14ac:dyDescent="0.25">
      <c r="R960" s="511"/>
      <c r="S960" s="511"/>
      <c r="T960" s="511"/>
      <c r="U960" s="511"/>
      <c r="V960" s="511"/>
      <c r="W960" s="511"/>
      <c r="X960" s="511"/>
      <c r="Y960" s="511"/>
      <c r="Z960" s="511"/>
      <c r="AA960" s="511"/>
      <c r="AB960" s="511"/>
      <c r="AC960" s="511"/>
      <c r="AD960" s="511"/>
    </row>
    <row r="961" spans="18:30" x14ac:dyDescent="0.25">
      <c r="R961" s="511"/>
      <c r="S961" s="511"/>
      <c r="T961" s="511"/>
      <c r="U961" s="511"/>
      <c r="V961" s="511"/>
      <c r="W961" s="511"/>
      <c r="X961" s="511"/>
      <c r="Y961" s="511"/>
      <c r="Z961" s="511"/>
      <c r="AA961" s="511"/>
      <c r="AB961" s="511"/>
      <c r="AC961" s="511"/>
      <c r="AD961" s="511"/>
    </row>
    <row r="962" spans="18:30" x14ac:dyDescent="0.25">
      <c r="R962" s="511"/>
      <c r="S962" s="511"/>
      <c r="T962" s="511"/>
      <c r="U962" s="511"/>
      <c r="V962" s="511"/>
      <c r="W962" s="511"/>
      <c r="X962" s="511"/>
      <c r="Y962" s="511"/>
      <c r="Z962" s="511"/>
      <c r="AA962" s="511"/>
      <c r="AB962" s="511"/>
      <c r="AC962" s="511"/>
      <c r="AD962" s="511"/>
    </row>
    <row r="963" spans="18:30" x14ac:dyDescent="0.25">
      <c r="R963" s="511"/>
      <c r="S963" s="511"/>
      <c r="T963" s="511"/>
      <c r="U963" s="511"/>
      <c r="V963" s="511"/>
      <c r="W963" s="511"/>
      <c r="X963" s="511"/>
      <c r="Y963" s="511"/>
      <c r="Z963" s="511"/>
      <c r="AA963" s="511"/>
      <c r="AB963" s="511"/>
      <c r="AC963" s="511"/>
      <c r="AD963" s="511"/>
    </row>
    <row r="964" spans="18:30" x14ac:dyDescent="0.25">
      <c r="R964" s="511"/>
      <c r="S964" s="511"/>
      <c r="T964" s="511"/>
      <c r="U964" s="511"/>
      <c r="V964" s="511"/>
      <c r="W964" s="511"/>
      <c r="X964" s="511"/>
      <c r="Y964" s="511"/>
      <c r="Z964" s="511"/>
      <c r="AA964" s="511"/>
      <c r="AB964" s="511"/>
      <c r="AC964" s="511"/>
      <c r="AD964" s="511"/>
    </row>
    <row r="965" spans="18:30" x14ac:dyDescent="0.25">
      <c r="R965" s="511"/>
      <c r="S965" s="511"/>
      <c r="T965" s="511"/>
      <c r="U965" s="511"/>
      <c r="V965" s="511"/>
      <c r="W965" s="511"/>
      <c r="X965" s="511"/>
      <c r="Y965" s="511"/>
      <c r="Z965" s="511"/>
      <c r="AA965" s="511"/>
      <c r="AB965" s="511"/>
      <c r="AC965" s="511"/>
      <c r="AD965" s="511"/>
    </row>
    <row r="966" spans="18:30" x14ac:dyDescent="0.25">
      <c r="R966" s="511"/>
      <c r="S966" s="511"/>
      <c r="T966" s="511"/>
      <c r="U966" s="511"/>
      <c r="V966" s="511"/>
      <c r="W966" s="511"/>
      <c r="X966" s="511"/>
      <c r="Y966" s="511"/>
      <c r="Z966" s="511"/>
      <c r="AA966" s="511"/>
      <c r="AB966" s="511"/>
      <c r="AC966" s="511"/>
      <c r="AD966" s="511"/>
    </row>
    <row r="967" spans="18:30" x14ac:dyDescent="0.25">
      <c r="R967" s="511"/>
      <c r="S967" s="511"/>
      <c r="T967" s="511"/>
      <c r="U967" s="511"/>
      <c r="V967" s="511"/>
      <c r="W967" s="511"/>
      <c r="X967" s="511"/>
      <c r="Y967" s="511"/>
      <c r="Z967" s="511"/>
      <c r="AA967" s="511"/>
      <c r="AB967" s="511"/>
      <c r="AC967" s="511"/>
      <c r="AD967" s="511"/>
    </row>
    <row r="968" spans="18:30" x14ac:dyDescent="0.25">
      <c r="R968" s="511"/>
      <c r="S968" s="511"/>
      <c r="T968" s="511"/>
      <c r="U968" s="511"/>
      <c r="V968" s="511"/>
      <c r="W968" s="511"/>
      <c r="X968" s="511"/>
      <c r="Y968" s="511"/>
      <c r="Z968" s="511"/>
      <c r="AA968" s="511"/>
      <c r="AB968" s="511"/>
      <c r="AC968" s="511"/>
      <c r="AD968" s="511"/>
    </row>
    <row r="969" spans="18:30" x14ac:dyDescent="0.25">
      <c r="R969" s="511"/>
      <c r="S969" s="511"/>
      <c r="T969" s="511"/>
      <c r="U969" s="511"/>
      <c r="V969" s="511"/>
      <c r="W969" s="511"/>
      <c r="X969" s="511"/>
      <c r="Y969" s="511"/>
      <c r="Z969" s="511"/>
      <c r="AA969" s="511"/>
      <c r="AB969" s="511"/>
      <c r="AC969" s="511"/>
      <c r="AD969" s="511"/>
    </row>
    <row r="970" spans="18:30" x14ac:dyDescent="0.25">
      <c r="R970" s="511"/>
      <c r="S970" s="511"/>
      <c r="T970" s="511"/>
      <c r="U970" s="511"/>
      <c r="V970" s="511"/>
      <c r="W970" s="511"/>
      <c r="X970" s="511"/>
      <c r="Y970" s="511"/>
      <c r="Z970" s="511"/>
      <c r="AA970" s="511"/>
      <c r="AB970" s="511"/>
      <c r="AC970" s="511"/>
      <c r="AD970" s="511"/>
    </row>
    <row r="971" spans="18:30" x14ac:dyDescent="0.25">
      <c r="R971" s="511"/>
      <c r="S971" s="511"/>
      <c r="T971" s="511"/>
      <c r="U971" s="511"/>
      <c r="V971" s="511"/>
      <c r="W971" s="511"/>
      <c r="X971" s="511"/>
      <c r="Y971" s="511"/>
      <c r="Z971" s="511"/>
      <c r="AA971" s="511"/>
      <c r="AB971" s="511"/>
      <c r="AC971" s="511"/>
      <c r="AD971" s="511"/>
    </row>
    <row r="972" spans="18:30" x14ac:dyDescent="0.25">
      <c r="R972" s="511"/>
      <c r="S972" s="511"/>
      <c r="T972" s="511"/>
      <c r="U972" s="511"/>
      <c r="V972" s="511"/>
      <c r="W972" s="511"/>
      <c r="X972" s="511"/>
      <c r="Y972" s="511"/>
      <c r="Z972" s="511"/>
      <c r="AA972" s="511"/>
      <c r="AB972" s="511"/>
      <c r="AC972" s="511"/>
      <c r="AD972" s="511"/>
    </row>
    <row r="973" spans="18:30" x14ac:dyDescent="0.25">
      <c r="R973" s="511"/>
      <c r="S973" s="511"/>
      <c r="T973" s="511"/>
      <c r="U973" s="511"/>
      <c r="V973" s="511"/>
      <c r="W973" s="511"/>
      <c r="X973" s="511"/>
      <c r="Y973" s="511"/>
      <c r="Z973" s="511"/>
      <c r="AA973" s="511"/>
      <c r="AB973" s="511"/>
      <c r="AC973" s="511"/>
      <c r="AD973" s="511"/>
    </row>
    <row r="974" spans="18:30" x14ac:dyDescent="0.25">
      <c r="R974" s="511"/>
      <c r="S974" s="511"/>
      <c r="T974" s="511"/>
      <c r="U974" s="511"/>
      <c r="V974" s="511"/>
      <c r="W974" s="511"/>
      <c r="X974" s="511"/>
      <c r="Y974" s="511"/>
      <c r="Z974" s="511"/>
      <c r="AA974" s="511"/>
      <c r="AB974" s="511"/>
      <c r="AC974" s="511"/>
      <c r="AD974" s="511"/>
    </row>
    <row r="975" spans="18:30" x14ac:dyDescent="0.25">
      <c r="R975" s="511"/>
      <c r="S975" s="511"/>
      <c r="T975" s="511"/>
      <c r="U975" s="511"/>
      <c r="V975" s="511"/>
      <c r="W975" s="511"/>
      <c r="X975" s="511"/>
      <c r="Y975" s="511"/>
      <c r="Z975" s="511"/>
      <c r="AA975" s="511"/>
      <c r="AB975" s="511"/>
      <c r="AC975" s="511"/>
      <c r="AD975" s="511"/>
    </row>
    <row r="976" spans="18:30" x14ac:dyDescent="0.25">
      <c r="R976" s="511"/>
      <c r="S976" s="511"/>
      <c r="T976" s="511"/>
      <c r="U976" s="511"/>
      <c r="V976" s="511"/>
      <c r="W976" s="511"/>
      <c r="X976" s="511"/>
      <c r="Y976" s="511"/>
      <c r="Z976" s="511"/>
      <c r="AA976" s="511"/>
      <c r="AB976" s="511"/>
      <c r="AC976" s="511"/>
      <c r="AD976" s="511"/>
    </row>
    <row r="977" spans="18:30" x14ac:dyDescent="0.25">
      <c r="R977" s="511"/>
      <c r="S977" s="511"/>
      <c r="T977" s="511"/>
      <c r="U977" s="511"/>
      <c r="V977" s="511"/>
      <c r="W977" s="511"/>
      <c r="X977" s="511"/>
      <c r="Y977" s="511"/>
      <c r="Z977" s="511"/>
      <c r="AA977" s="511"/>
      <c r="AB977" s="511"/>
      <c r="AC977" s="511"/>
      <c r="AD977" s="511"/>
    </row>
    <row r="978" spans="18:30" x14ac:dyDescent="0.25">
      <c r="R978" s="511"/>
      <c r="S978" s="511"/>
      <c r="T978" s="511"/>
      <c r="U978" s="511"/>
      <c r="V978" s="511"/>
      <c r="W978" s="511"/>
      <c r="X978" s="511"/>
      <c r="Y978" s="511"/>
      <c r="Z978" s="511"/>
      <c r="AA978" s="511"/>
      <c r="AB978" s="511"/>
      <c r="AC978" s="511"/>
      <c r="AD978" s="511"/>
    </row>
    <row r="979" spans="18:30" x14ac:dyDescent="0.25">
      <c r="R979" s="511"/>
      <c r="S979" s="511"/>
      <c r="T979" s="511"/>
      <c r="U979" s="511"/>
      <c r="V979" s="511"/>
      <c r="W979" s="511"/>
      <c r="X979" s="511"/>
      <c r="Y979" s="511"/>
      <c r="Z979" s="511"/>
      <c r="AA979" s="511"/>
      <c r="AB979" s="511"/>
      <c r="AC979" s="511"/>
      <c r="AD979" s="511"/>
    </row>
    <row r="980" spans="18:30" x14ac:dyDescent="0.25">
      <c r="R980" s="511"/>
      <c r="S980" s="511"/>
      <c r="T980" s="511"/>
      <c r="U980" s="511"/>
      <c r="V980" s="511"/>
      <c r="W980" s="511"/>
      <c r="X980" s="511"/>
      <c r="Y980" s="511"/>
      <c r="Z980" s="511"/>
      <c r="AA980" s="511"/>
      <c r="AB980" s="511"/>
      <c r="AC980" s="511"/>
      <c r="AD980" s="511"/>
    </row>
    <row r="981" spans="18:30" x14ac:dyDescent="0.25">
      <c r="R981" s="511"/>
      <c r="S981" s="511"/>
      <c r="T981" s="511"/>
      <c r="U981" s="511"/>
      <c r="V981" s="511"/>
      <c r="W981" s="511"/>
      <c r="X981" s="511"/>
      <c r="Y981" s="511"/>
      <c r="Z981" s="511"/>
      <c r="AA981" s="511"/>
      <c r="AB981" s="511"/>
      <c r="AC981" s="511"/>
      <c r="AD981" s="511"/>
    </row>
    <row r="982" spans="18:30" x14ac:dyDescent="0.25">
      <c r="R982" s="511"/>
      <c r="S982" s="511"/>
      <c r="T982" s="511"/>
      <c r="U982" s="511"/>
      <c r="V982" s="511"/>
      <c r="W982" s="511"/>
      <c r="X982" s="511"/>
      <c r="Y982" s="511"/>
      <c r="Z982" s="511"/>
      <c r="AA982" s="511"/>
      <c r="AB982" s="511"/>
      <c r="AC982" s="511"/>
      <c r="AD982" s="511"/>
    </row>
    <row r="983" spans="18:30" x14ac:dyDescent="0.25">
      <c r="R983" s="511"/>
      <c r="S983" s="511"/>
      <c r="T983" s="511"/>
      <c r="U983" s="511"/>
      <c r="V983" s="511"/>
      <c r="W983" s="511"/>
      <c r="X983" s="511"/>
      <c r="Y983" s="511"/>
      <c r="Z983" s="511"/>
      <c r="AA983" s="511"/>
      <c r="AB983" s="511"/>
      <c r="AC983" s="511"/>
      <c r="AD983" s="511"/>
    </row>
    <row r="984" spans="18:30" x14ac:dyDescent="0.25">
      <c r="R984" s="511"/>
      <c r="S984" s="511"/>
      <c r="T984" s="511"/>
      <c r="U984" s="511"/>
      <c r="V984" s="511"/>
      <c r="W984" s="511"/>
      <c r="X984" s="511"/>
      <c r="Y984" s="511"/>
      <c r="Z984" s="511"/>
      <c r="AA984" s="511"/>
      <c r="AB984" s="511"/>
      <c r="AC984" s="511"/>
      <c r="AD984" s="511"/>
    </row>
    <row r="985" spans="18:30" x14ac:dyDescent="0.25">
      <c r="R985" s="511"/>
      <c r="S985" s="511"/>
      <c r="T985" s="511"/>
      <c r="U985" s="511"/>
      <c r="V985" s="511"/>
      <c r="W985" s="511"/>
      <c r="X985" s="511"/>
      <c r="Y985" s="511"/>
      <c r="Z985" s="511"/>
      <c r="AA985" s="511"/>
      <c r="AB985" s="511"/>
      <c r="AC985" s="511"/>
      <c r="AD985" s="511"/>
    </row>
    <row r="986" spans="18:30" x14ac:dyDescent="0.25">
      <c r="R986" s="511"/>
      <c r="S986" s="511"/>
      <c r="T986" s="511"/>
      <c r="U986" s="511"/>
      <c r="V986" s="511"/>
      <c r="W986" s="511"/>
      <c r="X986" s="511"/>
      <c r="Y986" s="511"/>
      <c r="Z986" s="511"/>
      <c r="AA986" s="511"/>
      <c r="AB986" s="511"/>
      <c r="AC986" s="511"/>
      <c r="AD986" s="511"/>
    </row>
    <row r="987" spans="18:30" x14ac:dyDescent="0.25">
      <c r="R987" s="511"/>
      <c r="S987" s="511"/>
      <c r="T987" s="511"/>
      <c r="U987" s="511"/>
      <c r="V987" s="511"/>
      <c r="W987" s="511"/>
      <c r="X987" s="511"/>
      <c r="Y987" s="511"/>
      <c r="Z987" s="511"/>
      <c r="AA987" s="511"/>
      <c r="AB987" s="511"/>
      <c r="AC987" s="511"/>
      <c r="AD987" s="511"/>
    </row>
    <row r="988" spans="18:30" x14ac:dyDescent="0.25">
      <c r="R988" s="511"/>
      <c r="S988" s="511"/>
      <c r="T988" s="511"/>
      <c r="U988" s="511"/>
      <c r="V988" s="511"/>
      <c r="W988" s="511"/>
      <c r="X988" s="511"/>
      <c r="Y988" s="511"/>
      <c r="Z988" s="511"/>
      <c r="AA988" s="511"/>
      <c r="AB988" s="511"/>
      <c r="AC988" s="511"/>
      <c r="AD988" s="511"/>
    </row>
    <row r="989" spans="18:30" x14ac:dyDescent="0.25">
      <c r="R989" s="511"/>
      <c r="S989" s="511"/>
      <c r="T989" s="511"/>
      <c r="U989" s="511"/>
      <c r="V989" s="511"/>
      <c r="W989" s="511"/>
      <c r="X989" s="511"/>
      <c r="Y989" s="511"/>
      <c r="Z989" s="511"/>
      <c r="AA989" s="511"/>
      <c r="AB989" s="511"/>
      <c r="AC989" s="511"/>
      <c r="AD989" s="511"/>
    </row>
    <row r="990" spans="18:30" x14ac:dyDescent="0.25">
      <c r="R990" s="511"/>
      <c r="S990" s="511"/>
      <c r="T990" s="511"/>
      <c r="U990" s="511"/>
      <c r="V990" s="511"/>
      <c r="W990" s="511"/>
      <c r="X990" s="511"/>
      <c r="Y990" s="511"/>
      <c r="Z990" s="511"/>
      <c r="AA990" s="511"/>
      <c r="AB990" s="511"/>
      <c r="AC990" s="511"/>
      <c r="AD990" s="511"/>
    </row>
    <row r="991" spans="18:30" x14ac:dyDescent="0.25">
      <c r="R991" s="511"/>
      <c r="S991" s="511"/>
      <c r="T991" s="511"/>
      <c r="U991" s="511"/>
      <c r="V991" s="511"/>
      <c r="W991" s="511"/>
      <c r="X991" s="511"/>
      <c r="Y991" s="511"/>
      <c r="Z991" s="511"/>
      <c r="AA991" s="511"/>
      <c r="AB991" s="511"/>
      <c r="AC991" s="511"/>
      <c r="AD991" s="511"/>
    </row>
    <row r="992" spans="18:30" x14ac:dyDescent="0.25">
      <c r="R992" s="511"/>
      <c r="S992" s="511"/>
      <c r="T992" s="511"/>
      <c r="U992" s="511"/>
      <c r="V992" s="511"/>
      <c r="W992" s="511"/>
      <c r="X992" s="511"/>
      <c r="Y992" s="511"/>
      <c r="Z992" s="511"/>
      <c r="AA992" s="511"/>
      <c r="AB992" s="511"/>
      <c r="AC992" s="511"/>
      <c r="AD992" s="511"/>
    </row>
    <row r="993" spans="18:30" x14ac:dyDescent="0.25">
      <c r="R993" s="511"/>
      <c r="S993" s="511"/>
      <c r="T993" s="511"/>
      <c r="U993" s="511"/>
      <c r="V993" s="511"/>
      <c r="W993" s="511"/>
      <c r="X993" s="511"/>
      <c r="Y993" s="511"/>
      <c r="Z993" s="511"/>
      <c r="AA993" s="511"/>
      <c r="AB993" s="511"/>
      <c r="AC993" s="511"/>
      <c r="AD993" s="511"/>
    </row>
    <row r="994" spans="18:30" x14ac:dyDescent="0.25">
      <c r="R994" s="511"/>
      <c r="S994" s="511"/>
      <c r="T994" s="511"/>
      <c r="U994" s="511"/>
      <c r="V994" s="511"/>
      <c r="W994" s="511"/>
      <c r="X994" s="511"/>
      <c r="Y994" s="511"/>
      <c r="Z994" s="511"/>
      <c r="AA994" s="511"/>
      <c r="AB994" s="511"/>
      <c r="AC994" s="511"/>
      <c r="AD994" s="511"/>
    </row>
    <row r="995" spans="18:30" x14ac:dyDescent="0.25">
      <c r="R995" s="511"/>
      <c r="S995" s="511"/>
      <c r="T995" s="511"/>
      <c r="U995" s="511"/>
      <c r="V995" s="511"/>
      <c r="W995" s="511"/>
      <c r="X995" s="511"/>
      <c r="Y995" s="511"/>
      <c r="Z995" s="511"/>
      <c r="AA995" s="511"/>
      <c r="AB995" s="511"/>
      <c r="AC995" s="511"/>
      <c r="AD995" s="511"/>
    </row>
    <row r="996" spans="18:30" x14ac:dyDescent="0.25">
      <c r="R996" s="511"/>
      <c r="S996" s="511"/>
      <c r="T996" s="511"/>
      <c r="U996" s="511"/>
      <c r="V996" s="511"/>
      <c r="W996" s="511"/>
      <c r="X996" s="511"/>
      <c r="Y996" s="511"/>
      <c r="Z996" s="511"/>
      <c r="AA996" s="511"/>
      <c r="AB996" s="511"/>
      <c r="AC996" s="511"/>
      <c r="AD996" s="511"/>
    </row>
    <row r="997" spans="18:30" x14ac:dyDescent="0.25">
      <c r="R997" s="511"/>
      <c r="S997" s="511"/>
      <c r="T997" s="511"/>
      <c r="U997" s="511"/>
      <c r="V997" s="511"/>
      <c r="W997" s="511"/>
      <c r="X997" s="511"/>
      <c r="Y997" s="511"/>
      <c r="Z997" s="511"/>
      <c r="AA997" s="511"/>
      <c r="AB997" s="511"/>
      <c r="AC997" s="511"/>
      <c r="AD997" s="511"/>
    </row>
    <row r="998" spans="18:30" x14ac:dyDescent="0.25">
      <c r="R998" s="511"/>
      <c r="S998" s="511"/>
      <c r="T998" s="511"/>
      <c r="U998" s="511"/>
      <c r="V998" s="511"/>
      <c r="W998" s="511"/>
      <c r="X998" s="511"/>
      <c r="Y998" s="511"/>
      <c r="Z998" s="511"/>
      <c r="AA998" s="511"/>
      <c r="AB998" s="511"/>
      <c r="AC998" s="511"/>
      <c r="AD998" s="511"/>
    </row>
    <row r="999" spans="18:30" x14ac:dyDescent="0.25">
      <c r="R999" s="511"/>
      <c r="S999" s="511"/>
      <c r="T999" s="511"/>
      <c r="U999" s="511"/>
      <c r="V999" s="511"/>
      <c r="W999" s="511"/>
      <c r="X999" s="511"/>
      <c r="Y999" s="511"/>
      <c r="Z999" s="511"/>
      <c r="AA999" s="511"/>
      <c r="AB999" s="511"/>
      <c r="AC999" s="511"/>
      <c r="AD999" s="511"/>
    </row>
    <row r="1000" spans="18:30" x14ac:dyDescent="0.25">
      <c r="R1000" s="511"/>
      <c r="S1000" s="511"/>
      <c r="T1000" s="511"/>
      <c r="U1000" s="511"/>
      <c r="V1000" s="511"/>
      <c r="W1000" s="511"/>
      <c r="X1000" s="511"/>
      <c r="Y1000" s="511"/>
      <c r="Z1000" s="511"/>
      <c r="AA1000" s="511"/>
      <c r="AB1000" s="511"/>
      <c r="AC1000" s="511"/>
      <c r="AD1000" s="511"/>
    </row>
    <row r="1001" spans="18:30" x14ac:dyDescent="0.25">
      <c r="R1001" s="511"/>
      <c r="S1001" s="511"/>
      <c r="T1001" s="511"/>
      <c r="U1001" s="511"/>
      <c r="V1001" s="511"/>
      <c r="W1001" s="511"/>
      <c r="X1001" s="511"/>
      <c r="Y1001" s="511"/>
      <c r="Z1001" s="511"/>
      <c r="AA1001" s="511"/>
      <c r="AB1001" s="511"/>
      <c r="AC1001" s="511"/>
      <c r="AD1001" s="511"/>
    </row>
    <row r="1002" spans="18:30" x14ac:dyDescent="0.25">
      <c r="R1002" s="511"/>
      <c r="S1002" s="511"/>
      <c r="T1002" s="511"/>
      <c r="U1002" s="511"/>
      <c r="V1002" s="511"/>
      <c r="W1002" s="511"/>
      <c r="X1002" s="511"/>
      <c r="Y1002" s="511"/>
      <c r="Z1002" s="511"/>
      <c r="AA1002" s="511"/>
      <c r="AB1002" s="511"/>
      <c r="AC1002" s="511"/>
      <c r="AD1002" s="511"/>
    </row>
    <row r="1003" spans="18:30" x14ac:dyDescent="0.25">
      <c r="R1003" s="511"/>
      <c r="S1003" s="511"/>
      <c r="T1003" s="511"/>
      <c r="U1003" s="511"/>
      <c r="V1003" s="511"/>
      <c r="W1003" s="511"/>
      <c r="X1003" s="511"/>
      <c r="Y1003" s="511"/>
      <c r="Z1003" s="511"/>
      <c r="AA1003" s="511"/>
      <c r="AB1003" s="511"/>
      <c r="AC1003" s="511"/>
      <c r="AD1003" s="511"/>
    </row>
    <row r="1004" spans="18:30" x14ac:dyDescent="0.25">
      <c r="R1004" s="511"/>
      <c r="S1004" s="511"/>
      <c r="T1004" s="511"/>
      <c r="U1004" s="511"/>
      <c r="V1004" s="511"/>
      <c r="W1004" s="511"/>
      <c r="X1004" s="511"/>
      <c r="Y1004" s="511"/>
      <c r="Z1004" s="511"/>
      <c r="AA1004" s="511"/>
      <c r="AB1004" s="511"/>
      <c r="AC1004" s="511"/>
      <c r="AD1004" s="511"/>
    </row>
    <row r="1005" spans="18:30" x14ac:dyDescent="0.25">
      <c r="R1005" s="511"/>
      <c r="S1005" s="511"/>
      <c r="T1005" s="511"/>
      <c r="U1005" s="511"/>
      <c r="V1005" s="511"/>
      <c r="W1005" s="511"/>
      <c r="X1005" s="511"/>
      <c r="Y1005" s="511"/>
      <c r="Z1005" s="511"/>
      <c r="AA1005" s="511"/>
      <c r="AB1005" s="511"/>
      <c r="AC1005" s="511"/>
      <c r="AD1005" s="511"/>
    </row>
    <row r="1006" spans="18:30" x14ac:dyDescent="0.25">
      <c r="R1006" s="511"/>
      <c r="S1006" s="511"/>
      <c r="T1006" s="511"/>
      <c r="U1006" s="511"/>
      <c r="V1006" s="511"/>
      <c r="W1006" s="511"/>
      <c r="X1006" s="511"/>
      <c r="Y1006" s="511"/>
      <c r="Z1006" s="511"/>
      <c r="AA1006" s="511"/>
      <c r="AB1006" s="511"/>
      <c r="AC1006" s="511"/>
      <c r="AD1006" s="511"/>
    </row>
    <row r="1007" spans="18:30" x14ac:dyDescent="0.25">
      <c r="R1007" s="511"/>
      <c r="S1007" s="511"/>
      <c r="T1007" s="511"/>
      <c r="U1007" s="511"/>
      <c r="V1007" s="511"/>
      <c r="W1007" s="511"/>
      <c r="X1007" s="511"/>
      <c r="Y1007" s="511"/>
      <c r="Z1007" s="511"/>
      <c r="AA1007" s="511"/>
      <c r="AB1007" s="511"/>
      <c r="AC1007" s="511"/>
      <c r="AD1007" s="511"/>
    </row>
    <row r="1008" spans="18:30" x14ac:dyDescent="0.25">
      <c r="R1008" s="511"/>
      <c r="S1008" s="511"/>
      <c r="T1008" s="511"/>
      <c r="U1008" s="511"/>
      <c r="V1008" s="511"/>
      <c r="W1008" s="511"/>
      <c r="X1008" s="511"/>
      <c r="Y1008" s="511"/>
      <c r="Z1008" s="511"/>
      <c r="AA1008" s="511"/>
      <c r="AB1008" s="511"/>
      <c r="AC1008" s="511"/>
      <c r="AD1008" s="511"/>
    </row>
    <row r="1009" spans="18:30" x14ac:dyDescent="0.25">
      <c r="R1009" s="511"/>
      <c r="S1009" s="511"/>
      <c r="T1009" s="511"/>
      <c r="U1009" s="511"/>
      <c r="V1009" s="511"/>
      <c r="W1009" s="511"/>
      <c r="X1009" s="511"/>
      <c r="Y1009" s="511"/>
      <c r="Z1009" s="511"/>
      <c r="AA1009" s="511"/>
      <c r="AB1009" s="511"/>
      <c r="AC1009" s="511"/>
      <c r="AD1009" s="511"/>
    </row>
    <row r="1010" spans="18:30" x14ac:dyDescent="0.25">
      <c r="R1010" s="511"/>
      <c r="S1010" s="511"/>
      <c r="T1010" s="511"/>
      <c r="U1010" s="511"/>
      <c r="V1010" s="511"/>
      <c r="W1010" s="511"/>
      <c r="X1010" s="511"/>
      <c r="Y1010" s="511"/>
      <c r="Z1010" s="511"/>
      <c r="AA1010" s="511"/>
      <c r="AB1010" s="511"/>
      <c r="AC1010" s="511"/>
      <c r="AD1010" s="511"/>
    </row>
    <row r="1011" spans="18:30" x14ac:dyDescent="0.25">
      <c r="R1011" s="511"/>
      <c r="S1011" s="511"/>
      <c r="T1011" s="511"/>
      <c r="U1011" s="511"/>
      <c r="V1011" s="511"/>
      <c r="W1011" s="511"/>
      <c r="X1011" s="511"/>
      <c r="Y1011" s="511"/>
      <c r="Z1011" s="511"/>
      <c r="AA1011" s="511"/>
      <c r="AB1011" s="511"/>
      <c r="AC1011" s="511"/>
      <c r="AD1011" s="511"/>
    </row>
    <row r="1012" spans="18:30" x14ac:dyDescent="0.25">
      <c r="R1012" s="511"/>
      <c r="S1012" s="511"/>
      <c r="T1012" s="511"/>
      <c r="U1012" s="511"/>
      <c r="V1012" s="511"/>
      <c r="W1012" s="511"/>
      <c r="X1012" s="511"/>
      <c r="Y1012" s="511"/>
      <c r="Z1012" s="511"/>
      <c r="AA1012" s="511"/>
      <c r="AB1012" s="511"/>
      <c r="AC1012" s="511"/>
      <c r="AD1012" s="511"/>
    </row>
    <row r="1013" spans="18:30" x14ac:dyDescent="0.25">
      <c r="R1013" s="511"/>
      <c r="S1013" s="511"/>
      <c r="T1013" s="511"/>
      <c r="U1013" s="511"/>
      <c r="V1013" s="511"/>
      <c r="W1013" s="511"/>
      <c r="X1013" s="511"/>
      <c r="Y1013" s="511"/>
      <c r="Z1013" s="511"/>
      <c r="AA1013" s="511"/>
      <c r="AB1013" s="511"/>
      <c r="AC1013" s="511"/>
      <c r="AD1013" s="511"/>
    </row>
    <row r="1014" spans="18:30" x14ac:dyDescent="0.25">
      <c r="R1014" s="511"/>
      <c r="S1014" s="511"/>
      <c r="T1014" s="511"/>
      <c r="U1014" s="511"/>
      <c r="V1014" s="511"/>
      <c r="W1014" s="511"/>
      <c r="X1014" s="511"/>
      <c r="Y1014" s="511"/>
      <c r="Z1014" s="511"/>
      <c r="AA1014" s="511"/>
      <c r="AB1014" s="511"/>
      <c r="AC1014" s="511"/>
      <c r="AD1014" s="511"/>
    </row>
    <row r="1015" spans="18:30" x14ac:dyDescent="0.25">
      <c r="R1015" s="511"/>
      <c r="S1015" s="511"/>
      <c r="T1015" s="511"/>
      <c r="U1015" s="511"/>
      <c r="V1015" s="511"/>
      <c r="W1015" s="511"/>
      <c r="X1015" s="511"/>
      <c r="Y1015" s="511"/>
      <c r="Z1015" s="511"/>
      <c r="AA1015" s="511"/>
      <c r="AB1015" s="511"/>
      <c r="AC1015" s="511"/>
      <c r="AD1015" s="511"/>
    </row>
    <row r="1016" spans="18:30" x14ac:dyDescent="0.25">
      <c r="R1016" s="511"/>
      <c r="S1016" s="511"/>
      <c r="T1016" s="511"/>
      <c r="U1016" s="511"/>
      <c r="V1016" s="511"/>
      <c r="W1016" s="511"/>
      <c r="X1016" s="511"/>
      <c r="Y1016" s="511"/>
      <c r="Z1016" s="511"/>
      <c r="AA1016" s="511"/>
      <c r="AB1016" s="511"/>
      <c r="AC1016" s="511"/>
      <c r="AD1016" s="511"/>
    </row>
    <row r="1017" spans="18:30" x14ac:dyDescent="0.25">
      <c r="R1017" s="511"/>
      <c r="S1017" s="511"/>
      <c r="T1017" s="511"/>
      <c r="U1017" s="511"/>
      <c r="V1017" s="511"/>
      <c r="W1017" s="511"/>
      <c r="X1017" s="511"/>
      <c r="Y1017" s="511"/>
      <c r="Z1017" s="511"/>
      <c r="AA1017" s="511"/>
      <c r="AB1017" s="511"/>
      <c r="AC1017" s="511"/>
      <c r="AD1017" s="511"/>
    </row>
    <row r="1018" spans="18:30" x14ac:dyDescent="0.25">
      <c r="R1018" s="511"/>
      <c r="S1018" s="511"/>
      <c r="T1018" s="511"/>
      <c r="U1018" s="511"/>
      <c r="V1018" s="511"/>
      <c r="W1018" s="511"/>
      <c r="X1018" s="511"/>
      <c r="Y1018" s="511"/>
      <c r="Z1018" s="511"/>
      <c r="AA1018" s="511"/>
      <c r="AB1018" s="511"/>
      <c r="AC1018" s="511"/>
      <c r="AD1018" s="511"/>
    </row>
    <row r="1019" spans="18:30" x14ac:dyDescent="0.25">
      <c r="R1019" s="511"/>
      <c r="S1019" s="511"/>
      <c r="T1019" s="511"/>
      <c r="U1019" s="511"/>
      <c r="V1019" s="511"/>
      <c r="W1019" s="511"/>
      <c r="X1019" s="511"/>
      <c r="Y1019" s="511"/>
      <c r="Z1019" s="511"/>
      <c r="AA1019" s="511"/>
      <c r="AB1019" s="511"/>
      <c r="AC1019" s="511"/>
      <c r="AD1019" s="511"/>
    </row>
    <row r="1020" spans="18:30" x14ac:dyDescent="0.25">
      <c r="R1020" s="511"/>
      <c r="S1020" s="511"/>
      <c r="T1020" s="511"/>
      <c r="U1020" s="511"/>
      <c r="V1020" s="511"/>
      <c r="W1020" s="511"/>
      <c r="X1020" s="511"/>
      <c r="Y1020" s="511"/>
      <c r="Z1020" s="511"/>
      <c r="AA1020" s="511"/>
      <c r="AB1020" s="511"/>
      <c r="AC1020" s="511"/>
      <c r="AD1020" s="511"/>
    </row>
    <row r="1021" spans="18:30" x14ac:dyDescent="0.25">
      <c r="R1021" s="511"/>
      <c r="S1021" s="511"/>
      <c r="T1021" s="511"/>
      <c r="U1021" s="511"/>
      <c r="V1021" s="511"/>
      <c r="W1021" s="511"/>
      <c r="X1021" s="511"/>
      <c r="Y1021" s="511"/>
      <c r="Z1021" s="511"/>
      <c r="AA1021" s="511"/>
      <c r="AB1021" s="511"/>
      <c r="AC1021" s="511"/>
      <c r="AD1021" s="511"/>
    </row>
    <row r="1022" spans="18:30" x14ac:dyDescent="0.25">
      <c r="R1022" s="511"/>
      <c r="S1022" s="511"/>
      <c r="T1022" s="511"/>
      <c r="U1022" s="511"/>
      <c r="V1022" s="511"/>
      <c r="W1022" s="511"/>
      <c r="X1022" s="511"/>
      <c r="Y1022" s="511"/>
      <c r="Z1022" s="511"/>
      <c r="AA1022" s="511"/>
      <c r="AB1022" s="511"/>
      <c r="AC1022" s="511"/>
      <c r="AD1022" s="511"/>
    </row>
    <row r="1023" spans="18:30" x14ac:dyDescent="0.25">
      <c r="R1023" s="511"/>
      <c r="S1023" s="511"/>
      <c r="T1023" s="511"/>
      <c r="U1023" s="511"/>
      <c r="V1023" s="511"/>
      <c r="W1023" s="511"/>
      <c r="X1023" s="511"/>
      <c r="Y1023" s="511"/>
      <c r="Z1023" s="511"/>
      <c r="AA1023" s="511"/>
      <c r="AB1023" s="511"/>
      <c r="AC1023" s="511"/>
      <c r="AD1023" s="511"/>
    </row>
    <row r="1024" spans="18:30" x14ac:dyDescent="0.25">
      <c r="R1024" s="511"/>
      <c r="S1024" s="511"/>
      <c r="T1024" s="511"/>
      <c r="U1024" s="511"/>
      <c r="V1024" s="511"/>
      <c r="W1024" s="511"/>
      <c r="X1024" s="511"/>
      <c r="Y1024" s="511"/>
      <c r="Z1024" s="511"/>
      <c r="AA1024" s="511"/>
      <c r="AB1024" s="511"/>
      <c r="AC1024" s="511"/>
      <c r="AD1024" s="511"/>
    </row>
    <row r="1025" spans="18:30" x14ac:dyDescent="0.25">
      <c r="R1025" s="511"/>
      <c r="S1025" s="511"/>
      <c r="T1025" s="511"/>
      <c r="U1025" s="511"/>
      <c r="V1025" s="511"/>
      <c r="W1025" s="511"/>
      <c r="X1025" s="511"/>
      <c r="Y1025" s="511"/>
      <c r="Z1025" s="511"/>
      <c r="AA1025" s="511"/>
      <c r="AB1025" s="511"/>
      <c r="AC1025" s="511"/>
      <c r="AD1025" s="511"/>
    </row>
    <row r="1026" spans="18:30" x14ac:dyDescent="0.25">
      <c r="R1026" s="511"/>
      <c r="S1026" s="511"/>
      <c r="T1026" s="511"/>
      <c r="U1026" s="511"/>
      <c r="V1026" s="511"/>
      <c r="W1026" s="511"/>
      <c r="X1026" s="511"/>
      <c r="Y1026" s="511"/>
      <c r="Z1026" s="511"/>
      <c r="AA1026" s="511"/>
      <c r="AB1026" s="511"/>
      <c r="AC1026" s="511"/>
      <c r="AD1026" s="511"/>
    </row>
    <row r="1027" spans="18:30" x14ac:dyDescent="0.25">
      <c r="R1027" s="511"/>
      <c r="S1027" s="511"/>
      <c r="T1027" s="511"/>
      <c r="U1027" s="511"/>
      <c r="V1027" s="511"/>
      <c r="W1027" s="511"/>
      <c r="X1027" s="511"/>
      <c r="Y1027" s="511"/>
      <c r="Z1027" s="511"/>
      <c r="AA1027" s="511"/>
      <c r="AB1027" s="511"/>
      <c r="AC1027" s="511"/>
      <c r="AD1027" s="511"/>
    </row>
    <row r="1028" spans="18:30" x14ac:dyDescent="0.25">
      <c r="R1028" s="511"/>
      <c r="S1028" s="511"/>
      <c r="T1028" s="511"/>
      <c r="U1028" s="511"/>
      <c r="V1028" s="511"/>
      <c r="W1028" s="511"/>
      <c r="X1028" s="511"/>
      <c r="Y1028" s="511"/>
      <c r="Z1028" s="511"/>
      <c r="AA1028" s="511"/>
      <c r="AB1028" s="511"/>
      <c r="AC1028" s="511"/>
      <c r="AD1028" s="511"/>
    </row>
    <row r="1029" spans="18:30" x14ac:dyDescent="0.25">
      <c r="R1029" s="511"/>
      <c r="S1029" s="511"/>
      <c r="T1029" s="511"/>
      <c r="U1029" s="511"/>
      <c r="V1029" s="511"/>
      <c r="W1029" s="511"/>
      <c r="X1029" s="511"/>
      <c r="Y1029" s="511"/>
      <c r="Z1029" s="511"/>
      <c r="AA1029" s="511"/>
      <c r="AB1029" s="511"/>
      <c r="AC1029" s="511"/>
      <c r="AD1029" s="511"/>
    </row>
    <row r="1030" spans="18:30" x14ac:dyDescent="0.25">
      <c r="R1030" s="511"/>
      <c r="S1030" s="511"/>
      <c r="T1030" s="511"/>
      <c r="U1030" s="511"/>
      <c r="V1030" s="511"/>
      <c r="W1030" s="511"/>
      <c r="X1030" s="511"/>
      <c r="Y1030" s="511"/>
      <c r="Z1030" s="511"/>
      <c r="AA1030" s="511"/>
      <c r="AB1030" s="511"/>
      <c r="AC1030" s="511"/>
      <c r="AD1030" s="511"/>
    </row>
    <row r="1031" spans="18:30" x14ac:dyDescent="0.25">
      <c r="R1031" s="511"/>
      <c r="S1031" s="511"/>
      <c r="T1031" s="511"/>
      <c r="U1031" s="511"/>
      <c r="V1031" s="511"/>
      <c r="W1031" s="511"/>
      <c r="X1031" s="511"/>
      <c r="Y1031" s="511"/>
      <c r="Z1031" s="511"/>
      <c r="AA1031" s="511"/>
      <c r="AB1031" s="511"/>
      <c r="AC1031" s="511"/>
      <c r="AD1031" s="511"/>
    </row>
    <row r="1032" spans="18:30" x14ac:dyDescent="0.25">
      <c r="R1032" s="511"/>
      <c r="S1032" s="511"/>
      <c r="T1032" s="511"/>
      <c r="U1032" s="511"/>
      <c r="V1032" s="511"/>
      <c r="W1032" s="511"/>
      <c r="X1032" s="511"/>
      <c r="Y1032" s="511"/>
      <c r="Z1032" s="511"/>
      <c r="AA1032" s="511"/>
      <c r="AB1032" s="511"/>
      <c r="AC1032" s="511"/>
      <c r="AD1032" s="511"/>
    </row>
    <row r="1033" spans="18:30" x14ac:dyDescent="0.25">
      <c r="R1033" s="511"/>
      <c r="S1033" s="511"/>
      <c r="T1033" s="511"/>
      <c r="U1033" s="511"/>
      <c r="V1033" s="511"/>
      <c r="W1033" s="511"/>
      <c r="X1033" s="511"/>
      <c r="Y1033" s="511"/>
      <c r="Z1033" s="511"/>
      <c r="AA1033" s="511"/>
      <c r="AB1033" s="511"/>
      <c r="AC1033" s="511"/>
      <c r="AD1033" s="511"/>
    </row>
    <row r="1034" spans="18:30" x14ac:dyDescent="0.25">
      <c r="R1034" s="511"/>
      <c r="S1034" s="511"/>
      <c r="T1034" s="511"/>
      <c r="U1034" s="511"/>
      <c r="V1034" s="511"/>
      <c r="W1034" s="511"/>
      <c r="X1034" s="511"/>
      <c r="Y1034" s="511"/>
      <c r="Z1034" s="511"/>
      <c r="AA1034" s="511"/>
      <c r="AB1034" s="511"/>
      <c r="AC1034" s="511"/>
      <c r="AD1034" s="511"/>
    </row>
    <row r="1035" spans="18:30" x14ac:dyDescent="0.25">
      <c r="R1035" s="511"/>
      <c r="S1035" s="511"/>
      <c r="T1035" s="511"/>
      <c r="U1035" s="511"/>
      <c r="V1035" s="511"/>
      <c r="W1035" s="511"/>
      <c r="X1035" s="511"/>
      <c r="Y1035" s="511"/>
      <c r="Z1035" s="511"/>
      <c r="AA1035" s="511"/>
      <c r="AB1035" s="511"/>
      <c r="AC1035" s="511"/>
      <c r="AD1035" s="511"/>
    </row>
    <row r="1036" spans="18:30" x14ac:dyDescent="0.25">
      <c r="R1036" s="511"/>
      <c r="S1036" s="511"/>
      <c r="T1036" s="511"/>
      <c r="U1036" s="511"/>
      <c r="V1036" s="511"/>
      <c r="W1036" s="511"/>
      <c r="X1036" s="511"/>
      <c r="Y1036" s="511"/>
      <c r="Z1036" s="511"/>
      <c r="AA1036" s="511"/>
      <c r="AB1036" s="511"/>
      <c r="AC1036" s="511"/>
      <c r="AD1036" s="511"/>
    </row>
    <row r="1037" spans="18:30" x14ac:dyDescent="0.25">
      <c r="R1037" s="511"/>
      <c r="S1037" s="511"/>
      <c r="T1037" s="511"/>
      <c r="U1037" s="511"/>
      <c r="V1037" s="511"/>
      <c r="W1037" s="511"/>
      <c r="X1037" s="511"/>
      <c r="Y1037" s="511"/>
      <c r="Z1037" s="511"/>
      <c r="AA1037" s="511"/>
      <c r="AB1037" s="511"/>
      <c r="AC1037" s="511"/>
      <c r="AD1037" s="511"/>
    </row>
    <row r="1038" spans="18:30" x14ac:dyDescent="0.25">
      <c r="R1038" s="511"/>
      <c r="S1038" s="511"/>
      <c r="T1038" s="511"/>
      <c r="U1038" s="511"/>
      <c r="V1038" s="511"/>
      <c r="W1038" s="511"/>
      <c r="X1038" s="511"/>
      <c r="Y1038" s="511"/>
      <c r="Z1038" s="511"/>
      <c r="AA1038" s="511"/>
      <c r="AB1038" s="511"/>
      <c r="AC1038" s="511"/>
      <c r="AD1038" s="511"/>
    </row>
    <row r="1039" spans="18:30" x14ac:dyDescent="0.25">
      <c r="R1039" s="511"/>
      <c r="S1039" s="511"/>
      <c r="T1039" s="511"/>
      <c r="U1039" s="511"/>
      <c r="V1039" s="511"/>
      <c r="W1039" s="511"/>
      <c r="X1039" s="511"/>
      <c r="Y1039" s="511"/>
      <c r="Z1039" s="511"/>
      <c r="AA1039" s="511"/>
      <c r="AB1039" s="511"/>
      <c r="AC1039" s="511"/>
      <c r="AD1039" s="511"/>
    </row>
    <row r="1040" spans="18:30" x14ac:dyDescent="0.25">
      <c r="R1040" s="511"/>
      <c r="S1040" s="511"/>
      <c r="T1040" s="511"/>
      <c r="U1040" s="511"/>
      <c r="V1040" s="511"/>
      <c r="W1040" s="511"/>
      <c r="X1040" s="511"/>
      <c r="Y1040" s="511"/>
      <c r="Z1040" s="511"/>
      <c r="AA1040" s="511"/>
      <c r="AB1040" s="511"/>
      <c r="AC1040" s="511"/>
      <c r="AD1040" s="511"/>
    </row>
    <row r="1041" spans="18:30" x14ac:dyDescent="0.25">
      <c r="R1041" s="511"/>
      <c r="S1041" s="511"/>
      <c r="T1041" s="511"/>
      <c r="U1041" s="511"/>
      <c r="V1041" s="511"/>
      <c r="W1041" s="511"/>
      <c r="X1041" s="511"/>
      <c r="Y1041" s="511"/>
      <c r="Z1041" s="511"/>
      <c r="AA1041" s="511"/>
      <c r="AB1041" s="511"/>
      <c r="AC1041" s="511"/>
      <c r="AD1041" s="511"/>
    </row>
    <row r="1042" spans="18:30" x14ac:dyDescent="0.25">
      <c r="R1042" s="511"/>
      <c r="S1042" s="511"/>
      <c r="T1042" s="511"/>
      <c r="U1042" s="511"/>
      <c r="V1042" s="511"/>
      <c r="W1042" s="511"/>
      <c r="X1042" s="511"/>
      <c r="Y1042" s="511"/>
      <c r="Z1042" s="511"/>
      <c r="AA1042" s="511"/>
      <c r="AB1042" s="511"/>
      <c r="AC1042" s="511"/>
      <c r="AD1042" s="511"/>
    </row>
    <row r="1043" spans="18:30" x14ac:dyDescent="0.25">
      <c r="R1043" s="511"/>
      <c r="S1043" s="511"/>
      <c r="T1043" s="511"/>
      <c r="U1043" s="511"/>
      <c r="V1043" s="511"/>
      <c r="W1043" s="511"/>
      <c r="X1043" s="511"/>
      <c r="Y1043" s="511"/>
      <c r="Z1043" s="511"/>
      <c r="AA1043" s="511"/>
      <c r="AB1043" s="511"/>
      <c r="AC1043" s="511"/>
      <c r="AD1043" s="511"/>
    </row>
    <row r="1044" spans="18:30" x14ac:dyDescent="0.25">
      <c r="R1044" s="511"/>
      <c r="S1044" s="511"/>
      <c r="T1044" s="511"/>
      <c r="U1044" s="511"/>
      <c r="V1044" s="511"/>
      <c r="W1044" s="511"/>
      <c r="X1044" s="511"/>
      <c r="Y1044" s="511"/>
      <c r="Z1044" s="511"/>
      <c r="AA1044" s="511"/>
      <c r="AB1044" s="511"/>
      <c r="AC1044" s="511"/>
      <c r="AD1044" s="511"/>
    </row>
    <row r="1045" spans="18:30" x14ac:dyDescent="0.25">
      <c r="R1045" s="511"/>
      <c r="S1045" s="511"/>
      <c r="T1045" s="511"/>
      <c r="U1045" s="511"/>
      <c r="V1045" s="511"/>
      <c r="W1045" s="511"/>
      <c r="X1045" s="511"/>
      <c r="Y1045" s="511"/>
      <c r="Z1045" s="511"/>
      <c r="AA1045" s="511"/>
      <c r="AB1045" s="511"/>
      <c r="AC1045" s="511"/>
      <c r="AD1045" s="511"/>
    </row>
    <row r="1046" spans="18:30" x14ac:dyDescent="0.25">
      <c r="R1046" s="511"/>
      <c r="S1046" s="511"/>
      <c r="T1046" s="511"/>
      <c r="U1046" s="511"/>
      <c r="V1046" s="511"/>
      <c r="W1046" s="511"/>
      <c r="X1046" s="511"/>
      <c r="Y1046" s="511"/>
      <c r="Z1046" s="511"/>
      <c r="AA1046" s="511"/>
      <c r="AB1046" s="511"/>
      <c r="AC1046" s="511"/>
      <c r="AD1046" s="511"/>
    </row>
    <row r="1047" spans="18:30" x14ac:dyDescent="0.25">
      <c r="R1047" s="511"/>
      <c r="S1047" s="511"/>
      <c r="T1047" s="511"/>
      <c r="U1047" s="511"/>
      <c r="V1047" s="511"/>
      <c r="W1047" s="511"/>
      <c r="X1047" s="511"/>
      <c r="Y1047" s="511"/>
      <c r="Z1047" s="511"/>
      <c r="AA1047" s="511"/>
      <c r="AB1047" s="511"/>
      <c r="AC1047" s="511"/>
      <c r="AD1047" s="511"/>
    </row>
    <row r="1048" spans="18:30" x14ac:dyDescent="0.25">
      <c r="R1048" s="511"/>
      <c r="S1048" s="511"/>
      <c r="T1048" s="511"/>
      <c r="U1048" s="511"/>
      <c r="V1048" s="511"/>
      <c r="W1048" s="511"/>
      <c r="X1048" s="511"/>
      <c r="Y1048" s="511"/>
      <c r="Z1048" s="511"/>
      <c r="AA1048" s="511"/>
      <c r="AB1048" s="511"/>
      <c r="AC1048" s="511"/>
      <c r="AD1048" s="511"/>
    </row>
    <row r="1049" spans="18:30" x14ac:dyDescent="0.25">
      <c r="R1049" s="511"/>
      <c r="S1049" s="511"/>
      <c r="T1049" s="511"/>
      <c r="U1049" s="511"/>
      <c r="V1049" s="511"/>
      <c r="W1049" s="511"/>
      <c r="X1049" s="511"/>
      <c r="Y1049" s="511"/>
      <c r="Z1049" s="511"/>
      <c r="AA1049" s="511"/>
      <c r="AB1049" s="511"/>
      <c r="AC1049" s="511"/>
      <c r="AD1049" s="511"/>
    </row>
    <row r="1050" spans="18:30" x14ac:dyDescent="0.25">
      <c r="R1050" s="511"/>
      <c r="S1050" s="511"/>
      <c r="T1050" s="511"/>
      <c r="U1050" s="511"/>
      <c r="V1050" s="511"/>
      <c r="W1050" s="511"/>
      <c r="X1050" s="511"/>
      <c r="Y1050" s="511"/>
      <c r="Z1050" s="511"/>
      <c r="AA1050" s="511"/>
      <c r="AB1050" s="511"/>
      <c r="AC1050" s="511"/>
      <c r="AD1050" s="511"/>
    </row>
    <row r="1051" spans="18:30" x14ac:dyDescent="0.25">
      <c r="R1051" s="511"/>
      <c r="S1051" s="511"/>
      <c r="T1051" s="511"/>
      <c r="U1051" s="511"/>
      <c r="V1051" s="511"/>
      <c r="W1051" s="511"/>
      <c r="X1051" s="511"/>
      <c r="Y1051" s="511"/>
      <c r="Z1051" s="511"/>
      <c r="AA1051" s="511"/>
      <c r="AB1051" s="511"/>
      <c r="AC1051" s="511"/>
      <c r="AD1051" s="511"/>
    </row>
    <row r="1052" spans="18:30" x14ac:dyDescent="0.25">
      <c r="R1052" s="511"/>
      <c r="S1052" s="511"/>
      <c r="T1052" s="511"/>
      <c r="U1052" s="511"/>
      <c r="V1052" s="511"/>
      <c r="W1052" s="511"/>
      <c r="X1052" s="511"/>
      <c r="Y1052" s="511"/>
      <c r="Z1052" s="511"/>
      <c r="AA1052" s="511"/>
      <c r="AB1052" s="511"/>
      <c r="AC1052" s="511"/>
      <c r="AD1052" s="511"/>
    </row>
    <row r="1053" spans="18:30" x14ac:dyDescent="0.25">
      <c r="R1053" s="511"/>
      <c r="S1053" s="511"/>
      <c r="T1053" s="511"/>
      <c r="U1053" s="511"/>
      <c r="V1053" s="511"/>
      <c r="W1053" s="511"/>
      <c r="X1053" s="511"/>
      <c r="Y1053" s="511"/>
      <c r="Z1053" s="511"/>
      <c r="AA1053" s="511"/>
      <c r="AB1053" s="511"/>
      <c r="AC1053" s="511"/>
      <c r="AD1053" s="511"/>
    </row>
    <row r="1054" spans="18:30" x14ac:dyDescent="0.25">
      <c r="R1054" s="511"/>
      <c r="S1054" s="511"/>
      <c r="T1054" s="511"/>
      <c r="U1054" s="511"/>
      <c r="V1054" s="511"/>
      <c r="W1054" s="511"/>
      <c r="X1054" s="511"/>
      <c r="Y1054" s="511"/>
      <c r="Z1054" s="511"/>
      <c r="AA1054" s="511"/>
      <c r="AB1054" s="511"/>
      <c r="AC1054" s="511"/>
      <c r="AD1054" s="511"/>
    </row>
    <row r="1055" spans="18:30" x14ac:dyDescent="0.25">
      <c r="R1055" s="511"/>
      <c r="S1055" s="511"/>
      <c r="T1055" s="511"/>
      <c r="U1055" s="511"/>
      <c r="V1055" s="511"/>
      <c r="W1055" s="511"/>
      <c r="X1055" s="511"/>
      <c r="Y1055" s="511"/>
      <c r="Z1055" s="511"/>
      <c r="AA1055" s="511"/>
      <c r="AB1055" s="511"/>
      <c r="AC1055" s="511"/>
      <c r="AD1055" s="511"/>
    </row>
    <row r="1056" spans="18:30" x14ac:dyDescent="0.25">
      <c r="R1056" s="511"/>
      <c r="S1056" s="511"/>
      <c r="T1056" s="511"/>
      <c r="U1056" s="511"/>
      <c r="V1056" s="511"/>
      <c r="W1056" s="511"/>
      <c r="X1056" s="511"/>
      <c r="Y1056" s="511"/>
      <c r="Z1056" s="511"/>
      <c r="AA1056" s="511"/>
      <c r="AB1056" s="511"/>
      <c r="AC1056" s="511"/>
      <c r="AD1056" s="511"/>
    </row>
    <row r="1057" spans="18:30" x14ac:dyDescent="0.25">
      <c r="R1057" s="511"/>
      <c r="S1057" s="511"/>
      <c r="T1057" s="511"/>
      <c r="U1057" s="511"/>
      <c r="V1057" s="511"/>
      <c r="W1057" s="511"/>
      <c r="X1057" s="511"/>
      <c r="Y1057" s="511"/>
      <c r="Z1057" s="511"/>
      <c r="AA1057" s="511"/>
      <c r="AB1057" s="511"/>
      <c r="AC1057" s="511"/>
      <c r="AD1057" s="511"/>
    </row>
    <row r="1058" spans="18:30" x14ac:dyDescent="0.25">
      <c r="R1058" s="511"/>
      <c r="S1058" s="511"/>
      <c r="T1058" s="511"/>
      <c r="U1058" s="511"/>
      <c r="V1058" s="511"/>
      <c r="W1058" s="511"/>
      <c r="X1058" s="511"/>
      <c r="Y1058" s="511"/>
      <c r="Z1058" s="511"/>
      <c r="AA1058" s="511"/>
      <c r="AB1058" s="511"/>
      <c r="AC1058" s="511"/>
      <c r="AD1058" s="511"/>
    </row>
    <row r="1059" spans="18:30" x14ac:dyDescent="0.25">
      <c r="R1059" s="511"/>
      <c r="S1059" s="511"/>
      <c r="T1059" s="511"/>
      <c r="U1059" s="511"/>
      <c r="V1059" s="511"/>
      <c r="W1059" s="511"/>
      <c r="X1059" s="511"/>
      <c r="Y1059" s="511"/>
      <c r="Z1059" s="511"/>
      <c r="AA1059" s="511"/>
      <c r="AB1059" s="511"/>
      <c r="AC1059" s="511"/>
      <c r="AD1059" s="511"/>
    </row>
    <row r="1060" spans="18:30" x14ac:dyDescent="0.25">
      <c r="R1060" s="511"/>
      <c r="S1060" s="511"/>
      <c r="T1060" s="511"/>
      <c r="U1060" s="511"/>
      <c r="V1060" s="511"/>
      <c r="W1060" s="511"/>
      <c r="X1060" s="511"/>
      <c r="Y1060" s="511"/>
      <c r="Z1060" s="511"/>
      <c r="AA1060" s="511"/>
      <c r="AB1060" s="511"/>
      <c r="AC1060" s="511"/>
      <c r="AD1060" s="511"/>
    </row>
    <row r="1061" spans="18:30" x14ac:dyDescent="0.25">
      <c r="R1061" s="511"/>
      <c r="S1061" s="511"/>
      <c r="T1061" s="511"/>
      <c r="U1061" s="511"/>
      <c r="V1061" s="511"/>
      <c r="W1061" s="511"/>
      <c r="X1061" s="511"/>
      <c r="Y1061" s="511"/>
      <c r="Z1061" s="511"/>
      <c r="AA1061" s="511"/>
      <c r="AB1061" s="511"/>
      <c r="AC1061" s="511"/>
      <c r="AD1061" s="511"/>
    </row>
    <row r="1062" spans="18:30" x14ac:dyDescent="0.25">
      <c r="R1062" s="511"/>
      <c r="S1062" s="511"/>
      <c r="T1062" s="511"/>
      <c r="U1062" s="511"/>
      <c r="V1062" s="511"/>
      <c r="W1062" s="511"/>
      <c r="X1062" s="511"/>
      <c r="Y1062" s="511"/>
      <c r="Z1062" s="511"/>
      <c r="AA1062" s="511"/>
      <c r="AB1062" s="511"/>
      <c r="AC1062" s="511"/>
      <c r="AD1062" s="511"/>
    </row>
    <row r="1063" spans="18:30" x14ac:dyDescent="0.25">
      <c r="R1063" s="511"/>
      <c r="S1063" s="511"/>
      <c r="T1063" s="511"/>
      <c r="U1063" s="511"/>
      <c r="V1063" s="511"/>
      <c r="W1063" s="511"/>
      <c r="X1063" s="511"/>
      <c r="Y1063" s="511"/>
      <c r="Z1063" s="511"/>
      <c r="AA1063" s="511"/>
      <c r="AB1063" s="511"/>
      <c r="AC1063" s="511"/>
      <c r="AD1063" s="511"/>
    </row>
    <row r="1064" spans="18:30" x14ac:dyDescent="0.25">
      <c r="R1064" s="511"/>
      <c r="S1064" s="511"/>
      <c r="T1064" s="511"/>
      <c r="U1064" s="511"/>
      <c r="V1064" s="511"/>
      <c r="W1064" s="511"/>
      <c r="X1064" s="511"/>
      <c r="Y1064" s="511"/>
      <c r="Z1064" s="511"/>
      <c r="AA1064" s="511"/>
      <c r="AB1064" s="511"/>
      <c r="AC1064" s="511"/>
      <c r="AD1064" s="511"/>
    </row>
    <row r="1065" spans="18:30" x14ac:dyDescent="0.25">
      <c r="R1065" s="511"/>
      <c r="S1065" s="511"/>
      <c r="T1065" s="511"/>
      <c r="U1065" s="511"/>
      <c r="V1065" s="511"/>
      <c r="W1065" s="511"/>
      <c r="X1065" s="511"/>
      <c r="Y1065" s="511"/>
      <c r="Z1065" s="511"/>
      <c r="AA1065" s="511"/>
      <c r="AB1065" s="511"/>
      <c r="AC1065" s="511"/>
      <c r="AD1065" s="511"/>
    </row>
    <row r="1066" spans="18:30" x14ac:dyDescent="0.25">
      <c r="R1066" s="511"/>
      <c r="S1066" s="511"/>
      <c r="T1066" s="511"/>
      <c r="U1066" s="511"/>
      <c r="V1066" s="511"/>
      <c r="W1066" s="511"/>
      <c r="X1066" s="511"/>
      <c r="Y1066" s="511"/>
      <c r="Z1066" s="511"/>
      <c r="AA1066" s="511"/>
      <c r="AB1066" s="511"/>
      <c r="AC1066" s="511"/>
      <c r="AD1066" s="511"/>
    </row>
    <row r="1067" spans="18:30" x14ac:dyDescent="0.25">
      <c r="R1067" s="511"/>
      <c r="S1067" s="511"/>
      <c r="T1067" s="511"/>
      <c r="U1067" s="511"/>
      <c r="V1067" s="511"/>
      <c r="W1067" s="511"/>
      <c r="X1067" s="511"/>
      <c r="Y1067" s="511"/>
      <c r="Z1067" s="511"/>
      <c r="AA1067" s="511"/>
      <c r="AB1067" s="511"/>
      <c r="AC1067" s="511"/>
      <c r="AD1067" s="511"/>
    </row>
    <row r="1068" spans="18:30" x14ac:dyDescent="0.25">
      <c r="R1068" s="511"/>
      <c r="S1068" s="511"/>
      <c r="T1068" s="511"/>
      <c r="U1068" s="511"/>
      <c r="V1068" s="511"/>
      <c r="W1068" s="511"/>
      <c r="X1068" s="511"/>
      <c r="Y1068" s="511"/>
      <c r="Z1068" s="511"/>
      <c r="AA1068" s="511"/>
      <c r="AB1068" s="511"/>
      <c r="AC1068" s="511"/>
      <c r="AD1068" s="511"/>
    </row>
    <row r="1069" spans="18:30" x14ac:dyDescent="0.25">
      <c r="R1069" s="511"/>
      <c r="S1069" s="511"/>
      <c r="T1069" s="511"/>
      <c r="U1069" s="511"/>
      <c r="V1069" s="511"/>
      <c r="W1069" s="511"/>
      <c r="X1069" s="511"/>
      <c r="Y1069" s="511"/>
      <c r="Z1069" s="511"/>
      <c r="AA1069" s="511"/>
      <c r="AB1069" s="511"/>
      <c r="AC1069" s="511"/>
      <c r="AD1069" s="511"/>
    </row>
    <row r="1070" spans="18:30" x14ac:dyDescent="0.25">
      <c r="R1070" s="511"/>
      <c r="S1070" s="511"/>
      <c r="T1070" s="511"/>
      <c r="U1070" s="511"/>
      <c r="V1070" s="511"/>
      <c r="W1070" s="511"/>
      <c r="X1070" s="511"/>
      <c r="Y1070" s="511"/>
      <c r="Z1070" s="511"/>
      <c r="AA1070" s="511"/>
      <c r="AB1070" s="511"/>
      <c r="AC1070" s="511"/>
      <c r="AD1070" s="511"/>
    </row>
    <row r="1071" spans="18:30" x14ac:dyDescent="0.25">
      <c r="R1071" s="511"/>
      <c r="S1071" s="511"/>
      <c r="T1071" s="511"/>
      <c r="U1071" s="511"/>
      <c r="V1071" s="511"/>
      <c r="W1071" s="511"/>
      <c r="X1071" s="511"/>
      <c r="Y1071" s="511"/>
      <c r="Z1071" s="511"/>
      <c r="AA1071" s="511"/>
      <c r="AB1071" s="511"/>
      <c r="AC1071" s="511"/>
      <c r="AD1071" s="511"/>
    </row>
    <row r="1072" spans="18:30" x14ac:dyDescent="0.25">
      <c r="R1072" s="511"/>
      <c r="S1072" s="511"/>
      <c r="T1072" s="511"/>
      <c r="U1072" s="511"/>
      <c r="V1072" s="511"/>
      <c r="W1072" s="511"/>
      <c r="X1072" s="511"/>
      <c r="Y1072" s="511"/>
      <c r="Z1072" s="511"/>
      <c r="AA1072" s="511"/>
      <c r="AB1072" s="511"/>
      <c r="AC1072" s="511"/>
      <c r="AD1072" s="511"/>
    </row>
    <row r="1073" spans="18:30" x14ac:dyDescent="0.25">
      <c r="R1073" s="511"/>
      <c r="S1073" s="511"/>
      <c r="T1073" s="511"/>
      <c r="U1073" s="511"/>
      <c r="V1073" s="511"/>
      <c r="W1073" s="511"/>
      <c r="X1073" s="511"/>
      <c r="Y1073" s="511"/>
      <c r="Z1073" s="511"/>
      <c r="AA1073" s="511"/>
      <c r="AB1073" s="511"/>
      <c r="AC1073" s="511"/>
      <c r="AD1073" s="511"/>
    </row>
    <row r="1074" spans="18:30" x14ac:dyDescent="0.25">
      <c r="R1074" s="511"/>
      <c r="S1074" s="511"/>
      <c r="T1074" s="511"/>
      <c r="U1074" s="511"/>
      <c r="V1074" s="511"/>
      <c r="W1074" s="511"/>
      <c r="X1074" s="511"/>
      <c r="Y1074" s="511"/>
      <c r="Z1074" s="511"/>
      <c r="AA1074" s="511"/>
      <c r="AB1074" s="511"/>
      <c r="AC1074" s="511"/>
      <c r="AD1074" s="511"/>
    </row>
    <row r="1075" spans="18:30" x14ac:dyDescent="0.25">
      <c r="R1075" s="511"/>
      <c r="S1075" s="511"/>
      <c r="T1075" s="511"/>
      <c r="U1075" s="511"/>
      <c r="V1075" s="511"/>
      <c r="W1075" s="511"/>
      <c r="X1075" s="511"/>
      <c r="Y1075" s="511"/>
      <c r="Z1075" s="511"/>
      <c r="AA1075" s="511"/>
      <c r="AB1075" s="511"/>
      <c r="AC1075" s="511"/>
      <c r="AD1075" s="511"/>
    </row>
    <row r="1076" spans="18:30" x14ac:dyDescent="0.25">
      <c r="R1076" s="511"/>
      <c r="S1076" s="511"/>
      <c r="T1076" s="511"/>
      <c r="U1076" s="511"/>
      <c r="V1076" s="511"/>
      <c r="W1076" s="511"/>
      <c r="X1076" s="511"/>
      <c r="Y1076" s="511"/>
      <c r="Z1076" s="511"/>
      <c r="AA1076" s="511"/>
      <c r="AB1076" s="511"/>
      <c r="AC1076" s="511"/>
      <c r="AD1076" s="511"/>
    </row>
    <row r="1077" spans="18:30" x14ac:dyDescent="0.25">
      <c r="R1077" s="511"/>
      <c r="S1077" s="511"/>
      <c r="T1077" s="511"/>
      <c r="U1077" s="511"/>
      <c r="V1077" s="511"/>
      <c r="W1077" s="511"/>
      <c r="X1077" s="511"/>
      <c r="Y1077" s="511"/>
      <c r="Z1077" s="511"/>
      <c r="AA1077" s="511"/>
      <c r="AB1077" s="511"/>
      <c r="AC1077" s="511"/>
      <c r="AD1077" s="511"/>
    </row>
    <row r="1078" spans="18:30" x14ac:dyDescent="0.25">
      <c r="R1078" s="511"/>
      <c r="S1078" s="511"/>
      <c r="T1078" s="511"/>
      <c r="U1078" s="511"/>
      <c r="V1078" s="511"/>
      <c r="W1078" s="511"/>
      <c r="X1078" s="511"/>
      <c r="Y1078" s="511"/>
      <c r="Z1078" s="511"/>
      <c r="AA1078" s="511"/>
      <c r="AB1078" s="511"/>
      <c r="AC1078" s="511"/>
      <c r="AD1078" s="511"/>
    </row>
    <row r="1079" spans="18:30" x14ac:dyDescent="0.25">
      <c r="R1079" s="511"/>
      <c r="S1079" s="511"/>
      <c r="T1079" s="511"/>
      <c r="U1079" s="511"/>
      <c r="V1079" s="511"/>
      <c r="W1079" s="511"/>
      <c r="X1079" s="511"/>
      <c r="Y1079" s="511"/>
      <c r="Z1079" s="511"/>
      <c r="AA1079" s="511"/>
      <c r="AB1079" s="511"/>
      <c r="AC1079" s="511"/>
      <c r="AD1079" s="511"/>
    </row>
    <row r="1080" spans="18:30" x14ac:dyDescent="0.25">
      <c r="R1080" s="511"/>
      <c r="S1080" s="511"/>
      <c r="T1080" s="511"/>
      <c r="U1080" s="511"/>
      <c r="V1080" s="511"/>
      <c r="W1080" s="511"/>
      <c r="X1080" s="511"/>
      <c r="Y1080" s="511"/>
      <c r="Z1080" s="511"/>
      <c r="AA1080" s="511"/>
      <c r="AB1080" s="511"/>
      <c r="AC1080" s="511"/>
      <c r="AD1080" s="511"/>
    </row>
    <row r="1081" spans="18:30" x14ac:dyDescent="0.25">
      <c r="R1081" s="511"/>
      <c r="S1081" s="511"/>
      <c r="T1081" s="511"/>
      <c r="U1081" s="511"/>
      <c r="V1081" s="511"/>
      <c r="W1081" s="511"/>
      <c r="X1081" s="511"/>
      <c r="Y1081" s="511"/>
      <c r="Z1081" s="511"/>
      <c r="AA1081" s="511"/>
      <c r="AB1081" s="511"/>
      <c r="AC1081" s="511"/>
      <c r="AD1081" s="511"/>
    </row>
    <row r="1082" spans="18:30" x14ac:dyDescent="0.25">
      <c r="R1082" s="511"/>
      <c r="S1082" s="511"/>
      <c r="T1082" s="511"/>
      <c r="U1082" s="511"/>
      <c r="V1082" s="511"/>
      <c r="W1082" s="511"/>
      <c r="X1082" s="511"/>
      <c r="Y1082" s="511"/>
      <c r="Z1082" s="511"/>
      <c r="AA1082" s="511"/>
      <c r="AB1082" s="511"/>
      <c r="AC1082" s="511"/>
      <c r="AD1082" s="511"/>
    </row>
    <row r="1083" spans="18:30" x14ac:dyDescent="0.25">
      <c r="R1083" s="511"/>
      <c r="S1083" s="511"/>
      <c r="T1083" s="511"/>
      <c r="U1083" s="511"/>
      <c r="V1083" s="511"/>
      <c r="W1083" s="511"/>
      <c r="X1083" s="511"/>
      <c r="Y1083" s="511"/>
      <c r="Z1083" s="511"/>
      <c r="AA1083" s="511"/>
      <c r="AB1083" s="511"/>
      <c r="AC1083" s="511"/>
      <c r="AD1083" s="511"/>
    </row>
    <row r="1084" spans="18:30" x14ac:dyDescent="0.25">
      <c r="R1084" s="511"/>
      <c r="S1084" s="511"/>
      <c r="T1084" s="511"/>
      <c r="U1084" s="511"/>
      <c r="V1084" s="511"/>
      <c r="W1084" s="511"/>
      <c r="X1084" s="511"/>
      <c r="Y1084" s="511"/>
      <c r="Z1084" s="511"/>
      <c r="AA1084" s="511"/>
      <c r="AB1084" s="511"/>
      <c r="AC1084" s="511"/>
      <c r="AD1084" s="511"/>
    </row>
    <row r="1085" spans="18:30" x14ac:dyDescent="0.25">
      <c r="R1085" s="511"/>
      <c r="S1085" s="511"/>
      <c r="T1085" s="511"/>
      <c r="U1085" s="511"/>
      <c r="V1085" s="511"/>
      <c r="W1085" s="511"/>
      <c r="X1085" s="511"/>
      <c r="Y1085" s="511"/>
      <c r="Z1085" s="511"/>
      <c r="AA1085" s="511"/>
      <c r="AB1085" s="511"/>
      <c r="AC1085" s="511"/>
      <c r="AD1085" s="511"/>
    </row>
    <row r="1086" spans="18:30" x14ac:dyDescent="0.25">
      <c r="R1086" s="511"/>
      <c r="S1086" s="511"/>
      <c r="T1086" s="511"/>
      <c r="U1086" s="511"/>
      <c r="V1086" s="511"/>
      <c r="W1086" s="511"/>
      <c r="X1086" s="511"/>
      <c r="Y1086" s="511"/>
      <c r="Z1086" s="511"/>
      <c r="AA1086" s="511"/>
      <c r="AB1086" s="511"/>
      <c r="AC1086" s="511"/>
      <c r="AD1086" s="511"/>
    </row>
    <row r="1087" spans="18:30" x14ac:dyDescent="0.25">
      <c r="R1087" s="511"/>
      <c r="S1087" s="511"/>
      <c r="T1087" s="511"/>
      <c r="U1087" s="511"/>
      <c r="V1087" s="511"/>
      <c r="W1087" s="511"/>
      <c r="X1087" s="511"/>
      <c r="Y1087" s="511"/>
      <c r="Z1087" s="511"/>
      <c r="AA1087" s="511"/>
      <c r="AB1087" s="511"/>
      <c r="AC1087" s="511"/>
      <c r="AD1087" s="511"/>
    </row>
    <row r="1088" spans="18:30" x14ac:dyDescent="0.25">
      <c r="R1088" s="511"/>
      <c r="S1088" s="511"/>
      <c r="T1088" s="511"/>
      <c r="U1088" s="511"/>
      <c r="V1088" s="511"/>
      <c r="W1088" s="511"/>
      <c r="X1088" s="511"/>
      <c r="Y1088" s="511"/>
      <c r="Z1088" s="511"/>
      <c r="AA1088" s="511"/>
      <c r="AB1088" s="511"/>
      <c r="AC1088" s="511"/>
      <c r="AD1088" s="511"/>
    </row>
    <row r="1089" spans="18:30" x14ac:dyDescent="0.25">
      <c r="R1089" s="511"/>
      <c r="S1089" s="511"/>
      <c r="T1089" s="511"/>
      <c r="U1089" s="511"/>
      <c r="V1089" s="511"/>
      <c r="W1089" s="511"/>
      <c r="X1089" s="511"/>
      <c r="Y1089" s="511"/>
      <c r="Z1089" s="511"/>
      <c r="AA1089" s="511"/>
      <c r="AB1089" s="511"/>
      <c r="AC1089" s="511"/>
      <c r="AD1089" s="511"/>
    </row>
    <row r="1090" spans="18:30" x14ac:dyDescent="0.25">
      <c r="R1090" s="511"/>
      <c r="S1090" s="511"/>
      <c r="T1090" s="511"/>
      <c r="U1090" s="511"/>
      <c r="V1090" s="511"/>
      <c r="W1090" s="511"/>
      <c r="X1090" s="511"/>
      <c r="Y1090" s="511"/>
      <c r="Z1090" s="511"/>
      <c r="AA1090" s="511"/>
      <c r="AB1090" s="511"/>
      <c r="AC1090" s="511"/>
      <c r="AD1090" s="511"/>
    </row>
    <row r="1091" spans="18:30" x14ac:dyDescent="0.25">
      <c r="R1091" s="511"/>
      <c r="S1091" s="511"/>
      <c r="T1091" s="511"/>
      <c r="U1091" s="511"/>
      <c r="V1091" s="511"/>
      <c r="W1091" s="511"/>
      <c r="X1091" s="511"/>
      <c r="Y1091" s="511"/>
      <c r="Z1091" s="511"/>
      <c r="AA1091" s="511"/>
      <c r="AB1091" s="511"/>
      <c r="AC1091" s="511"/>
      <c r="AD1091" s="511"/>
    </row>
    <row r="1092" spans="18:30" x14ac:dyDescent="0.25">
      <c r="R1092" s="511"/>
      <c r="S1092" s="511"/>
      <c r="T1092" s="511"/>
      <c r="U1092" s="511"/>
      <c r="V1092" s="511"/>
      <c r="W1092" s="511"/>
      <c r="X1092" s="511"/>
      <c r="Y1092" s="511"/>
      <c r="Z1092" s="511"/>
      <c r="AA1092" s="511"/>
      <c r="AB1092" s="511"/>
      <c r="AC1092" s="511"/>
      <c r="AD1092" s="511"/>
    </row>
    <row r="1093" spans="18:30" x14ac:dyDescent="0.25">
      <c r="R1093" s="511"/>
      <c r="S1093" s="511"/>
      <c r="T1093" s="511"/>
      <c r="U1093" s="511"/>
      <c r="V1093" s="511"/>
      <c r="W1093" s="511"/>
      <c r="X1093" s="511"/>
      <c r="Y1093" s="511"/>
      <c r="Z1093" s="511"/>
      <c r="AA1093" s="511"/>
      <c r="AB1093" s="511"/>
      <c r="AC1093" s="511"/>
      <c r="AD1093" s="511"/>
    </row>
    <row r="1094" spans="18:30" x14ac:dyDescent="0.25">
      <c r="R1094" s="511"/>
      <c r="S1094" s="511"/>
      <c r="T1094" s="511"/>
      <c r="U1094" s="511"/>
      <c r="V1094" s="511"/>
      <c r="W1094" s="511"/>
      <c r="X1094" s="511"/>
      <c r="Y1094" s="511"/>
      <c r="Z1094" s="511"/>
      <c r="AA1094" s="511"/>
      <c r="AB1094" s="511"/>
      <c r="AC1094" s="511"/>
      <c r="AD1094" s="511"/>
    </row>
    <row r="1095" spans="18:30" x14ac:dyDescent="0.25">
      <c r="R1095" s="511"/>
      <c r="S1095" s="511"/>
      <c r="T1095" s="511"/>
      <c r="U1095" s="511"/>
      <c r="V1095" s="511"/>
      <c r="W1095" s="511"/>
      <c r="X1095" s="511"/>
      <c r="Y1095" s="511"/>
      <c r="Z1095" s="511"/>
      <c r="AA1095" s="511"/>
      <c r="AB1095" s="511"/>
      <c r="AC1095" s="511"/>
      <c r="AD1095" s="511"/>
    </row>
    <row r="1096" spans="18:30" x14ac:dyDescent="0.25">
      <c r="R1096" s="511"/>
      <c r="S1096" s="511"/>
      <c r="T1096" s="511"/>
      <c r="U1096" s="511"/>
      <c r="V1096" s="511"/>
      <c r="W1096" s="511"/>
      <c r="X1096" s="511"/>
      <c r="Y1096" s="511"/>
      <c r="Z1096" s="511"/>
      <c r="AA1096" s="511"/>
      <c r="AB1096" s="511"/>
      <c r="AC1096" s="511"/>
      <c r="AD1096" s="511"/>
    </row>
    <row r="1097" spans="18:30" x14ac:dyDescent="0.25">
      <c r="R1097" s="511"/>
      <c r="S1097" s="511"/>
      <c r="T1097" s="511"/>
      <c r="U1097" s="511"/>
      <c r="V1097" s="511"/>
      <c r="W1097" s="511"/>
      <c r="X1097" s="511"/>
      <c r="Y1097" s="511"/>
      <c r="Z1097" s="511"/>
      <c r="AA1097" s="511"/>
      <c r="AB1097" s="511"/>
      <c r="AC1097" s="511"/>
      <c r="AD1097" s="511"/>
    </row>
    <row r="1098" spans="18:30" x14ac:dyDescent="0.25">
      <c r="R1098" s="511"/>
      <c r="S1098" s="511"/>
      <c r="T1098" s="511"/>
      <c r="U1098" s="511"/>
      <c r="V1098" s="511"/>
      <c r="W1098" s="511"/>
      <c r="X1098" s="511"/>
      <c r="Y1098" s="511"/>
      <c r="Z1098" s="511"/>
      <c r="AA1098" s="511"/>
      <c r="AB1098" s="511"/>
      <c r="AC1098" s="511"/>
      <c r="AD1098" s="511"/>
    </row>
    <row r="1099" spans="18:30" x14ac:dyDescent="0.25">
      <c r="R1099" s="511"/>
      <c r="S1099" s="511"/>
      <c r="T1099" s="511"/>
      <c r="U1099" s="511"/>
      <c r="V1099" s="511"/>
      <c r="W1099" s="511"/>
      <c r="X1099" s="511"/>
      <c r="Y1099" s="511"/>
      <c r="Z1099" s="511"/>
      <c r="AA1099" s="511"/>
      <c r="AB1099" s="511"/>
      <c r="AC1099" s="511"/>
      <c r="AD1099" s="511"/>
    </row>
    <row r="1100" spans="18:30" x14ac:dyDescent="0.25">
      <c r="R1100" s="511"/>
      <c r="S1100" s="511"/>
      <c r="T1100" s="511"/>
      <c r="U1100" s="511"/>
      <c r="V1100" s="511"/>
      <c r="W1100" s="511"/>
      <c r="X1100" s="511"/>
      <c r="Y1100" s="511"/>
      <c r="Z1100" s="511"/>
      <c r="AA1100" s="511"/>
      <c r="AB1100" s="511"/>
      <c r="AC1100" s="511"/>
      <c r="AD1100" s="511"/>
    </row>
    <row r="1101" spans="18:30" x14ac:dyDescent="0.25">
      <c r="R1101" s="511"/>
      <c r="S1101" s="511"/>
      <c r="T1101" s="511"/>
      <c r="U1101" s="511"/>
      <c r="V1101" s="511"/>
      <c r="W1101" s="511"/>
      <c r="X1101" s="511"/>
      <c r="Y1101" s="511"/>
      <c r="Z1101" s="511"/>
      <c r="AA1101" s="511"/>
      <c r="AB1101" s="511"/>
      <c r="AC1101" s="511"/>
      <c r="AD1101" s="511"/>
    </row>
    <row r="1102" spans="18:30" x14ac:dyDescent="0.25">
      <c r="R1102" s="511"/>
      <c r="S1102" s="511"/>
      <c r="T1102" s="511"/>
      <c r="U1102" s="511"/>
      <c r="V1102" s="511"/>
      <c r="W1102" s="511"/>
      <c r="X1102" s="511"/>
      <c r="Y1102" s="511"/>
      <c r="Z1102" s="511"/>
      <c r="AA1102" s="511"/>
      <c r="AB1102" s="511"/>
      <c r="AC1102" s="511"/>
      <c r="AD1102" s="511"/>
    </row>
    <row r="1103" spans="18:30" x14ac:dyDescent="0.25">
      <c r="R1103" s="511"/>
      <c r="S1103" s="511"/>
      <c r="T1103" s="511"/>
      <c r="U1103" s="511"/>
      <c r="V1103" s="511"/>
      <c r="W1103" s="511"/>
      <c r="X1103" s="511"/>
      <c r="Y1103" s="511"/>
      <c r="Z1103" s="511"/>
      <c r="AA1103" s="511"/>
      <c r="AB1103" s="511"/>
      <c r="AC1103" s="511"/>
      <c r="AD1103" s="511"/>
    </row>
    <row r="1104" spans="18:30" x14ac:dyDescent="0.25">
      <c r="R1104" s="511"/>
      <c r="S1104" s="511"/>
      <c r="T1104" s="511"/>
      <c r="U1104" s="511"/>
      <c r="V1104" s="511"/>
      <c r="W1104" s="511"/>
      <c r="X1104" s="511"/>
      <c r="Y1104" s="511"/>
      <c r="Z1104" s="511"/>
      <c r="AA1104" s="511"/>
      <c r="AB1104" s="511"/>
      <c r="AC1104" s="511"/>
      <c r="AD1104" s="511"/>
    </row>
    <row r="1105" spans="18:30" x14ac:dyDescent="0.25">
      <c r="R1105" s="511"/>
      <c r="S1105" s="511"/>
      <c r="T1105" s="511"/>
      <c r="U1105" s="511"/>
      <c r="V1105" s="511"/>
      <c r="W1105" s="511"/>
      <c r="X1105" s="511"/>
      <c r="Y1105" s="511"/>
      <c r="Z1105" s="511"/>
      <c r="AA1105" s="511"/>
      <c r="AB1105" s="511"/>
      <c r="AC1105" s="511"/>
      <c r="AD1105" s="511"/>
    </row>
    <row r="1106" spans="18:30" x14ac:dyDescent="0.25">
      <c r="R1106" s="511"/>
      <c r="S1106" s="511"/>
      <c r="T1106" s="511"/>
      <c r="U1106" s="511"/>
      <c r="V1106" s="511"/>
      <c r="W1106" s="511"/>
      <c r="X1106" s="511"/>
      <c r="Y1106" s="511"/>
      <c r="Z1106" s="511"/>
      <c r="AA1106" s="511"/>
      <c r="AB1106" s="511"/>
      <c r="AC1106" s="511"/>
      <c r="AD1106" s="511"/>
    </row>
    <row r="1107" spans="18:30" x14ac:dyDescent="0.25">
      <c r="R1107" s="511"/>
      <c r="S1107" s="511"/>
      <c r="T1107" s="511"/>
      <c r="U1107" s="511"/>
      <c r="V1107" s="511"/>
      <c r="W1107" s="511"/>
      <c r="X1107" s="511"/>
      <c r="Y1107" s="511"/>
      <c r="Z1107" s="511"/>
      <c r="AA1107" s="511"/>
      <c r="AB1107" s="511"/>
      <c r="AC1107" s="511"/>
      <c r="AD1107" s="511"/>
    </row>
    <row r="1108" spans="18:30" x14ac:dyDescent="0.25">
      <c r="R1108" s="511"/>
      <c r="S1108" s="511"/>
      <c r="T1108" s="511"/>
      <c r="U1108" s="511"/>
      <c r="V1108" s="511"/>
      <c r="W1108" s="511"/>
      <c r="X1108" s="511"/>
      <c r="Y1108" s="511"/>
      <c r="Z1108" s="511"/>
      <c r="AA1108" s="511"/>
      <c r="AB1108" s="511"/>
      <c r="AC1108" s="511"/>
      <c r="AD1108" s="511"/>
    </row>
    <row r="1109" spans="18:30" x14ac:dyDescent="0.25">
      <c r="R1109" s="511"/>
      <c r="S1109" s="511"/>
      <c r="T1109" s="511"/>
      <c r="U1109" s="511"/>
      <c r="V1109" s="511"/>
      <c r="W1109" s="511"/>
      <c r="X1109" s="511"/>
      <c r="Y1109" s="511"/>
      <c r="Z1109" s="511"/>
      <c r="AA1109" s="511"/>
      <c r="AB1109" s="511"/>
      <c r="AC1109" s="511"/>
      <c r="AD1109" s="511"/>
    </row>
    <row r="1110" spans="18:30" x14ac:dyDescent="0.25">
      <c r="R1110" s="511"/>
      <c r="S1110" s="511"/>
      <c r="T1110" s="511"/>
      <c r="U1110" s="511"/>
      <c r="V1110" s="511"/>
      <c r="W1110" s="511"/>
      <c r="X1110" s="511"/>
      <c r="Y1110" s="511"/>
      <c r="Z1110" s="511"/>
      <c r="AA1110" s="511"/>
      <c r="AB1110" s="511"/>
      <c r="AC1110" s="511"/>
      <c r="AD1110" s="511"/>
    </row>
    <row r="1111" spans="18:30" x14ac:dyDescent="0.25">
      <c r="R1111" s="511"/>
      <c r="S1111" s="511"/>
      <c r="T1111" s="511"/>
      <c r="U1111" s="511"/>
      <c r="V1111" s="511"/>
      <c r="W1111" s="511"/>
      <c r="X1111" s="511"/>
      <c r="Y1111" s="511"/>
      <c r="Z1111" s="511"/>
      <c r="AA1111" s="511"/>
      <c r="AB1111" s="511"/>
      <c r="AC1111" s="511"/>
      <c r="AD1111" s="511"/>
    </row>
    <row r="1112" spans="18:30" x14ac:dyDescent="0.25">
      <c r="R1112" s="511"/>
      <c r="S1112" s="511"/>
      <c r="T1112" s="511"/>
      <c r="U1112" s="511"/>
      <c r="V1112" s="511"/>
      <c r="W1112" s="511"/>
      <c r="X1112" s="511"/>
      <c r="Y1112" s="511"/>
      <c r="Z1112" s="511"/>
      <c r="AA1112" s="511"/>
      <c r="AB1112" s="511"/>
      <c r="AC1112" s="511"/>
      <c r="AD1112" s="511"/>
    </row>
    <row r="1113" spans="18:30" x14ac:dyDescent="0.25">
      <c r="R1113" s="511"/>
      <c r="S1113" s="511"/>
      <c r="T1113" s="511"/>
      <c r="U1113" s="511"/>
      <c r="V1113" s="511"/>
      <c r="W1113" s="511"/>
      <c r="X1113" s="511"/>
      <c r="Y1113" s="511"/>
      <c r="Z1113" s="511"/>
      <c r="AA1113" s="511"/>
      <c r="AB1113" s="511"/>
      <c r="AC1113" s="511"/>
      <c r="AD1113" s="511"/>
    </row>
    <row r="1114" spans="18:30" x14ac:dyDescent="0.25">
      <c r="R1114" s="511"/>
      <c r="S1114" s="511"/>
      <c r="T1114" s="511"/>
      <c r="U1114" s="511"/>
      <c r="V1114" s="511"/>
      <c r="W1114" s="511"/>
      <c r="X1114" s="511"/>
      <c r="Y1114" s="511"/>
      <c r="Z1114" s="511"/>
      <c r="AA1114" s="511"/>
      <c r="AB1114" s="511"/>
      <c r="AC1114" s="511"/>
      <c r="AD1114" s="511"/>
    </row>
    <row r="1115" spans="18:30" x14ac:dyDescent="0.25">
      <c r="R1115" s="511"/>
      <c r="S1115" s="511"/>
      <c r="T1115" s="511"/>
      <c r="U1115" s="511"/>
      <c r="V1115" s="511"/>
      <c r="W1115" s="511"/>
      <c r="X1115" s="511"/>
      <c r="Y1115" s="511"/>
      <c r="Z1115" s="511"/>
      <c r="AA1115" s="511"/>
      <c r="AB1115" s="511"/>
      <c r="AC1115" s="511"/>
      <c r="AD1115" s="511"/>
    </row>
    <row r="1116" spans="18:30" x14ac:dyDescent="0.25">
      <c r="R1116" s="511"/>
      <c r="S1116" s="511"/>
      <c r="T1116" s="511"/>
      <c r="U1116" s="511"/>
      <c r="V1116" s="511"/>
      <c r="W1116" s="511"/>
      <c r="X1116" s="511"/>
      <c r="Y1116" s="511"/>
      <c r="Z1116" s="511"/>
      <c r="AA1116" s="511"/>
      <c r="AB1116" s="511"/>
      <c r="AC1116" s="511"/>
      <c r="AD1116" s="511"/>
    </row>
    <row r="1117" spans="18:30" x14ac:dyDescent="0.25">
      <c r="R1117" s="511"/>
      <c r="S1117" s="511"/>
      <c r="T1117" s="511"/>
      <c r="U1117" s="511"/>
      <c r="V1117" s="511"/>
      <c r="W1117" s="511"/>
      <c r="X1117" s="511"/>
      <c r="Y1117" s="511"/>
      <c r="Z1117" s="511"/>
      <c r="AA1117" s="511"/>
      <c r="AB1117" s="511"/>
      <c r="AC1117" s="511"/>
      <c r="AD1117" s="511"/>
    </row>
    <row r="1118" spans="18:30" x14ac:dyDescent="0.25">
      <c r="R1118" s="511"/>
      <c r="S1118" s="511"/>
      <c r="T1118" s="511"/>
      <c r="U1118" s="511"/>
      <c r="V1118" s="511"/>
      <c r="W1118" s="511"/>
      <c r="X1118" s="511"/>
      <c r="Y1118" s="511"/>
      <c r="Z1118" s="511"/>
      <c r="AA1118" s="511"/>
      <c r="AB1118" s="511"/>
      <c r="AC1118" s="511"/>
      <c r="AD1118" s="511"/>
    </row>
    <row r="1119" spans="18:30" x14ac:dyDescent="0.25">
      <c r="R1119" s="511"/>
      <c r="S1119" s="511"/>
      <c r="T1119" s="511"/>
      <c r="U1119" s="511"/>
      <c r="V1119" s="511"/>
      <c r="W1119" s="511"/>
      <c r="X1119" s="511"/>
      <c r="Y1119" s="511"/>
      <c r="Z1119" s="511"/>
      <c r="AA1119" s="511"/>
      <c r="AB1119" s="511"/>
      <c r="AC1119" s="511"/>
      <c r="AD1119" s="511"/>
    </row>
    <row r="1120" spans="18:30" x14ac:dyDescent="0.25">
      <c r="R1120" s="511"/>
      <c r="S1120" s="511"/>
      <c r="T1120" s="511"/>
      <c r="U1120" s="511"/>
      <c r="V1120" s="511"/>
      <c r="W1120" s="511"/>
      <c r="X1120" s="511"/>
      <c r="Y1120" s="511"/>
      <c r="Z1120" s="511"/>
      <c r="AA1120" s="511"/>
      <c r="AB1120" s="511"/>
      <c r="AC1120" s="511"/>
      <c r="AD1120" s="511"/>
    </row>
    <row r="1121" spans="18:30" x14ac:dyDescent="0.25">
      <c r="R1121" s="511"/>
      <c r="S1121" s="511"/>
      <c r="T1121" s="511"/>
      <c r="U1121" s="511"/>
      <c r="V1121" s="511"/>
      <c r="W1121" s="511"/>
      <c r="X1121" s="511"/>
      <c r="Y1121" s="511"/>
      <c r="Z1121" s="511"/>
      <c r="AA1121" s="511"/>
      <c r="AB1121" s="511"/>
      <c r="AC1121" s="511"/>
      <c r="AD1121" s="511"/>
    </row>
    <row r="1122" spans="18:30" x14ac:dyDescent="0.25">
      <c r="R1122" s="511"/>
      <c r="S1122" s="511"/>
      <c r="T1122" s="511"/>
      <c r="U1122" s="511"/>
      <c r="V1122" s="511"/>
      <c r="W1122" s="511"/>
      <c r="X1122" s="511"/>
      <c r="Y1122" s="511"/>
      <c r="Z1122" s="511"/>
      <c r="AA1122" s="511"/>
      <c r="AB1122" s="511"/>
      <c r="AC1122" s="511"/>
      <c r="AD1122" s="511"/>
    </row>
    <row r="1123" spans="18:30" x14ac:dyDescent="0.25">
      <c r="R1123" s="511"/>
      <c r="S1123" s="511"/>
      <c r="T1123" s="511"/>
      <c r="U1123" s="511"/>
      <c r="V1123" s="511"/>
      <c r="W1123" s="511"/>
      <c r="X1123" s="511"/>
      <c r="Y1123" s="511"/>
      <c r="Z1123" s="511"/>
      <c r="AA1123" s="511"/>
      <c r="AB1123" s="511"/>
      <c r="AC1123" s="511"/>
      <c r="AD1123" s="511"/>
    </row>
    <row r="1124" spans="18:30" x14ac:dyDescent="0.25">
      <c r="R1124" s="511"/>
      <c r="S1124" s="511"/>
      <c r="T1124" s="511"/>
      <c r="U1124" s="511"/>
      <c r="V1124" s="511"/>
      <c r="W1124" s="511"/>
      <c r="X1124" s="511"/>
      <c r="Y1124" s="511"/>
      <c r="Z1124" s="511"/>
      <c r="AA1124" s="511"/>
      <c r="AB1124" s="511"/>
      <c r="AC1124" s="511"/>
      <c r="AD1124" s="511"/>
    </row>
    <row r="1125" spans="18:30" x14ac:dyDescent="0.25">
      <c r="R1125" s="511"/>
      <c r="S1125" s="511"/>
      <c r="T1125" s="511"/>
      <c r="U1125" s="511"/>
      <c r="V1125" s="511"/>
      <c r="W1125" s="511"/>
      <c r="X1125" s="511"/>
      <c r="Y1125" s="511"/>
      <c r="Z1125" s="511"/>
      <c r="AA1125" s="511"/>
      <c r="AB1125" s="511"/>
      <c r="AC1125" s="511"/>
      <c r="AD1125" s="511"/>
    </row>
    <row r="1126" spans="18:30" x14ac:dyDescent="0.25">
      <c r="R1126" s="511"/>
      <c r="S1126" s="511"/>
      <c r="T1126" s="511"/>
      <c r="U1126" s="511"/>
      <c r="V1126" s="511"/>
      <c r="W1126" s="511"/>
      <c r="X1126" s="511"/>
      <c r="Y1126" s="511"/>
      <c r="Z1126" s="511"/>
      <c r="AA1126" s="511"/>
      <c r="AB1126" s="511"/>
      <c r="AC1126" s="511"/>
      <c r="AD1126" s="511"/>
    </row>
    <row r="1127" spans="18:30" x14ac:dyDescent="0.25">
      <c r="R1127" s="511"/>
      <c r="S1127" s="511"/>
      <c r="T1127" s="511"/>
      <c r="U1127" s="511"/>
      <c r="V1127" s="511"/>
      <c r="W1127" s="511"/>
      <c r="X1127" s="511"/>
      <c r="Y1127" s="511"/>
      <c r="Z1127" s="511"/>
      <c r="AA1127" s="511"/>
      <c r="AB1127" s="511"/>
      <c r="AC1127" s="511"/>
      <c r="AD1127" s="511"/>
    </row>
    <row r="1128" spans="18:30" x14ac:dyDescent="0.25">
      <c r="R1128" s="511"/>
      <c r="S1128" s="511"/>
      <c r="T1128" s="511"/>
      <c r="U1128" s="511"/>
      <c r="V1128" s="511"/>
      <c r="W1128" s="511"/>
      <c r="X1128" s="511"/>
      <c r="Y1128" s="511"/>
      <c r="Z1128" s="511"/>
      <c r="AA1128" s="511"/>
      <c r="AB1128" s="511"/>
      <c r="AC1128" s="511"/>
      <c r="AD1128" s="511"/>
    </row>
    <row r="1129" spans="18:30" x14ac:dyDescent="0.25">
      <c r="R1129" s="511"/>
      <c r="S1129" s="511"/>
      <c r="T1129" s="511"/>
      <c r="U1129" s="511"/>
      <c r="V1129" s="511"/>
      <c r="W1129" s="511"/>
      <c r="X1129" s="511"/>
      <c r="Y1129" s="511"/>
      <c r="Z1129" s="511"/>
      <c r="AA1129" s="511"/>
      <c r="AB1129" s="511"/>
      <c r="AC1129" s="511"/>
      <c r="AD1129" s="511"/>
    </row>
    <row r="1130" spans="18:30" x14ac:dyDescent="0.25">
      <c r="R1130" s="511"/>
      <c r="S1130" s="511"/>
      <c r="T1130" s="511"/>
      <c r="U1130" s="511"/>
      <c r="V1130" s="511"/>
      <c r="W1130" s="511"/>
      <c r="X1130" s="511"/>
      <c r="Y1130" s="511"/>
      <c r="Z1130" s="511"/>
      <c r="AA1130" s="511"/>
      <c r="AB1130" s="511"/>
      <c r="AC1130" s="511"/>
      <c r="AD1130" s="511"/>
    </row>
    <row r="1131" spans="18:30" x14ac:dyDescent="0.25">
      <c r="R1131" s="511"/>
      <c r="S1131" s="511"/>
      <c r="T1131" s="511"/>
      <c r="U1131" s="511"/>
      <c r="V1131" s="511"/>
      <c r="W1131" s="511"/>
      <c r="X1131" s="511"/>
      <c r="Y1131" s="511"/>
      <c r="Z1131" s="511"/>
      <c r="AA1131" s="511"/>
      <c r="AB1131" s="511"/>
      <c r="AC1131" s="511"/>
      <c r="AD1131" s="511"/>
    </row>
    <row r="1132" spans="18:30" x14ac:dyDescent="0.25">
      <c r="R1132" s="511"/>
      <c r="S1132" s="511"/>
      <c r="T1132" s="511"/>
      <c r="U1132" s="511"/>
      <c r="V1132" s="511"/>
      <c r="W1132" s="511"/>
      <c r="X1132" s="511"/>
      <c r="Y1132" s="511"/>
      <c r="Z1132" s="511"/>
      <c r="AA1132" s="511"/>
      <c r="AB1132" s="511"/>
      <c r="AC1132" s="511"/>
      <c r="AD1132" s="511"/>
    </row>
    <row r="1133" spans="18:30" x14ac:dyDescent="0.25">
      <c r="R1133" s="511"/>
      <c r="S1133" s="511"/>
      <c r="T1133" s="511"/>
      <c r="U1133" s="511"/>
      <c r="V1133" s="511"/>
      <c r="W1133" s="511"/>
      <c r="X1133" s="511"/>
      <c r="Y1133" s="511"/>
      <c r="Z1133" s="511"/>
      <c r="AA1133" s="511"/>
      <c r="AB1133" s="511"/>
      <c r="AC1133" s="511"/>
      <c r="AD1133" s="511"/>
    </row>
    <row r="1134" spans="18:30" x14ac:dyDescent="0.25">
      <c r="R1134" s="511"/>
      <c r="S1134" s="511"/>
      <c r="T1134" s="511"/>
      <c r="U1134" s="511"/>
      <c r="V1134" s="511"/>
      <c r="W1134" s="511"/>
      <c r="X1134" s="511"/>
      <c r="Y1134" s="511"/>
      <c r="Z1134" s="511"/>
      <c r="AA1134" s="511"/>
      <c r="AB1134" s="511"/>
      <c r="AC1134" s="511"/>
      <c r="AD1134" s="511"/>
    </row>
    <row r="1135" spans="18:30" x14ac:dyDescent="0.25">
      <c r="R1135" s="511"/>
      <c r="S1135" s="511"/>
      <c r="T1135" s="511"/>
      <c r="U1135" s="511"/>
      <c r="V1135" s="511"/>
      <c r="W1135" s="511"/>
      <c r="X1135" s="511"/>
      <c r="Y1135" s="511"/>
      <c r="Z1135" s="511"/>
      <c r="AA1135" s="511"/>
      <c r="AB1135" s="511"/>
      <c r="AC1135" s="511"/>
      <c r="AD1135" s="511"/>
    </row>
    <row r="1136" spans="18:30" x14ac:dyDescent="0.25">
      <c r="R1136" s="511"/>
      <c r="S1136" s="511"/>
      <c r="T1136" s="511"/>
      <c r="U1136" s="511"/>
      <c r="V1136" s="511"/>
      <c r="W1136" s="511"/>
      <c r="X1136" s="511"/>
      <c r="Y1136" s="511"/>
      <c r="Z1136" s="511"/>
      <c r="AA1136" s="511"/>
      <c r="AB1136" s="511"/>
      <c r="AC1136" s="511"/>
      <c r="AD1136" s="511"/>
    </row>
    <row r="1137" spans="18:30" x14ac:dyDescent="0.25">
      <c r="R1137" s="511"/>
      <c r="S1137" s="511"/>
      <c r="T1137" s="511"/>
      <c r="U1137" s="511"/>
      <c r="V1137" s="511"/>
      <c r="W1137" s="511"/>
      <c r="X1137" s="511"/>
      <c r="Y1137" s="511"/>
      <c r="Z1137" s="511"/>
      <c r="AA1137" s="511"/>
      <c r="AB1137" s="511"/>
      <c r="AC1137" s="511"/>
      <c r="AD1137" s="511"/>
    </row>
    <row r="1138" spans="18:30" x14ac:dyDescent="0.25">
      <c r="R1138" s="511"/>
      <c r="S1138" s="511"/>
      <c r="T1138" s="511"/>
      <c r="U1138" s="511"/>
      <c r="V1138" s="511"/>
      <c r="W1138" s="511"/>
      <c r="X1138" s="511"/>
      <c r="Y1138" s="511"/>
      <c r="Z1138" s="511"/>
      <c r="AA1138" s="511"/>
      <c r="AB1138" s="511"/>
      <c r="AC1138" s="511"/>
      <c r="AD1138" s="511"/>
    </row>
    <row r="1139" spans="18:30" x14ac:dyDescent="0.25">
      <c r="R1139" s="511"/>
      <c r="S1139" s="511"/>
      <c r="T1139" s="511"/>
      <c r="U1139" s="511"/>
      <c r="V1139" s="511"/>
      <c r="W1139" s="511"/>
      <c r="X1139" s="511"/>
      <c r="Y1139" s="511"/>
      <c r="Z1139" s="511"/>
      <c r="AA1139" s="511"/>
      <c r="AB1139" s="511"/>
      <c r="AC1139" s="511"/>
      <c r="AD1139" s="511"/>
    </row>
    <row r="1140" spans="18:30" x14ac:dyDescent="0.25">
      <c r="R1140" s="511"/>
      <c r="S1140" s="511"/>
      <c r="T1140" s="511"/>
      <c r="U1140" s="511"/>
      <c r="V1140" s="511"/>
      <c r="W1140" s="511"/>
      <c r="X1140" s="511"/>
      <c r="Y1140" s="511"/>
      <c r="Z1140" s="511"/>
      <c r="AA1140" s="511"/>
      <c r="AB1140" s="511"/>
      <c r="AC1140" s="511"/>
      <c r="AD1140" s="511"/>
    </row>
    <row r="1141" spans="18:30" x14ac:dyDescent="0.25">
      <c r="R1141" s="511"/>
      <c r="S1141" s="511"/>
      <c r="T1141" s="511"/>
      <c r="U1141" s="511"/>
      <c r="V1141" s="511"/>
      <c r="W1141" s="511"/>
      <c r="X1141" s="511"/>
      <c r="Y1141" s="511"/>
      <c r="Z1141" s="511"/>
      <c r="AA1141" s="511"/>
      <c r="AB1141" s="511"/>
      <c r="AC1141" s="511"/>
      <c r="AD1141" s="511"/>
    </row>
    <row r="1142" spans="18:30" x14ac:dyDescent="0.25">
      <c r="R1142" s="511"/>
      <c r="S1142" s="511"/>
      <c r="T1142" s="511"/>
      <c r="U1142" s="511"/>
      <c r="V1142" s="511"/>
      <c r="W1142" s="511"/>
      <c r="X1142" s="511"/>
      <c r="Y1142" s="511"/>
      <c r="Z1142" s="511"/>
      <c r="AA1142" s="511"/>
      <c r="AB1142" s="511"/>
      <c r="AC1142" s="511"/>
      <c r="AD1142" s="511"/>
    </row>
    <row r="1143" spans="18:30" x14ac:dyDescent="0.25">
      <c r="R1143" s="511"/>
      <c r="S1143" s="511"/>
      <c r="T1143" s="511"/>
      <c r="U1143" s="511"/>
      <c r="V1143" s="511"/>
      <c r="W1143" s="511"/>
      <c r="X1143" s="511"/>
      <c r="Y1143" s="511"/>
      <c r="Z1143" s="511"/>
      <c r="AA1143" s="511"/>
      <c r="AB1143" s="511"/>
      <c r="AC1143" s="511"/>
      <c r="AD1143" s="511"/>
    </row>
    <row r="1144" spans="18:30" x14ac:dyDescent="0.25">
      <c r="R1144" s="511"/>
      <c r="S1144" s="511"/>
      <c r="T1144" s="511"/>
      <c r="U1144" s="511"/>
      <c r="V1144" s="511"/>
      <c r="W1144" s="511"/>
      <c r="X1144" s="511"/>
      <c r="Y1144" s="511"/>
      <c r="Z1144" s="511"/>
      <c r="AA1144" s="511"/>
      <c r="AB1144" s="511"/>
      <c r="AC1144" s="511"/>
      <c r="AD1144" s="511"/>
    </row>
    <row r="1145" spans="18:30" x14ac:dyDescent="0.25">
      <c r="R1145" s="511"/>
      <c r="S1145" s="511"/>
      <c r="T1145" s="511"/>
      <c r="U1145" s="511"/>
      <c r="V1145" s="511"/>
      <c r="W1145" s="511"/>
      <c r="X1145" s="511"/>
      <c r="Y1145" s="511"/>
      <c r="Z1145" s="511"/>
      <c r="AA1145" s="511"/>
      <c r="AB1145" s="511"/>
      <c r="AC1145" s="511"/>
      <c r="AD1145" s="511"/>
    </row>
    <row r="1146" spans="18:30" x14ac:dyDescent="0.25">
      <c r="R1146" s="511"/>
      <c r="S1146" s="511"/>
      <c r="T1146" s="511"/>
      <c r="U1146" s="511"/>
      <c r="V1146" s="511"/>
      <c r="W1146" s="511"/>
      <c r="X1146" s="511"/>
      <c r="Y1146" s="511"/>
      <c r="Z1146" s="511"/>
      <c r="AA1146" s="511"/>
      <c r="AB1146" s="511"/>
      <c r="AC1146" s="511"/>
      <c r="AD1146" s="511"/>
    </row>
    <row r="1147" spans="18:30" x14ac:dyDescent="0.25">
      <c r="R1147" s="511"/>
      <c r="S1147" s="511"/>
      <c r="T1147" s="511"/>
      <c r="U1147" s="511"/>
      <c r="V1147" s="511"/>
      <c r="W1147" s="511"/>
      <c r="X1147" s="511"/>
      <c r="Y1147" s="511"/>
      <c r="Z1147" s="511"/>
      <c r="AA1147" s="511"/>
      <c r="AB1147" s="511"/>
      <c r="AC1147" s="511"/>
      <c r="AD1147" s="511"/>
    </row>
    <row r="1148" spans="18:30" x14ac:dyDescent="0.25">
      <c r="R1148" s="511"/>
      <c r="S1148" s="511"/>
      <c r="T1148" s="511"/>
      <c r="U1148" s="511"/>
      <c r="V1148" s="511"/>
      <c r="W1148" s="511"/>
      <c r="X1148" s="511"/>
      <c r="Y1148" s="511"/>
      <c r="Z1148" s="511"/>
      <c r="AA1148" s="511"/>
      <c r="AB1148" s="511"/>
      <c r="AC1148" s="511"/>
      <c r="AD1148" s="511"/>
    </row>
    <row r="1149" spans="18:30" x14ac:dyDescent="0.25">
      <c r="R1149" s="511"/>
      <c r="S1149" s="511"/>
      <c r="T1149" s="511"/>
      <c r="U1149" s="511"/>
      <c r="V1149" s="511"/>
      <c r="W1149" s="511"/>
      <c r="X1149" s="511"/>
      <c r="Y1149" s="511"/>
      <c r="Z1149" s="511"/>
      <c r="AA1149" s="511"/>
      <c r="AB1149" s="511"/>
      <c r="AC1149" s="511"/>
      <c r="AD1149" s="511"/>
    </row>
    <row r="1150" spans="18:30" x14ac:dyDescent="0.25">
      <c r="R1150" s="511"/>
      <c r="S1150" s="511"/>
      <c r="T1150" s="511"/>
      <c r="U1150" s="511"/>
      <c r="V1150" s="511"/>
      <c r="W1150" s="511"/>
      <c r="X1150" s="511"/>
      <c r="Y1150" s="511"/>
      <c r="Z1150" s="511"/>
      <c r="AA1150" s="511"/>
      <c r="AB1150" s="511"/>
      <c r="AC1150" s="511"/>
      <c r="AD1150" s="511"/>
    </row>
    <row r="1151" spans="18:30" x14ac:dyDescent="0.25">
      <c r="R1151" s="511"/>
      <c r="S1151" s="511"/>
      <c r="T1151" s="511"/>
      <c r="U1151" s="511"/>
      <c r="V1151" s="511"/>
      <c r="W1151" s="511"/>
      <c r="X1151" s="511"/>
      <c r="Y1151" s="511"/>
      <c r="Z1151" s="511"/>
      <c r="AA1151" s="511"/>
      <c r="AB1151" s="511"/>
      <c r="AC1151" s="511"/>
      <c r="AD1151" s="511"/>
    </row>
    <row r="1152" spans="18:30" x14ac:dyDescent="0.25">
      <c r="R1152" s="511"/>
      <c r="S1152" s="511"/>
      <c r="T1152" s="511"/>
      <c r="U1152" s="511"/>
      <c r="V1152" s="511"/>
      <c r="W1152" s="511"/>
      <c r="X1152" s="511"/>
      <c r="Y1152" s="511"/>
      <c r="Z1152" s="511"/>
      <c r="AA1152" s="511"/>
      <c r="AB1152" s="511"/>
      <c r="AC1152" s="511"/>
      <c r="AD1152" s="511"/>
    </row>
    <row r="1153" spans="18:30" x14ac:dyDescent="0.25">
      <c r="R1153" s="511"/>
      <c r="S1153" s="511"/>
      <c r="T1153" s="511"/>
      <c r="U1153" s="511"/>
      <c r="V1153" s="511"/>
      <c r="W1153" s="511"/>
      <c r="X1153" s="511"/>
      <c r="Y1153" s="511"/>
      <c r="Z1153" s="511"/>
      <c r="AA1153" s="511"/>
      <c r="AB1153" s="511"/>
      <c r="AC1153" s="511"/>
      <c r="AD1153" s="511"/>
    </row>
    <row r="1154" spans="18:30" x14ac:dyDescent="0.25">
      <c r="R1154" s="511"/>
      <c r="S1154" s="511"/>
      <c r="T1154" s="511"/>
      <c r="U1154" s="511"/>
      <c r="V1154" s="511"/>
      <c r="W1154" s="511"/>
      <c r="X1154" s="511"/>
      <c r="Y1154" s="511"/>
      <c r="Z1154" s="511"/>
      <c r="AA1154" s="511"/>
      <c r="AB1154" s="511"/>
      <c r="AC1154" s="511"/>
      <c r="AD1154" s="511"/>
    </row>
    <row r="1155" spans="18:30" x14ac:dyDescent="0.25">
      <c r="R1155" s="511"/>
      <c r="S1155" s="511"/>
      <c r="T1155" s="511"/>
      <c r="U1155" s="511"/>
      <c r="V1155" s="511"/>
      <c r="W1155" s="511"/>
      <c r="X1155" s="511"/>
      <c r="Y1155" s="511"/>
      <c r="Z1155" s="511"/>
      <c r="AA1155" s="511"/>
      <c r="AB1155" s="511"/>
      <c r="AC1155" s="511"/>
      <c r="AD1155" s="511"/>
    </row>
    <row r="1156" spans="18:30" x14ac:dyDescent="0.25">
      <c r="R1156" s="511"/>
      <c r="S1156" s="511"/>
      <c r="T1156" s="511"/>
      <c r="U1156" s="511"/>
      <c r="V1156" s="511"/>
      <c r="W1156" s="511"/>
      <c r="X1156" s="511"/>
      <c r="Y1156" s="511"/>
      <c r="Z1156" s="511"/>
      <c r="AA1156" s="511"/>
      <c r="AB1156" s="511"/>
      <c r="AC1156" s="511"/>
      <c r="AD1156" s="511"/>
    </row>
    <row r="1157" spans="18:30" x14ac:dyDescent="0.25">
      <c r="R1157" s="511"/>
      <c r="S1157" s="511"/>
      <c r="T1157" s="511"/>
      <c r="U1157" s="511"/>
      <c r="V1157" s="511"/>
      <c r="W1157" s="511"/>
      <c r="X1157" s="511"/>
      <c r="Y1157" s="511"/>
      <c r="Z1157" s="511"/>
      <c r="AA1157" s="511"/>
      <c r="AB1157" s="511"/>
      <c r="AC1157" s="511"/>
      <c r="AD1157" s="511"/>
    </row>
    <row r="1158" spans="18:30" x14ac:dyDescent="0.25">
      <c r="R1158" s="511"/>
      <c r="S1158" s="511"/>
      <c r="T1158" s="511"/>
      <c r="U1158" s="511"/>
      <c r="V1158" s="511"/>
      <c r="W1158" s="511"/>
      <c r="X1158" s="511"/>
      <c r="Y1158" s="511"/>
      <c r="Z1158" s="511"/>
      <c r="AA1158" s="511"/>
      <c r="AB1158" s="511"/>
      <c r="AC1158" s="511"/>
      <c r="AD1158" s="511"/>
    </row>
    <row r="1159" spans="18:30" x14ac:dyDescent="0.25">
      <c r="R1159" s="511"/>
      <c r="S1159" s="511"/>
      <c r="T1159" s="511"/>
      <c r="U1159" s="511"/>
      <c r="V1159" s="511"/>
      <c r="W1159" s="511"/>
      <c r="X1159" s="511"/>
      <c r="Y1159" s="511"/>
      <c r="Z1159" s="511"/>
      <c r="AA1159" s="511"/>
      <c r="AB1159" s="511"/>
      <c r="AC1159" s="511"/>
      <c r="AD1159" s="511"/>
    </row>
    <row r="1160" spans="18:30" x14ac:dyDescent="0.25">
      <c r="R1160" s="511"/>
      <c r="S1160" s="511"/>
      <c r="T1160" s="511"/>
      <c r="U1160" s="511"/>
      <c r="V1160" s="511"/>
      <c r="W1160" s="511"/>
      <c r="X1160" s="511"/>
      <c r="Y1160" s="511"/>
      <c r="Z1160" s="511"/>
      <c r="AA1160" s="511"/>
      <c r="AB1160" s="511"/>
      <c r="AC1160" s="511"/>
      <c r="AD1160" s="511"/>
    </row>
    <row r="1161" spans="18:30" x14ac:dyDescent="0.25">
      <c r="R1161" s="511"/>
      <c r="S1161" s="511"/>
      <c r="T1161" s="511"/>
      <c r="U1161" s="511"/>
      <c r="V1161" s="511"/>
      <c r="W1161" s="511"/>
      <c r="X1161" s="511"/>
      <c r="Y1161" s="511"/>
      <c r="Z1161" s="511"/>
      <c r="AA1161" s="511"/>
      <c r="AB1161" s="511"/>
      <c r="AC1161" s="511"/>
      <c r="AD1161" s="511"/>
    </row>
    <row r="1162" spans="18:30" x14ac:dyDescent="0.25">
      <c r="R1162" s="511"/>
      <c r="S1162" s="511"/>
      <c r="T1162" s="511"/>
      <c r="U1162" s="511"/>
      <c r="V1162" s="511"/>
      <c r="W1162" s="511"/>
      <c r="X1162" s="511"/>
      <c r="Y1162" s="511"/>
      <c r="Z1162" s="511"/>
      <c r="AA1162" s="511"/>
      <c r="AB1162" s="511"/>
      <c r="AC1162" s="511"/>
      <c r="AD1162" s="511"/>
    </row>
    <row r="1163" spans="18:30" x14ac:dyDescent="0.25">
      <c r="R1163" s="511"/>
      <c r="S1163" s="511"/>
      <c r="T1163" s="511"/>
      <c r="U1163" s="511"/>
      <c r="V1163" s="511"/>
      <c r="W1163" s="511"/>
      <c r="X1163" s="511"/>
      <c r="Y1163" s="511"/>
      <c r="Z1163" s="511"/>
      <c r="AA1163" s="511"/>
      <c r="AB1163" s="511"/>
      <c r="AC1163" s="511"/>
      <c r="AD1163" s="511"/>
    </row>
    <row r="1164" spans="18:30" x14ac:dyDescent="0.25">
      <c r="R1164" s="511"/>
      <c r="S1164" s="511"/>
      <c r="T1164" s="511"/>
      <c r="U1164" s="511"/>
      <c r="V1164" s="511"/>
      <c r="W1164" s="511"/>
      <c r="X1164" s="511"/>
      <c r="Y1164" s="511"/>
      <c r="Z1164" s="511"/>
      <c r="AA1164" s="511"/>
      <c r="AB1164" s="511"/>
      <c r="AC1164" s="511"/>
      <c r="AD1164" s="511"/>
    </row>
    <row r="1165" spans="18:30" x14ac:dyDescent="0.25">
      <c r="R1165" s="511"/>
      <c r="S1165" s="511"/>
      <c r="T1165" s="511"/>
      <c r="U1165" s="511"/>
      <c r="V1165" s="511"/>
      <c r="W1165" s="511"/>
      <c r="X1165" s="511"/>
      <c r="Y1165" s="511"/>
      <c r="Z1165" s="511"/>
      <c r="AA1165" s="511"/>
      <c r="AB1165" s="511"/>
      <c r="AC1165" s="511"/>
      <c r="AD1165" s="511"/>
    </row>
    <row r="1166" spans="18:30" x14ac:dyDescent="0.25">
      <c r="R1166" s="511"/>
      <c r="S1166" s="511"/>
      <c r="T1166" s="511"/>
      <c r="U1166" s="511"/>
      <c r="V1166" s="511"/>
      <c r="W1166" s="511"/>
      <c r="X1166" s="511"/>
      <c r="Y1166" s="511"/>
      <c r="Z1166" s="511"/>
      <c r="AA1166" s="511"/>
      <c r="AB1166" s="511"/>
      <c r="AC1166" s="511"/>
      <c r="AD1166" s="511"/>
    </row>
    <row r="1167" spans="18:30" x14ac:dyDescent="0.25">
      <c r="R1167" s="511"/>
      <c r="S1167" s="511"/>
      <c r="T1167" s="511"/>
      <c r="U1167" s="511"/>
      <c r="V1167" s="511"/>
      <c r="W1167" s="511"/>
      <c r="X1167" s="511"/>
      <c r="Y1167" s="511"/>
      <c r="Z1167" s="511"/>
      <c r="AA1167" s="511"/>
      <c r="AB1167" s="511"/>
      <c r="AC1167" s="511"/>
      <c r="AD1167" s="511"/>
    </row>
    <row r="1168" spans="18:30" x14ac:dyDescent="0.25">
      <c r="R1168" s="511"/>
      <c r="S1168" s="511"/>
      <c r="T1168" s="511"/>
      <c r="U1168" s="511"/>
      <c r="V1168" s="511"/>
      <c r="W1168" s="511"/>
      <c r="X1168" s="511"/>
      <c r="Y1168" s="511"/>
      <c r="Z1168" s="511"/>
      <c r="AA1168" s="511"/>
      <c r="AB1168" s="511"/>
      <c r="AC1168" s="511"/>
      <c r="AD1168" s="511"/>
    </row>
    <row r="1169" spans="18:30" x14ac:dyDescent="0.25">
      <c r="R1169" s="511"/>
      <c r="S1169" s="511"/>
      <c r="T1169" s="511"/>
      <c r="U1169" s="511"/>
      <c r="V1169" s="511"/>
      <c r="W1169" s="511"/>
      <c r="X1169" s="511"/>
      <c r="Y1169" s="511"/>
      <c r="Z1169" s="511"/>
      <c r="AA1169" s="511"/>
      <c r="AB1169" s="511"/>
      <c r="AC1169" s="511"/>
      <c r="AD1169" s="511"/>
    </row>
    <row r="1170" spans="18:30" x14ac:dyDescent="0.25">
      <c r="R1170" s="511"/>
      <c r="S1170" s="511"/>
      <c r="T1170" s="511"/>
      <c r="U1170" s="511"/>
      <c r="V1170" s="511"/>
      <c r="W1170" s="511"/>
      <c r="X1170" s="511"/>
      <c r="Y1170" s="511"/>
      <c r="Z1170" s="511"/>
      <c r="AA1170" s="511"/>
      <c r="AB1170" s="511"/>
      <c r="AC1170" s="511"/>
      <c r="AD1170" s="511"/>
    </row>
    <row r="1171" spans="18:30" x14ac:dyDescent="0.25">
      <c r="R1171" s="511"/>
      <c r="S1171" s="511"/>
      <c r="T1171" s="511"/>
      <c r="U1171" s="511"/>
      <c r="V1171" s="511"/>
      <c r="W1171" s="511"/>
      <c r="X1171" s="511"/>
      <c r="Y1171" s="511"/>
      <c r="Z1171" s="511"/>
      <c r="AA1171" s="511"/>
      <c r="AB1171" s="511"/>
      <c r="AC1171" s="511"/>
      <c r="AD1171" s="511"/>
    </row>
    <row r="1172" spans="18:30" x14ac:dyDescent="0.25">
      <c r="R1172" s="511"/>
      <c r="S1172" s="511"/>
      <c r="T1172" s="511"/>
      <c r="U1172" s="511"/>
      <c r="V1172" s="511"/>
      <c r="W1172" s="511"/>
      <c r="X1172" s="511"/>
      <c r="Y1172" s="511"/>
      <c r="Z1172" s="511"/>
      <c r="AA1172" s="511"/>
      <c r="AB1172" s="511"/>
      <c r="AC1172" s="511"/>
      <c r="AD1172" s="511"/>
    </row>
    <row r="1173" spans="18:30" x14ac:dyDescent="0.25">
      <c r="R1173" s="511"/>
      <c r="S1173" s="511"/>
      <c r="T1173" s="511"/>
      <c r="U1173" s="511"/>
      <c r="V1173" s="511"/>
      <c r="W1173" s="511"/>
      <c r="X1173" s="511"/>
      <c r="Y1173" s="511"/>
      <c r="Z1173" s="511"/>
      <c r="AA1173" s="511"/>
      <c r="AB1173" s="511"/>
      <c r="AC1173" s="511"/>
      <c r="AD1173" s="511"/>
    </row>
    <row r="1174" spans="18:30" x14ac:dyDescent="0.25">
      <c r="R1174" s="511"/>
      <c r="S1174" s="511"/>
      <c r="T1174" s="511"/>
      <c r="U1174" s="511"/>
      <c r="V1174" s="511"/>
      <c r="W1174" s="511"/>
      <c r="X1174" s="511"/>
      <c r="Y1174" s="511"/>
      <c r="Z1174" s="511"/>
      <c r="AA1174" s="511"/>
      <c r="AB1174" s="511"/>
      <c r="AC1174" s="511"/>
      <c r="AD1174" s="511"/>
    </row>
    <row r="1175" spans="18:30" x14ac:dyDescent="0.25">
      <c r="R1175" s="511"/>
      <c r="S1175" s="511"/>
      <c r="T1175" s="511"/>
      <c r="U1175" s="511"/>
      <c r="V1175" s="511"/>
      <c r="W1175" s="511"/>
      <c r="X1175" s="511"/>
      <c r="Y1175" s="511"/>
      <c r="Z1175" s="511"/>
      <c r="AA1175" s="511"/>
      <c r="AB1175" s="511"/>
      <c r="AC1175" s="511"/>
      <c r="AD1175" s="511"/>
    </row>
    <row r="1176" spans="18:30" x14ac:dyDescent="0.25">
      <c r="R1176" s="511"/>
      <c r="S1176" s="511"/>
      <c r="T1176" s="511"/>
      <c r="U1176" s="511"/>
      <c r="V1176" s="511"/>
      <c r="W1176" s="511"/>
      <c r="X1176" s="511"/>
      <c r="Y1176" s="511"/>
      <c r="Z1176" s="511"/>
      <c r="AA1176" s="511"/>
      <c r="AB1176" s="511"/>
      <c r="AC1176" s="511"/>
      <c r="AD1176" s="511"/>
    </row>
    <row r="1177" spans="18:30" x14ac:dyDescent="0.25">
      <c r="R1177" s="511"/>
      <c r="S1177" s="511"/>
      <c r="T1177" s="511"/>
      <c r="U1177" s="511"/>
      <c r="V1177" s="511"/>
      <c r="W1177" s="511"/>
      <c r="X1177" s="511"/>
      <c r="Y1177" s="511"/>
      <c r="Z1177" s="511"/>
      <c r="AA1177" s="511"/>
      <c r="AB1177" s="511"/>
      <c r="AC1177" s="511"/>
      <c r="AD1177" s="511"/>
    </row>
    <row r="1178" spans="18:30" x14ac:dyDescent="0.25">
      <c r="R1178" s="511"/>
      <c r="S1178" s="511"/>
      <c r="T1178" s="511"/>
      <c r="U1178" s="511"/>
      <c r="V1178" s="511"/>
      <c r="W1178" s="511"/>
      <c r="X1178" s="511"/>
      <c r="Y1178" s="511"/>
      <c r="Z1178" s="511"/>
      <c r="AA1178" s="511"/>
      <c r="AB1178" s="511"/>
      <c r="AC1178" s="511"/>
      <c r="AD1178" s="511"/>
    </row>
    <row r="1179" spans="18:30" x14ac:dyDescent="0.25">
      <c r="R1179" s="511"/>
      <c r="S1179" s="511"/>
      <c r="T1179" s="511"/>
      <c r="U1179" s="511"/>
      <c r="V1179" s="511"/>
      <c r="W1179" s="511"/>
      <c r="X1179" s="511"/>
      <c r="Y1179" s="511"/>
      <c r="Z1179" s="511"/>
      <c r="AA1179" s="511"/>
      <c r="AB1179" s="511"/>
      <c r="AC1179" s="511"/>
      <c r="AD1179" s="511"/>
    </row>
    <row r="1180" spans="18:30" x14ac:dyDescent="0.25">
      <c r="R1180" s="511"/>
      <c r="S1180" s="511"/>
      <c r="T1180" s="511"/>
      <c r="U1180" s="511"/>
      <c r="V1180" s="511"/>
      <c r="W1180" s="511"/>
      <c r="X1180" s="511"/>
      <c r="Y1180" s="511"/>
      <c r="Z1180" s="511"/>
      <c r="AA1180" s="511"/>
      <c r="AB1180" s="511"/>
      <c r="AC1180" s="511"/>
      <c r="AD1180" s="511"/>
    </row>
    <row r="1181" spans="18:30" x14ac:dyDescent="0.25">
      <c r="R1181" s="511"/>
      <c r="S1181" s="511"/>
      <c r="T1181" s="511"/>
      <c r="U1181" s="511"/>
      <c r="V1181" s="511"/>
      <c r="W1181" s="511"/>
      <c r="X1181" s="511"/>
      <c r="Y1181" s="511"/>
      <c r="Z1181" s="511"/>
      <c r="AA1181" s="511"/>
      <c r="AB1181" s="511"/>
      <c r="AC1181" s="511"/>
      <c r="AD1181" s="511"/>
    </row>
    <row r="1182" spans="18:30" x14ac:dyDescent="0.25">
      <c r="R1182" s="511"/>
      <c r="S1182" s="511"/>
      <c r="T1182" s="511"/>
      <c r="U1182" s="511"/>
      <c r="V1182" s="511"/>
      <c r="W1182" s="511"/>
      <c r="X1182" s="511"/>
      <c r="Y1182" s="511"/>
      <c r="Z1182" s="511"/>
      <c r="AA1182" s="511"/>
      <c r="AB1182" s="511"/>
      <c r="AC1182" s="511"/>
      <c r="AD1182" s="511"/>
    </row>
    <row r="1183" spans="18:30" x14ac:dyDescent="0.25">
      <c r="R1183" s="511"/>
      <c r="S1183" s="511"/>
      <c r="T1183" s="511"/>
      <c r="U1183" s="511"/>
      <c r="V1183" s="511"/>
      <c r="W1183" s="511"/>
      <c r="X1183" s="511"/>
      <c r="Y1183" s="511"/>
      <c r="Z1183" s="511"/>
      <c r="AA1183" s="511"/>
      <c r="AB1183" s="511"/>
      <c r="AC1183" s="511"/>
      <c r="AD1183" s="511"/>
    </row>
    <row r="1184" spans="18:30" x14ac:dyDescent="0.25">
      <c r="R1184" s="511"/>
      <c r="S1184" s="511"/>
      <c r="T1184" s="511"/>
      <c r="U1184" s="511"/>
      <c r="V1184" s="511"/>
      <c r="W1184" s="511"/>
      <c r="X1184" s="511"/>
      <c r="Y1184" s="511"/>
      <c r="Z1184" s="511"/>
      <c r="AA1184" s="511"/>
      <c r="AB1184" s="511"/>
      <c r="AC1184" s="511"/>
      <c r="AD1184" s="511"/>
    </row>
    <row r="1185" spans="18:30" x14ac:dyDescent="0.25">
      <c r="R1185" s="511"/>
      <c r="S1185" s="511"/>
      <c r="T1185" s="511"/>
      <c r="U1185" s="511"/>
      <c r="V1185" s="511"/>
      <c r="W1185" s="511"/>
      <c r="X1185" s="511"/>
      <c r="Y1185" s="511"/>
      <c r="Z1185" s="511"/>
      <c r="AA1185" s="511"/>
      <c r="AB1185" s="511"/>
      <c r="AC1185" s="511"/>
      <c r="AD1185" s="511"/>
    </row>
    <row r="1186" spans="18:30" x14ac:dyDescent="0.25">
      <c r="R1186" s="511"/>
      <c r="S1186" s="511"/>
      <c r="T1186" s="511"/>
      <c r="U1186" s="511"/>
      <c r="V1186" s="511"/>
      <c r="W1186" s="511"/>
      <c r="X1186" s="511"/>
      <c r="Y1186" s="511"/>
      <c r="Z1186" s="511"/>
      <c r="AA1186" s="511"/>
      <c r="AB1186" s="511"/>
      <c r="AC1186" s="511"/>
      <c r="AD1186" s="511"/>
    </row>
    <row r="1187" spans="18:30" x14ac:dyDescent="0.25">
      <c r="R1187" s="511"/>
      <c r="S1187" s="511"/>
      <c r="T1187" s="511"/>
      <c r="U1187" s="511"/>
      <c r="V1187" s="511"/>
      <c r="W1187" s="511"/>
      <c r="X1187" s="511"/>
      <c r="Y1187" s="511"/>
      <c r="Z1187" s="511"/>
      <c r="AA1187" s="511"/>
      <c r="AB1187" s="511"/>
      <c r="AC1187" s="511"/>
      <c r="AD1187" s="511"/>
    </row>
    <row r="1188" spans="18:30" x14ac:dyDescent="0.25">
      <c r="R1188" s="511"/>
      <c r="S1188" s="511"/>
      <c r="T1188" s="511"/>
      <c r="U1188" s="511"/>
      <c r="V1188" s="511"/>
      <c r="W1188" s="511"/>
      <c r="X1188" s="511"/>
      <c r="Y1188" s="511"/>
      <c r="Z1188" s="511"/>
      <c r="AA1188" s="511"/>
      <c r="AB1188" s="511"/>
      <c r="AC1188" s="511"/>
      <c r="AD1188" s="511"/>
    </row>
    <row r="1189" spans="18:30" x14ac:dyDescent="0.25">
      <c r="R1189" s="511"/>
      <c r="S1189" s="511"/>
      <c r="T1189" s="511"/>
      <c r="U1189" s="511"/>
      <c r="V1189" s="511"/>
      <c r="W1189" s="511"/>
      <c r="X1189" s="511"/>
      <c r="Y1189" s="511"/>
      <c r="Z1189" s="511"/>
      <c r="AA1189" s="511"/>
      <c r="AB1189" s="511"/>
      <c r="AC1189" s="511"/>
      <c r="AD1189" s="511"/>
    </row>
    <row r="1190" spans="18:30" x14ac:dyDescent="0.25">
      <c r="R1190" s="511"/>
      <c r="S1190" s="511"/>
      <c r="T1190" s="511"/>
      <c r="U1190" s="511"/>
      <c r="V1190" s="511"/>
      <c r="W1190" s="511"/>
      <c r="X1190" s="511"/>
      <c r="Y1190" s="511"/>
      <c r="Z1190" s="511"/>
      <c r="AA1190" s="511"/>
      <c r="AB1190" s="511"/>
      <c r="AC1190" s="511"/>
      <c r="AD1190" s="511"/>
    </row>
    <row r="1191" spans="18:30" x14ac:dyDescent="0.25">
      <c r="R1191" s="511"/>
      <c r="S1191" s="511"/>
      <c r="T1191" s="511"/>
      <c r="U1191" s="511"/>
      <c r="V1191" s="511"/>
      <c r="W1191" s="511"/>
      <c r="X1191" s="511"/>
      <c r="Y1191" s="511"/>
      <c r="Z1191" s="511"/>
      <c r="AA1191" s="511"/>
      <c r="AB1191" s="511"/>
      <c r="AC1191" s="511"/>
      <c r="AD1191" s="511"/>
    </row>
    <row r="1192" spans="18:30" x14ac:dyDescent="0.25">
      <c r="R1192" s="511"/>
      <c r="S1192" s="511"/>
      <c r="T1192" s="511"/>
      <c r="U1192" s="511"/>
      <c r="V1192" s="511"/>
      <c r="W1192" s="511"/>
      <c r="X1192" s="511"/>
      <c r="Y1192" s="511"/>
      <c r="Z1192" s="511"/>
      <c r="AA1192" s="511"/>
      <c r="AB1192" s="511"/>
      <c r="AC1192" s="511"/>
      <c r="AD1192" s="511"/>
    </row>
    <row r="1193" spans="18:30" x14ac:dyDescent="0.25">
      <c r="R1193" s="511"/>
      <c r="S1193" s="511"/>
      <c r="T1193" s="511"/>
      <c r="U1193" s="511"/>
      <c r="V1193" s="511"/>
      <c r="W1193" s="511"/>
      <c r="X1193" s="511"/>
      <c r="Y1193" s="511"/>
      <c r="Z1193" s="511"/>
      <c r="AA1193" s="511"/>
      <c r="AB1193" s="511"/>
      <c r="AC1193" s="511"/>
      <c r="AD1193" s="511"/>
    </row>
    <row r="1194" spans="18:30" x14ac:dyDescent="0.25">
      <c r="R1194" s="511"/>
      <c r="S1194" s="511"/>
      <c r="T1194" s="511"/>
      <c r="U1194" s="511"/>
      <c r="V1194" s="511"/>
      <c r="W1194" s="511"/>
      <c r="X1194" s="511"/>
      <c r="Y1194" s="511"/>
      <c r="Z1194" s="511"/>
      <c r="AA1194" s="511"/>
      <c r="AB1194" s="511"/>
      <c r="AC1194" s="511"/>
      <c r="AD1194" s="511"/>
    </row>
    <row r="1195" spans="18:30" x14ac:dyDescent="0.25">
      <c r="R1195" s="511"/>
      <c r="S1195" s="511"/>
      <c r="T1195" s="511"/>
      <c r="U1195" s="511"/>
      <c r="V1195" s="511"/>
      <c r="W1195" s="511"/>
      <c r="X1195" s="511"/>
      <c r="Y1195" s="511"/>
      <c r="Z1195" s="511"/>
      <c r="AA1195" s="511"/>
      <c r="AB1195" s="511"/>
      <c r="AC1195" s="511"/>
      <c r="AD1195" s="511"/>
    </row>
    <row r="1196" spans="18:30" x14ac:dyDescent="0.25">
      <c r="R1196" s="511"/>
      <c r="S1196" s="511"/>
      <c r="T1196" s="511"/>
      <c r="U1196" s="511"/>
      <c r="V1196" s="511"/>
      <c r="W1196" s="511"/>
      <c r="X1196" s="511"/>
      <c r="Y1196" s="511"/>
      <c r="Z1196" s="511"/>
      <c r="AA1196" s="511"/>
      <c r="AB1196" s="511"/>
      <c r="AC1196" s="511"/>
      <c r="AD1196" s="511"/>
    </row>
    <row r="1197" spans="18:30" x14ac:dyDescent="0.25">
      <c r="R1197" s="511"/>
      <c r="S1197" s="511"/>
      <c r="T1197" s="511"/>
      <c r="U1197" s="511"/>
      <c r="V1197" s="511"/>
      <c r="W1197" s="511"/>
      <c r="X1197" s="511"/>
      <c r="Y1197" s="511"/>
      <c r="Z1197" s="511"/>
      <c r="AA1197" s="511"/>
      <c r="AB1197" s="511"/>
      <c r="AC1197" s="511"/>
      <c r="AD1197" s="511"/>
    </row>
    <row r="1198" spans="18:30" x14ac:dyDescent="0.25">
      <c r="R1198" s="511"/>
      <c r="S1198" s="511"/>
      <c r="T1198" s="511"/>
      <c r="U1198" s="511"/>
      <c r="V1198" s="511"/>
      <c r="W1198" s="511"/>
      <c r="X1198" s="511"/>
      <c r="Y1198" s="511"/>
      <c r="Z1198" s="511"/>
      <c r="AA1198" s="511"/>
      <c r="AB1198" s="511"/>
      <c r="AC1198" s="511"/>
      <c r="AD1198" s="511"/>
    </row>
    <row r="1199" spans="18:30" x14ac:dyDescent="0.25">
      <c r="R1199" s="511"/>
      <c r="S1199" s="511"/>
      <c r="T1199" s="511"/>
      <c r="U1199" s="511"/>
      <c r="V1199" s="511"/>
      <c r="W1199" s="511"/>
      <c r="X1199" s="511"/>
      <c r="Y1199" s="511"/>
      <c r="Z1199" s="511"/>
      <c r="AA1199" s="511"/>
      <c r="AB1199" s="511"/>
      <c r="AC1199" s="511"/>
      <c r="AD1199" s="511"/>
    </row>
    <row r="1200" spans="18:30" x14ac:dyDescent="0.25">
      <c r="R1200" s="511"/>
      <c r="S1200" s="511"/>
      <c r="T1200" s="511"/>
      <c r="U1200" s="511"/>
      <c r="V1200" s="511"/>
      <c r="W1200" s="511"/>
      <c r="X1200" s="511"/>
      <c r="Y1200" s="511"/>
      <c r="Z1200" s="511"/>
      <c r="AA1200" s="511"/>
      <c r="AB1200" s="511"/>
      <c r="AC1200" s="511"/>
      <c r="AD1200" s="511"/>
    </row>
    <row r="1201" spans="18:30" x14ac:dyDescent="0.25">
      <c r="R1201" s="511"/>
      <c r="S1201" s="511"/>
      <c r="T1201" s="511"/>
      <c r="U1201" s="511"/>
      <c r="V1201" s="511"/>
      <c r="W1201" s="511"/>
      <c r="X1201" s="511"/>
      <c r="Y1201" s="511"/>
      <c r="Z1201" s="511"/>
      <c r="AA1201" s="511"/>
      <c r="AB1201" s="511"/>
      <c r="AC1201" s="511"/>
      <c r="AD1201" s="511"/>
    </row>
    <row r="1202" spans="18:30" x14ac:dyDescent="0.25">
      <c r="R1202" s="511"/>
      <c r="S1202" s="511"/>
      <c r="T1202" s="511"/>
      <c r="U1202" s="511"/>
      <c r="V1202" s="511"/>
      <c r="W1202" s="511"/>
      <c r="X1202" s="511"/>
      <c r="Y1202" s="511"/>
      <c r="Z1202" s="511"/>
      <c r="AA1202" s="511"/>
      <c r="AB1202" s="511"/>
      <c r="AC1202" s="511"/>
      <c r="AD1202" s="511"/>
    </row>
    <row r="1203" spans="18:30" x14ac:dyDescent="0.25">
      <c r="R1203" s="511"/>
      <c r="S1203" s="511"/>
      <c r="T1203" s="511"/>
      <c r="U1203" s="511"/>
      <c r="V1203" s="511"/>
      <c r="W1203" s="511"/>
      <c r="X1203" s="511"/>
      <c r="Y1203" s="511"/>
      <c r="Z1203" s="511"/>
      <c r="AA1203" s="511"/>
      <c r="AB1203" s="511"/>
      <c r="AC1203" s="511"/>
      <c r="AD1203" s="511"/>
    </row>
    <row r="1204" spans="18:30" x14ac:dyDescent="0.25">
      <c r="R1204" s="511"/>
      <c r="S1204" s="511"/>
      <c r="T1204" s="511"/>
      <c r="U1204" s="511"/>
      <c r="V1204" s="511"/>
      <c r="W1204" s="511"/>
      <c r="X1204" s="511"/>
      <c r="Y1204" s="511"/>
      <c r="Z1204" s="511"/>
      <c r="AA1204" s="511"/>
      <c r="AB1204" s="511"/>
      <c r="AC1204" s="511"/>
      <c r="AD1204" s="511"/>
    </row>
    <row r="1205" spans="18:30" x14ac:dyDescent="0.25">
      <c r="R1205" s="511"/>
      <c r="S1205" s="511"/>
      <c r="T1205" s="511"/>
      <c r="U1205" s="511"/>
      <c r="V1205" s="511"/>
      <c r="W1205" s="511"/>
      <c r="X1205" s="511"/>
      <c r="Y1205" s="511"/>
      <c r="Z1205" s="511"/>
      <c r="AA1205" s="511"/>
      <c r="AB1205" s="511"/>
      <c r="AC1205" s="511"/>
      <c r="AD1205" s="511"/>
    </row>
    <row r="1206" spans="18:30" x14ac:dyDescent="0.25">
      <c r="R1206" s="511"/>
      <c r="S1206" s="511"/>
      <c r="T1206" s="511"/>
      <c r="U1206" s="511"/>
      <c r="V1206" s="511"/>
      <c r="W1206" s="511"/>
      <c r="X1206" s="511"/>
      <c r="Y1206" s="511"/>
      <c r="Z1206" s="511"/>
      <c r="AA1206" s="511"/>
      <c r="AB1206" s="511"/>
      <c r="AC1206" s="511"/>
      <c r="AD1206" s="511"/>
    </row>
    <row r="1207" spans="18:30" x14ac:dyDescent="0.25">
      <c r="R1207" s="511"/>
      <c r="S1207" s="511"/>
      <c r="T1207" s="511"/>
      <c r="U1207" s="511"/>
      <c r="V1207" s="511"/>
      <c r="W1207" s="511"/>
      <c r="X1207" s="511"/>
      <c r="Y1207" s="511"/>
      <c r="Z1207" s="511"/>
      <c r="AA1207" s="511"/>
      <c r="AB1207" s="511"/>
      <c r="AC1207" s="511"/>
      <c r="AD1207" s="511"/>
    </row>
    <row r="1208" spans="18:30" x14ac:dyDescent="0.25">
      <c r="R1208" s="511"/>
      <c r="S1208" s="511"/>
      <c r="T1208" s="511"/>
      <c r="U1208" s="511"/>
      <c r="V1208" s="511"/>
      <c r="W1208" s="511"/>
      <c r="X1208" s="511"/>
      <c r="Y1208" s="511"/>
      <c r="Z1208" s="511"/>
      <c r="AA1208" s="511"/>
      <c r="AB1208" s="511"/>
      <c r="AC1208" s="511"/>
      <c r="AD1208" s="511"/>
    </row>
    <row r="1209" spans="18:30" x14ac:dyDescent="0.25">
      <c r="R1209" s="511"/>
      <c r="S1209" s="511"/>
      <c r="T1209" s="511"/>
      <c r="U1209" s="511"/>
      <c r="V1209" s="511"/>
      <c r="W1209" s="511"/>
      <c r="X1209" s="511"/>
      <c r="Y1209" s="511"/>
      <c r="Z1209" s="511"/>
      <c r="AA1209" s="511"/>
      <c r="AB1209" s="511"/>
      <c r="AC1209" s="511"/>
      <c r="AD1209" s="511"/>
    </row>
    <row r="1210" spans="18:30" x14ac:dyDescent="0.25">
      <c r="R1210" s="511"/>
      <c r="S1210" s="511"/>
      <c r="T1210" s="511"/>
      <c r="U1210" s="511"/>
      <c r="V1210" s="511"/>
      <c r="W1210" s="511"/>
      <c r="X1210" s="511"/>
      <c r="Y1210" s="511"/>
      <c r="Z1210" s="511"/>
      <c r="AA1210" s="511"/>
      <c r="AB1210" s="511"/>
      <c r="AC1210" s="511"/>
      <c r="AD1210" s="511"/>
    </row>
    <row r="1211" spans="18:30" x14ac:dyDescent="0.25">
      <c r="R1211" s="511"/>
      <c r="S1211" s="511"/>
      <c r="T1211" s="511"/>
      <c r="U1211" s="511"/>
      <c r="V1211" s="511"/>
      <c r="W1211" s="511"/>
      <c r="X1211" s="511"/>
      <c r="Y1211" s="511"/>
      <c r="Z1211" s="511"/>
      <c r="AA1211" s="511"/>
      <c r="AB1211" s="511"/>
      <c r="AC1211" s="511"/>
      <c r="AD1211" s="511"/>
    </row>
    <row r="1212" spans="18:30" x14ac:dyDescent="0.25">
      <c r="R1212" s="511"/>
      <c r="S1212" s="511"/>
      <c r="T1212" s="511"/>
      <c r="U1212" s="511"/>
      <c r="V1212" s="511"/>
      <c r="W1212" s="511"/>
      <c r="X1212" s="511"/>
      <c r="Y1212" s="511"/>
      <c r="Z1212" s="511"/>
      <c r="AA1212" s="511"/>
      <c r="AB1212" s="511"/>
      <c r="AC1212" s="511"/>
      <c r="AD1212" s="511"/>
    </row>
    <row r="1213" spans="18:30" x14ac:dyDescent="0.25">
      <c r="R1213" s="511"/>
      <c r="S1213" s="511"/>
      <c r="T1213" s="511"/>
      <c r="U1213" s="511"/>
      <c r="V1213" s="511"/>
      <c r="W1213" s="511"/>
      <c r="X1213" s="511"/>
      <c r="Y1213" s="511"/>
      <c r="Z1213" s="511"/>
      <c r="AA1213" s="511"/>
      <c r="AB1213" s="511"/>
      <c r="AC1213" s="511"/>
      <c r="AD1213" s="511"/>
    </row>
    <row r="1214" spans="18:30" x14ac:dyDescent="0.25">
      <c r="R1214" s="511"/>
      <c r="S1214" s="511"/>
      <c r="T1214" s="511"/>
      <c r="U1214" s="511"/>
      <c r="V1214" s="511"/>
      <c r="W1214" s="511"/>
      <c r="X1214" s="511"/>
      <c r="Y1214" s="511"/>
      <c r="Z1214" s="511"/>
      <c r="AA1214" s="511"/>
      <c r="AB1214" s="511"/>
      <c r="AC1214" s="511"/>
      <c r="AD1214" s="511"/>
    </row>
    <row r="1215" spans="18:30" x14ac:dyDescent="0.25">
      <c r="R1215" s="511"/>
      <c r="S1215" s="511"/>
      <c r="T1215" s="511"/>
      <c r="U1215" s="511"/>
      <c r="V1215" s="511"/>
      <c r="W1215" s="511"/>
      <c r="X1215" s="511"/>
      <c r="Y1215" s="511"/>
      <c r="Z1215" s="511"/>
      <c r="AA1215" s="511"/>
      <c r="AB1215" s="511"/>
      <c r="AC1215" s="511"/>
      <c r="AD1215" s="511"/>
    </row>
    <row r="1216" spans="18:30" x14ac:dyDescent="0.25">
      <c r="R1216" s="511"/>
      <c r="S1216" s="511"/>
      <c r="T1216" s="511"/>
      <c r="U1216" s="511"/>
      <c r="V1216" s="511"/>
      <c r="W1216" s="511"/>
      <c r="X1216" s="511"/>
      <c r="Y1216" s="511"/>
      <c r="Z1216" s="511"/>
      <c r="AA1216" s="511"/>
      <c r="AB1216" s="511"/>
      <c r="AC1216" s="511"/>
      <c r="AD1216" s="511"/>
    </row>
    <row r="1217" spans="18:30" x14ac:dyDescent="0.25">
      <c r="R1217" s="511"/>
      <c r="S1217" s="511"/>
      <c r="T1217" s="511"/>
      <c r="U1217" s="511"/>
      <c r="V1217" s="511"/>
      <c r="W1217" s="511"/>
      <c r="X1217" s="511"/>
      <c r="Y1217" s="511"/>
      <c r="Z1217" s="511"/>
      <c r="AA1217" s="511"/>
      <c r="AB1217" s="511"/>
      <c r="AC1217" s="511"/>
      <c r="AD1217" s="511"/>
    </row>
    <row r="1218" spans="18:30" x14ac:dyDescent="0.25">
      <c r="R1218" s="511"/>
      <c r="S1218" s="511"/>
      <c r="T1218" s="511"/>
      <c r="U1218" s="511"/>
      <c r="V1218" s="511"/>
      <c r="W1218" s="511"/>
      <c r="X1218" s="511"/>
      <c r="Z1218" s="511"/>
      <c r="AA1218" s="511"/>
      <c r="AB1218" s="511"/>
      <c r="AC1218" s="511"/>
      <c r="AD1218" s="511"/>
    </row>
    <row r="1219" spans="18:30" x14ac:dyDescent="0.25">
      <c r="R1219" s="511"/>
      <c r="S1219" s="511"/>
      <c r="T1219" s="511"/>
      <c r="U1219" s="511"/>
      <c r="V1219" s="511"/>
      <c r="W1219" s="511"/>
      <c r="X1219" s="511"/>
      <c r="Z1219" s="511"/>
      <c r="AA1219" s="511"/>
      <c r="AB1219" s="511"/>
      <c r="AC1219" s="511"/>
      <c r="AD1219" s="511"/>
    </row>
    <row r="1220" spans="18:30" x14ac:dyDescent="0.25">
      <c r="R1220" s="511"/>
      <c r="S1220" s="511"/>
      <c r="T1220" s="511"/>
      <c r="Z1220" s="511"/>
      <c r="AA1220" s="511"/>
    </row>
    <row r="1221" spans="18:30" x14ac:dyDescent="0.25">
      <c r="R1221" s="511"/>
      <c r="S1221" s="511"/>
      <c r="T1221" s="511"/>
      <c r="AA1221" s="511"/>
    </row>
  </sheetData>
  <sheetProtection formatCells="0" formatColumns="0" formatRows="0" insertHyperlinks="0" sort="0" autoFilter="0" pivotTables="0"/>
  <mergeCells count="515">
    <mergeCell ref="A148:C150"/>
    <mergeCell ref="AQ142:AQ147"/>
    <mergeCell ref="AR142:AR147"/>
    <mergeCell ref="AS142:AS147"/>
    <mergeCell ref="AT142:AT147"/>
    <mergeCell ref="AU142:AU147"/>
    <mergeCell ref="AV142:AV147"/>
    <mergeCell ref="AK142:AK147"/>
    <mergeCell ref="AL142:AL147"/>
    <mergeCell ref="AM142:AM147"/>
    <mergeCell ref="AN142:AN147"/>
    <mergeCell ref="AO142:AO147"/>
    <mergeCell ref="AP142:AP147"/>
    <mergeCell ref="AX136:AX141"/>
    <mergeCell ref="A142:A147"/>
    <mergeCell ref="B142:B147"/>
    <mergeCell ref="C142:C147"/>
    <mergeCell ref="AF142:AF147"/>
    <mergeCell ref="AG142:AG147"/>
    <mergeCell ref="AH142:AH147"/>
    <mergeCell ref="AI142:AI147"/>
    <mergeCell ref="AJ142:AJ147"/>
    <mergeCell ref="AQ136:AQ141"/>
    <mergeCell ref="AR136:AR141"/>
    <mergeCell ref="AS136:AS141"/>
    <mergeCell ref="AT136:AT141"/>
    <mergeCell ref="AU136:AU141"/>
    <mergeCell ref="AV136:AV141"/>
    <mergeCell ref="AK136:AK141"/>
    <mergeCell ref="AL136:AL141"/>
    <mergeCell ref="AM136:AM141"/>
    <mergeCell ref="AN136:AN141"/>
    <mergeCell ref="AO136:AO141"/>
    <mergeCell ref="AP136:AP141"/>
    <mergeCell ref="AW142:AW147"/>
    <mergeCell ref="AX142:AX147"/>
    <mergeCell ref="AX130:AX135"/>
    <mergeCell ref="A136:A141"/>
    <mergeCell ref="B136:B141"/>
    <mergeCell ref="C136:C141"/>
    <mergeCell ref="AF136:AF141"/>
    <mergeCell ref="AG136:AG141"/>
    <mergeCell ref="AH136:AH141"/>
    <mergeCell ref="AI136:AI141"/>
    <mergeCell ref="AJ136:AJ141"/>
    <mergeCell ref="AQ130:AQ135"/>
    <mergeCell ref="AR130:AR135"/>
    <mergeCell ref="AS130:AS135"/>
    <mergeCell ref="AT130:AT135"/>
    <mergeCell ref="AU130:AU135"/>
    <mergeCell ref="AV130:AV135"/>
    <mergeCell ref="AK130:AK135"/>
    <mergeCell ref="AL130:AL135"/>
    <mergeCell ref="AM130:AM135"/>
    <mergeCell ref="AN130:AN135"/>
    <mergeCell ref="AO130:AO135"/>
    <mergeCell ref="AP130:AP135"/>
    <mergeCell ref="C130:C135"/>
    <mergeCell ref="AF130:AF135"/>
    <mergeCell ref="AW136:AW141"/>
    <mergeCell ref="AG130:AG135"/>
    <mergeCell ref="AH130:AH135"/>
    <mergeCell ref="AI130:AI135"/>
    <mergeCell ref="AJ130:AJ135"/>
    <mergeCell ref="AS124:AS129"/>
    <mergeCell ref="AT124:AT129"/>
    <mergeCell ref="AU124:AU129"/>
    <mergeCell ref="AV124:AV129"/>
    <mergeCell ref="AW124:AW129"/>
    <mergeCell ref="AW130:AW135"/>
    <mergeCell ref="AX124:AX129"/>
    <mergeCell ref="AM124:AM129"/>
    <mergeCell ref="AN124:AN129"/>
    <mergeCell ref="AO124:AO129"/>
    <mergeCell ref="AP124:AP129"/>
    <mergeCell ref="AQ124:AQ129"/>
    <mergeCell ref="AR124:AR129"/>
    <mergeCell ref="AW118:AW123"/>
    <mergeCell ref="AX118:AX123"/>
    <mergeCell ref="AR118:AR123"/>
    <mergeCell ref="AS118:AS123"/>
    <mergeCell ref="AT118:AT123"/>
    <mergeCell ref="AU118:AU123"/>
    <mergeCell ref="AV118:AV123"/>
    <mergeCell ref="C124:C129"/>
    <mergeCell ref="AF124:AF129"/>
    <mergeCell ref="AG124:AG129"/>
    <mergeCell ref="AH124:AH129"/>
    <mergeCell ref="AI124:AI129"/>
    <mergeCell ref="AJ124:AJ129"/>
    <mergeCell ref="AK124:AK129"/>
    <mergeCell ref="AL124:AL129"/>
    <mergeCell ref="AQ118:AQ123"/>
    <mergeCell ref="AK118:AK123"/>
    <mergeCell ref="AL118:AL123"/>
    <mergeCell ref="AM118:AM123"/>
    <mergeCell ref="AN118:AN123"/>
    <mergeCell ref="AO118:AO123"/>
    <mergeCell ref="AP118:AP123"/>
    <mergeCell ref="C118:C123"/>
    <mergeCell ref="AF118:AF123"/>
    <mergeCell ref="AG118:AG123"/>
    <mergeCell ref="AH118:AH123"/>
    <mergeCell ref="AI118:AI123"/>
    <mergeCell ref="AJ118:AJ123"/>
    <mergeCell ref="AT112:AT117"/>
    <mergeCell ref="AU112:AU117"/>
    <mergeCell ref="AV112:AV117"/>
    <mergeCell ref="AW112:AW117"/>
    <mergeCell ref="AX112:AX117"/>
    <mergeCell ref="AM112:AM117"/>
    <mergeCell ref="AN112:AN117"/>
    <mergeCell ref="AO112:AO117"/>
    <mergeCell ref="AP112:AP117"/>
    <mergeCell ref="AQ112:AQ117"/>
    <mergeCell ref="AR112:AR117"/>
    <mergeCell ref="AX106:AX111"/>
    <mergeCell ref="C112:C117"/>
    <mergeCell ref="AF112:AF117"/>
    <mergeCell ref="AG112:AG117"/>
    <mergeCell ref="AH112:AH117"/>
    <mergeCell ref="AI112:AI117"/>
    <mergeCell ref="AJ112:AJ117"/>
    <mergeCell ref="AK112:AK117"/>
    <mergeCell ref="AL112:AL117"/>
    <mergeCell ref="AQ106:AQ111"/>
    <mergeCell ref="AR106:AR111"/>
    <mergeCell ref="AS106:AS111"/>
    <mergeCell ref="AT106:AT111"/>
    <mergeCell ref="AU106:AU111"/>
    <mergeCell ref="AV106:AV111"/>
    <mergeCell ref="AK106:AK111"/>
    <mergeCell ref="AL106:AL111"/>
    <mergeCell ref="AM106:AM111"/>
    <mergeCell ref="AN106:AN111"/>
    <mergeCell ref="AO106:AO111"/>
    <mergeCell ref="AP106:AP111"/>
    <mergeCell ref="C106:C111"/>
    <mergeCell ref="AF106:AF111"/>
    <mergeCell ref="AS112:AS117"/>
    <mergeCell ref="AG106:AG111"/>
    <mergeCell ref="AH106:AH111"/>
    <mergeCell ref="AI106:AI111"/>
    <mergeCell ref="AJ106:AJ111"/>
    <mergeCell ref="AS100:AS105"/>
    <mergeCell ref="AT100:AT105"/>
    <mergeCell ref="AU100:AU105"/>
    <mergeCell ref="AV100:AV105"/>
    <mergeCell ref="AW100:AW105"/>
    <mergeCell ref="AW106:AW111"/>
    <mergeCell ref="AX100:AX105"/>
    <mergeCell ref="AM100:AM105"/>
    <mergeCell ref="AN100:AN105"/>
    <mergeCell ref="AO100:AO105"/>
    <mergeCell ref="AP100:AP105"/>
    <mergeCell ref="AQ100:AQ105"/>
    <mergeCell ref="AR100:AR105"/>
    <mergeCell ref="AW94:AW99"/>
    <mergeCell ref="AX94:AX99"/>
    <mergeCell ref="AR94:AR99"/>
    <mergeCell ref="AS94:AS99"/>
    <mergeCell ref="AT94:AT99"/>
    <mergeCell ref="AU94:AU99"/>
    <mergeCell ref="AV94:AV99"/>
    <mergeCell ref="C100:C105"/>
    <mergeCell ref="AF100:AF105"/>
    <mergeCell ref="AG100:AG105"/>
    <mergeCell ref="AH100:AH105"/>
    <mergeCell ref="AI100:AI105"/>
    <mergeCell ref="AJ100:AJ105"/>
    <mergeCell ref="AK100:AK105"/>
    <mergeCell ref="AL100:AL105"/>
    <mergeCell ref="AQ94:AQ99"/>
    <mergeCell ref="AK94:AK99"/>
    <mergeCell ref="AL94:AL99"/>
    <mergeCell ref="AM94:AM99"/>
    <mergeCell ref="AN94:AN99"/>
    <mergeCell ref="AO94:AO99"/>
    <mergeCell ref="AP94:AP99"/>
    <mergeCell ref="C94:C99"/>
    <mergeCell ref="AF94:AF99"/>
    <mergeCell ref="AG94:AG99"/>
    <mergeCell ref="AH94:AH99"/>
    <mergeCell ref="AI94:AI99"/>
    <mergeCell ref="AJ94:AJ99"/>
    <mergeCell ref="AT88:AT93"/>
    <mergeCell ref="AU88:AU93"/>
    <mergeCell ref="AV88:AV93"/>
    <mergeCell ref="AW88:AW93"/>
    <mergeCell ref="AX88:AX93"/>
    <mergeCell ref="AM88:AM93"/>
    <mergeCell ref="AN88:AN93"/>
    <mergeCell ref="AO88:AO93"/>
    <mergeCell ref="AP88:AP93"/>
    <mergeCell ref="AQ88:AQ93"/>
    <mergeCell ref="AR88:AR93"/>
    <mergeCell ref="AX82:AX87"/>
    <mergeCell ref="C88:C93"/>
    <mergeCell ref="AF88:AF93"/>
    <mergeCell ref="AG88:AG93"/>
    <mergeCell ref="AH88:AH93"/>
    <mergeCell ref="AI88:AI93"/>
    <mergeCell ref="AJ88:AJ93"/>
    <mergeCell ref="AK88:AK93"/>
    <mergeCell ref="AL88:AL93"/>
    <mergeCell ref="AQ82:AQ87"/>
    <mergeCell ref="AR82:AR87"/>
    <mergeCell ref="AS82:AS87"/>
    <mergeCell ref="AT82:AT87"/>
    <mergeCell ref="AU82:AU87"/>
    <mergeCell ref="AV82:AV87"/>
    <mergeCell ref="AK82:AK87"/>
    <mergeCell ref="AL82:AL87"/>
    <mergeCell ref="AM82:AM87"/>
    <mergeCell ref="AN82:AN87"/>
    <mergeCell ref="AO82:AO87"/>
    <mergeCell ref="AP82:AP87"/>
    <mergeCell ref="C82:C87"/>
    <mergeCell ref="AF82:AF87"/>
    <mergeCell ref="AS88:AS93"/>
    <mergeCell ref="AG82:AG87"/>
    <mergeCell ref="AH82:AH87"/>
    <mergeCell ref="AI82:AI87"/>
    <mergeCell ref="AJ82:AJ87"/>
    <mergeCell ref="AS76:AS81"/>
    <mergeCell ref="AT76:AT81"/>
    <mergeCell ref="AU76:AU81"/>
    <mergeCell ref="AV76:AV81"/>
    <mergeCell ref="AW76:AW81"/>
    <mergeCell ref="AW82:AW87"/>
    <mergeCell ref="AX76:AX81"/>
    <mergeCell ref="AM76:AM81"/>
    <mergeCell ref="AN76:AN81"/>
    <mergeCell ref="AO76:AO81"/>
    <mergeCell ref="AP76:AP81"/>
    <mergeCell ref="AQ76:AQ81"/>
    <mergeCell ref="AR76:AR81"/>
    <mergeCell ref="AW70:AW75"/>
    <mergeCell ref="AX70:AX75"/>
    <mergeCell ref="AR70:AR75"/>
    <mergeCell ref="AS70:AS75"/>
    <mergeCell ref="AT70:AT75"/>
    <mergeCell ref="AU70:AU75"/>
    <mergeCell ref="AV70:AV75"/>
    <mergeCell ref="C76:C81"/>
    <mergeCell ref="AF76:AF81"/>
    <mergeCell ref="AG76:AG81"/>
    <mergeCell ref="AH76:AH81"/>
    <mergeCell ref="AI76:AI81"/>
    <mergeCell ref="AJ76:AJ81"/>
    <mergeCell ref="AK76:AK81"/>
    <mergeCell ref="AL76:AL81"/>
    <mergeCell ref="AQ70:AQ75"/>
    <mergeCell ref="AK70:AK75"/>
    <mergeCell ref="AL70:AL75"/>
    <mergeCell ref="AM70:AM75"/>
    <mergeCell ref="AN70:AN75"/>
    <mergeCell ref="AO70:AO75"/>
    <mergeCell ref="AP70:AP75"/>
    <mergeCell ref="C70:C75"/>
    <mergeCell ref="AF70:AF75"/>
    <mergeCell ref="AG70:AG75"/>
    <mergeCell ref="AH70:AH75"/>
    <mergeCell ref="AI70:AI75"/>
    <mergeCell ref="AJ70:AJ75"/>
    <mergeCell ref="AT64:AT69"/>
    <mergeCell ref="AU64:AU69"/>
    <mergeCell ref="AV64:AV69"/>
    <mergeCell ref="AW64:AW69"/>
    <mergeCell ref="AX64:AX69"/>
    <mergeCell ref="AM64:AM69"/>
    <mergeCell ref="AN64:AN69"/>
    <mergeCell ref="AO64:AO69"/>
    <mergeCell ref="AP64:AP69"/>
    <mergeCell ref="AQ64:AQ69"/>
    <mergeCell ref="AR64:AR69"/>
    <mergeCell ref="AX58:AX63"/>
    <mergeCell ref="C64:C69"/>
    <mergeCell ref="AF64:AF69"/>
    <mergeCell ref="AG64:AG69"/>
    <mergeCell ref="AH64:AH69"/>
    <mergeCell ref="AI64:AI69"/>
    <mergeCell ref="AJ64:AJ69"/>
    <mergeCell ref="AK64:AK69"/>
    <mergeCell ref="AL64:AL69"/>
    <mergeCell ref="AQ58:AQ63"/>
    <mergeCell ref="AR58:AR63"/>
    <mergeCell ref="AS58:AS63"/>
    <mergeCell ref="AT58:AT63"/>
    <mergeCell ref="AU58:AU63"/>
    <mergeCell ref="AV58:AV63"/>
    <mergeCell ref="AK58:AK63"/>
    <mergeCell ref="AL58:AL63"/>
    <mergeCell ref="AM58:AM63"/>
    <mergeCell ref="AN58:AN63"/>
    <mergeCell ref="AO58:AO63"/>
    <mergeCell ref="AP58:AP63"/>
    <mergeCell ref="C58:C63"/>
    <mergeCell ref="AF58:AF63"/>
    <mergeCell ref="AS64:AS69"/>
    <mergeCell ref="AG58:AG63"/>
    <mergeCell ref="AH58:AH63"/>
    <mergeCell ref="AI58:AI63"/>
    <mergeCell ref="AJ58:AJ63"/>
    <mergeCell ref="AS52:AS57"/>
    <mergeCell ref="AT52:AT57"/>
    <mergeCell ref="AU52:AU57"/>
    <mergeCell ref="AV52:AV57"/>
    <mergeCell ref="AW52:AW57"/>
    <mergeCell ref="AW58:AW63"/>
    <mergeCell ref="AX52:AX57"/>
    <mergeCell ref="AM52:AM57"/>
    <mergeCell ref="AN52:AN57"/>
    <mergeCell ref="AO52:AO57"/>
    <mergeCell ref="AP52:AP57"/>
    <mergeCell ref="AQ52:AQ57"/>
    <mergeCell ref="AR52:AR57"/>
    <mergeCell ref="AW46:AW51"/>
    <mergeCell ref="AX46:AX51"/>
    <mergeCell ref="AR46:AR51"/>
    <mergeCell ref="AS46:AS51"/>
    <mergeCell ref="AT46:AT51"/>
    <mergeCell ref="AU46:AU51"/>
    <mergeCell ref="AV46:AV51"/>
    <mergeCell ref="C52:C57"/>
    <mergeCell ref="AF52:AF57"/>
    <mergeCell ref="AG52:AG57"/>
    <mergeCell ref="AH52:AH57"/>
    <mergeCell ref="AI52:AI57"/>
    <mergeCell ref="AJ52:AJ57"/>
    <mergeCell ref="AK52:AK57"/>
    <mergeCell ref="AL52:AL57"/>
    <mergeCell ref="AQ46:AQ51"/>
    <mergeCell ref="AK46:AK51"/>
    <mergeCell ref="AL46:AL51"/>
    <mergeCell ref="AM46:AM51"/>
    <mergeCell ref="AN46:AN51"/>
    <mergeCell ref="AO46:AO51"/>
    <mergeCell ref="AP46:AP51"/>
    <mergeCell ref="C46:C51"/>
    <mergeCell ref="AF46:AF51"/>
    <mergeCell ref="AG46:AG51"/>
    <mergeCell ref="AH46:AH51"/>
    <mergeCell ref="AI46:AI51"/>
    <mergeCell ref="AJ46:AJ51"/>
    <mergeCell ref="AT40:AT45"/>
    <mergeCell ref="AU40:AU45"/>
    <mergeCell ref="AV40:AV45"/>
    <mergeCell ref="AW40:AW45"/>
    <mergeCell ref="AX40:AX45"/>
    <mergeCell ref="AM40:AM45"/>
    <mergeCell ref="AN40:AN45"/>
    <mergeCell ref="AO40:AO45"/>
    <mergeCell ref="AP40:AP45"/>
    <mergeCell ref="AQ40:AQ45"/>
    <mergeCell ref="AR40:AR45"/>
    <mergeCell ref="AX34:AX39"/>
    <mergeCell ref="C40:C45"/>
    <mergeCell ref="AF40:AF45"/>
    <mergeCell ref="AG40:AG45"/>
    <mergeCell ref="AH40:AH45"/>
    <mergeCell ref="AI40:AI45"/>
    <mergeCell ref="AJ40:AJ45"/>
    <mergeCell ref="AK40:AK45"/>
    <mergeCell ref="AL40:AL45"/>
    <mergeCell ref="AQ34:AQ39"/>
    <mergeCell ref="AR34:AR39"/>
    <mergeCell ref="AS34:AS39"/>
    <mergeCell ref="AT34:AT39"/>
    <mergeCell ref="AU34:AU39"/>
    <mergeCell ref="AV34:AV39"/>
    <mergeCell ref="AK34:AK39"/>
    <mergeCell ref="AL34:AL39"/>
    <mergeCell ref="AM34:AM39"/>
    <mergeCell ref="AN34:AN39"/>
    <mergeCell ref="AO34:AO39"/>
    <mergeCell ref="AP34:AP39"/>
    <mergeCell ref="C34:C39"/>
    <mergeCell ref="AF34:AF39"/>
    <mergeCell ref="AS40:AS45"/>
    <mergeCell ref="AG34:AG39"/>
    <mergeCell ref="AH34:AH39"/>
    <mergeCell ref="AI34:AI39"/>
    <mergeCell ref="AJ34:AJ39"/>
    <mergeCell ref="AS28:AS33"/>
    <mergeCell ref="AT28:AT33"/>
    <mergeCell ref="AU28:AU33"/>
    <mergeCell ref="AV28:AV33"/>
    <mergeCell ref="AW28:AW33"/>
    <mergeCell ref="AW34:AW39"/>
    <mergeCell ref="AF22:AF27"/>
    <mergeCell ref="AG22:AG27"/>
    <mergeCell ref="AH22:AH27"/>
    <mergeCell ref="AI22:AI27"/>
    <mergeCell ref="AJ22:AJ27"/>
    <mergeCell ref="AX28:AX33"/>
    <mergeCell ref="AM28:AM33"/>
    <mergeCell ref="AN28:AN33"/>
    <mergeCell ref="AO28:AO33"/>
    <mergeCell ref="AP28:AP33"/>
    <mergeCell ref="AQ28:AQ33"/>
    <mergeCell ref="AR28:AR33"/>
    <mergeCell ref="AW22:AW27"/>
    <mergeCell ref="AX22:AX27"/>
    <mergeCell ref="AR22:AR27"/>
    <mergeCell ref="AS22:AS27"/>
    <mergeCell ref="AT22:AT27"/>
    <mergeCell ref="AU22:AU27"/>
    <mergeCell ref="AV22:AV27"/>
    <mergeCell ref="AW16:AW21"/>
    <mergeCell ref="AX16:AX21"/>
    <mergeCell ref="AM16:AM21"/>
    <mergeCell ref="AN16:AN21"/>
    <mergeCell ref="AO16:AO21"/>
    <mergeCell ref="AP16:AP21"/>
    <mergeCell ref="AQ16:AQ21"/>
    <mergeCell ref="AR16:AR21"/>
    <mergeCell ref="C28:C33"/>
    <mergeCell ref="AF28:AF33"/>
    <mergeCell ref="AG28:AG33"/>
    <mergeCell ref="AH28:AH33"/>
    <mergeCell ref="AI28:AI33"/>
    <mergeCell ref="AJ28:AJ33"/>
    <mergeCell ref="AK28:AK33"/>
    <mergeCell ref="AL28:AL33"/>
    <mergeCell ref="AQ22:AQ27"/>
    <mergeCell ref="AK22:AK27"/>
    <mergeCell ref="AL22:AL27"/>
    <mergeCell ref="AM22:AM27"/>
    <mergeCell ref="AN22:AN27"/>
    <mergeCell ref="AO22:AO27"/>
    <mergeCell ref="AP22:AP27"/>
    <mergeCell ref="C22:C27"/>
    <mergeCell ref="AV10:AV15"/>
    <mergeCell ref="AK10:AK15"/>
    <mergeCell ref="AL10:AL15"/>
    <mergeCell ref="AM10:AM15"/>
    <mergeCell ref="AN10:AN15"/>
    <mergeCell ref="AO10:AO15"/>
    <mergeCell ref="AP10:AP15"/>
    <mergeCell ref="AS16:AS21"/>
    <mergeCell ref="AT16:AT21"/>
    <mergeCell ref="AU16:AU21"/>
    <mergeCell ref="AV16:AV21"/>
    <mergeCell ref="AY8:AY9"/>
    <mergeCell ref="A10:A135"/>
    <mergeCell ref="B10:B135"/>
    <mergeCell ref="C10:C15"/>
    <mergeCell ref="AF10:AF15"/>
    <mergeCell ref="AG10:AG15"/>
    <mergeCell ref="AH10:AH15"/>
    <mergeCell ref="AI10:AI15"/>
    <mergeCell ref="AJ10:AJ15"/>
    <mergeCell ref="AW10:AW15"/>
    <mergeCell ref="AX10:AX15"/>
    <mergeCell ref="C16:C21"/>
    <mergeCell ref="AF16:AF21"/>
    <mergeCell ref="AG16:AG21"/>
    <mergeCell ref="AH16:AH21"/>
    <mergeCell ref="AI16:AI21"/>
    <mergeCell ref="AJ16:AJ21"/>
    <mergeCell ref="AK16:AK21"/>
    <mergeCell ref="AL16:AL21"/>
    <mergeCell ref="AQ10:AQ15"/>
    <mergeCell ref="AR10:AR15"/>
    <mergeCell ref="AS10:AS15"/>
    <mergeCell ref="AT10:AT15"/>
    <mergeCell ref="AU10:AU15"/>
    <mergeCell ref="C154:E154"/>
    <mergeCell ref="F154:O154"/>
    <mergeCell ref="C155:E155"/>
    <mergeCell ref="F155:O155"/>
    <mergeCell ref="A1:D3"/>
    <mergeCell ref="E1:AY1"/>
    <mergeCell ref="E2:AY2"/>
    <mergeCell ref="E3:AD3"/>
    <mergeCell ref="AE3:AY3"/>
    <mergeCell ref="A4:D4"/>
    <mergeCell ref="E4:AY4"/>
    <mergeCell ref="C153:E153"/>
    <mergeCell ref="F153:O153"/>
    <mergeCell ref="A5:D5"/>
    <mergeCell ref="E5:AY5"/>
    <mergeCell ref="A6:D6"/>
    <mergeCell ref="E6:AY6"/>
    <mergeCell ref="A7:AY7"/>
    <mergeCell ref="A8:F8"/>
    <mergeCell ref="G8:S8"/>
    <mergeCell ref="T8:AF8"/>
    <mergeCell ref="AG8:AK8"/>
    <mergeCell ref="AL8:AM8"/>
    <mergeCell ref="AN8:AX8"/>
    <mergeCell ref="AY10:AY15"/>
    <mergeCell ref="AY16:AY21"/>
    <mergeCell ref="AY22:AY27"/>
    <mergeCell ref="AY28:AY33"/>
    <mergeCell ref="AY34:AY39"/>
    <mergeCell ref="AY40:AY45"/>
    <mergeCell ref="AY46:AY51"/>
    <mergeCell ref="AY52:AY57"/>
    <mergeCell ref="AY58:AY63"/>
    <mergeCell ref="AY118:AY123"/>
    <mergeCell ref="AY124:AY129"/>
    <mergeCell ref="AY130:AY135"/>
    <mergeCell ref="AY136:AY141"/>
    <mergeCell ref="AY142:AY147"/>
    <mergeCell ref="AY64:AY69"/>
    <mergeCell ref="AY70:AY75"/>
    <mergeCell ref="AY76:AY81"/>
    <mergeCell ref="AY82:AY87"/>
    <mergeCell ref="AY88:AY93"/>
    <mergeCell ref="AY94:AY99"/>
    <mergeCell ref="AY100:AY105"/>
    <mergeCell ref="AY106:AY111"/>
    <mergeCell ref="AY112:AY117"/>
  </mergeCells>
  <conditionalFormatting sqref="BB10:BD276">
    <cfRule type="cellIs" dxfId="8" priority="4" operator="equal">
      <formula>0</formula>
    </cfRule>
    <cfRule type="cellIs" dxfId="7" priority="5" operator="greaterThan">
      <formula>0</formula>
    </cfRule>
    <cfRule type="cellIs" dxfId="6" priority="6" operator="lessThan">
      <formula>0</formula>
    </cfRule>
  </conditionalFormatting>
  <conditionalFormatting sqref="BE130:BF150">
    <cfRule type="cellIs" dxfId="5" priority="10" operator="lessThan">
      <formula>0</formula>
    </cfRule>
    <cfRule type="cellIs" dxfId="4" priority="11" operator="greaterThan">
      <formula>0</formula>
    </cfRule>
    <cfRule type="cellIs" dxfId="3" priority="12" operator="equal">
      <formula>0</formula>
    </cfRule>
  </conditionalFormatting>
  <conditionalFormatting sqref="BE250:BF276">
    <cfRule type="cellIs" dxfId="2" priority="1" operator="lessThan">
      <formula>0</formula>
    </cfRule>
    <cfRule type="cellIs" dxfId="1" priority="2" operator="greaterThan">
      <formula>0</formula>
    </cfRule>
    <cfRule type="cellIs" dxfId="0" priority="3" operator="equal">
      <formula>0</formula>
    </cfRule>
  </conditionalFormatting>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372"/>
  <sheetViews>
    <sheetView zoomScale="51" zoomScaleNormal="51" zoomScalePageLayoutView="75" workbookViewId="0">
      <selection activeCell="G19" sqref="G19"/>
    </sheetView>
  </sheetViews>
  <sheetFormatPr baseColWidth="10" defaultRowHeight="15" x14ac:dyDescent="0.25"/>
  <cols>
    <col min="1" max="1" width="16.42578125" customWidth="1"/>
    <col min="2" max="2" width="58.42578125" bestFit="1" customWidth="1"/>
    <col min="3" max="3" width="25.140625" customWidth="1"/>
    <col min="4" max="4" width="43.7109375" bestFit="1" customWidth="1"/>
    <col min="5" max="5" width="28" customWidth="1"/>
    <col min="6" max="6" width="29.7109375" customWidth="1"/>
    <col min="7" max="7" width="52" customWidth="1"/>
    <col min="8" max="8" width="49.140625" style="303" customWidth="1"/>
    <col min="9" max="9" width="18.42578125" customWidth="1"/>
    <col min="10" max="10" width="20.140625" customWidth="1"/>
    <col min="12" max="12" width="14.42578125" customWidth="1"/>
    <col min="13" max="13" width="16.42578125" customWidth="1"/>
    <col min="14" max="14" width="92" customWidth="1"/>
  </cols>
  <sheetData>
    <row r="1" spans="1:14" ht="29.25" customHeight="1" x14ac:dyDescent="0.25">
      <c r="A1" s="914"/>
      <c r="B1" s="916"/>
      <c r="C1" s="1144" t="s">
        <v>39</v>
      </c>
      <c r="D1" s="1145"/>
      <c r="E1" s="1145"/>
      <c r="F1" s="1145"/>
      <c r="G1" s="1145"/>
      <c r="H1" s="1145"/>
      <c r="I1" s="1145"/>
      <c r="J1" s="1145"/>
      <c r="K1" s="1145"/>
      <c r="L1" s="1145"/>
      <c r="M1" s="1145"/>
      <c r="N1" s="1146"/>
    </row>
    <row r="2" spans="1:14" ht="33.75" customHeight="1" thickBot="1" x14ac:dyDescent="0.3">
      <c r="A2" s="917"/>
      <c r="B2" s="919"/>
      <c r="C2" s="1147" t="s">
        <v>123</v>
      </c>
      <c r="D2" s="1148"/>
      <c r="E2" s="1148"/>
      <c r="F2" s="1148"/>
      <c r="G2" s="1148"/>
      <c r="H2" s="1149"/>
      <c r="I2" s="1149"/>
      <c r="J2" s="1149"/>
      <c r="K2" s="1149"/>
      <c r="L2" s="1149"/>
      <c r="M2" s="1149"/>
      <c r="N2" s="1150"/>
    </row>
    <row r="3" spans="1:14" ht="27" thickBot="1" x14ac:dyDescent="0.45">
      <c r="A3" s="920"/>
      <c r="B3" s="922"/>
      <c r="C3" s="1151" t="s">
        <v>40</v>
      </c>
      <c r="D3" s="1152"/>
      <c r="E3" s="1152"/>
      <c r="F3" s="1152"/>
      <c r="G3" s="1152"/>
      <c r="H3" s="1153" t="s">
        <v>363</v>
      </c>
      <c r="I3" s="1154"/>
      <c r="J3" s="1154"/>
      <c r="K3" s="1154"/>
      <c r="L3" s="1154"/>
      <c r="M3" s="1154"/>
      <c r="N3" s="1155"/>
    </row>
    <row r="4" spans="1:14" ht="26.25" customHeight="1" thickBot="1" x14ac:dyDescent="0.4">
      <c r="A4" s="1156" t="s">
        <v>0</v>
      </c>
      <c r="B4" s="1157"/>
      <c r="C4" s="1158" t="s">
        <v>369</v>
      </c>
      <c r="D4" s="1158"/>
      <c r="E4" s="1158"/>
      <c r="F4" s="1158"/>
      <c r="G4" s="1158"/>
      <c r="H4" s="1158"/>
      <c r="I4" s="1158"/>
      <c r="J4" s="1158"/>
      <c r="K4" s="1158"/>
      <c r="L4" s="1158"/>
      <c r="M4" s="1158"/>
      <c r="N4" s="1159"/>
    </row>
    <row r="5" spans="1:14" ht="29.25" customHeight="1" thickBot="1" x14ac:dyDescent="0.4">
      <c r="A5" s="1166" t="s">
        <v>2</v>
      </c>
      <c r="B5" s="1167"/>
      <c r="C5" s="1168" t="s">
        <v>370</v>
      </c>
      <c r="D5" s="1168"/>
      <c r="E5" s="1168"/>
      <c r="F5" s="1168"/>
      <c r="G5" s="1168"/>
      <c r="H5" s="1168"/>
      <c r="I5" s="1168"/>
      <c r="J5" s="1168"/>
      <c r="K5" s="1168"/>
      <c r="L5" s="1168"/>
      <c r="M5" s="1168"/>
      <c r="N5" s="1169"/>
    </row>
    <row r="6" spans="1:14" ht="29.25" customHeight="1" thickBot="1" x14ac:dyDescent="0.4">
      <c r="A6" s="369"/>
      <c r="B6" s="369"/>
      <c r="C6" s="370"/>
      <c r="D6" s="370"/>
      <c r="E6" s="370"/>
      <c r="F6" s="370"/>
      <c r="G6" s="370"/>
      <c r="H6" s="370"/>
      <c r="I6" s="370"/>
      <c r="J6" s="370"/>
      <c r="K6" s="370"/>
      <c r="L6" s="370"/>
      <c r="M6" s="370"/>
      <c r="N6" s="370"/>
    </row>
    <row r="7" spans="1:14" ht="28.5" customHeight="1" x14ac:dyDescent="0.25">
      <c r="A7" s="1160" t="s">
        <v>124</v>
      </c>
      <c r="B7" s="1161"/>
      <c r="C7" s="1161"/>
      <c r="D7" s="1161"/>
      <c r="E7" s="1161"/>
      <c r="F7" s="1161"/>
      <c r="G7" s="1161"/>
      <c r="H7" s="1162"/>
    </row>
    <row r="8" spans="1:14" ht="33.75" customHeight="1" x14ac:dyDescent="0.25">
      <c r="A8" s="32" t="s">
        <v>50</v>
      </c>
      <c r="B8" s="33" t="s">
        <v>125</v>
      </c>
      <c r="C8" s="33" t="s">
        <v>126</v>
      </c>
      <c r="D8" s="33" t="s">
        <v>127</v>
      </c>
      <c r="E8" s="33" t="s">
        <v>128</v>
      </c>
      <c r="F8" s="33" t="s">
        <v>570</v>
      </c>
      <c r="G8" s="33" t="s">
        <v>130</v>
      </c>
      <c r="H8" s="449" t="s">
        <v>131</v>
      </c>
    </row>
    <row r="9" spans="1:14" ht="33.75" customHeight="1" x14ac:dyDescent="0.25">
      <c r="A9" s="371" t="s">
        <v>132</v>
      </c>
      <c r="B9" s="274" t="s">
        <v>396</v>
      </c>
      <c r="C9" s="372">
        <v>0</v>
      </c>
      <c r="D9" s="373">
        <v>3100351062</v>
      </c>
      <c r="E9" s="374">
        <v>61765000</v>
      </c>
      <c r="F9" s="374">
        <v>0</v>
      </c>
      <c r="G9" s="375">
        <v>0</v>
      </c>
      <c r="H9" s="376">
        <f t="shared" ref="H9:H14" si="0">+G9/E9</f>
        <v>0</v>
      </c>
    </row>
    <row r="10" spans="1:14" ht="33.75" customHeight="1" x14ac:dyDescent="0.25">
      <c r="A10" s="371" t="s">
        <v>133</v>
      </c>
      <c r="B10" s="274" t="s">
        <v>396</v>
      </c>
      <c r="C10" s="372">
        <v>0</v>
      </c>
      <c r="D10" s="373">
        <v>3100351062</v>
      </c>
      <c r="E10" s="374">
        <v>1834168000</v>
      </c>
      <c r="F10" s="374">
        <v>0</v>
      </c>
      <c r="G10" s="375">
        <v>0</v>
      </c>
      <c r="H10" s="376">
        <f t="shared" si="0"/>
        <v>0</v>
      </c>
    </row>
    <row r="11" spans="1:14" ht="33.75" customHeight="1" x14ac:dyDescent="0.25">
      <c r="A11" s="371" t="s">
        <v>134</v>
      </c>
      <c r="B11" s="274" t="s">
        <v>396</v>
      </c>
      <c r="C11" s="372">
        <v>0</v>
      </c>
      <c r="D11" s="373">
        <v>3100351062</v>
      </c>
      <c r="E11" s="374">
        <v>2020192000</v>
      </c>
      <c r="F11" s="374">
        <v>146090669</v>
      </c>
      <c r="G11" s="375">
        <v>146090669</v>
      </c>
      <c r="H11" s="376">
        <f t="shared" si="0"/>
        <v>7.2315239838589604E-2</v>
      </c>
    </row>
    <row r="12" spans="1:14" ht="33.75" customHeight="1" x14ac:dyDescent="0.25">
      <c r="A12" s="371" t="s">
        <v>135</v>
      </c>
      <c r="B12" s="274" t="s">
        <v>396</v>
      </c>
      <c r="C12" s="372">
        <v>0</v>
      </c>
      <c r="D12" s="373">
        <v>3100351062</v>
      </c>
      <c r="E12" s="374">
        <v>2020192000</v>
      </c>
      <c r="F12" s="374">
        <v>374406735</v>
      </c>
      <c r="G12" s="375">
        <v>374406735</v>
      </c>
      <c r="H12" s="376">
        <f t="shared" si="0"/>
        <v>0.18533225307297524</v>
      </c>
    </row>
    <row r="13" spans="1:14" ht="33.75" customHeight="1" x14ac:dyDescent="0.25">
      <c r="A13" s="371" t="s">
        <v>136</v>
      </c>
      <c r="B13" s="274" t="s">
        <v>396</v>
      </c>
      <c r="C13" s="372">
        <v>0</v>
      </c>
      <c r="D13" s="373">
        <v>3100351062</v>
      </c>
      <c r="E13" s="374">
        <v>2035679245</v>
      </c>
      <c r="F13" s="374">
        <v>512674881</v>
      </c>
      <c r="G13" s="375">
        <v>512674881</v>
      </c>
      <c r="H13" s="376">
        <f t="shared" si="0"/>
        <v>0.25184462741820607</v>
      </c>
    </row>
    <row r="14" spans="1:14" ht="33.75" customHeight="1" x14ac:dyDescent="0.25">
      <c r="A14" s="371" t="s">
        <v>137</v>
      </c>
      <c r="B14" s="274" t="s">
        <v>396</v>
      </c>
      <c r="C14" s="372">
        <v>0</v>
      </c>
      <c r="D14" s="373">
        <v>3100351062</v>
      </c>
      <c r="E14" s="374">
        <v>3057415113</v>
      </c>
      <c r="F14" s="374">
        <v>789012578</v>
      </c>
      <c r="G14" s="375">
        <v>789012578</v>
      </c>
      <c r="H14" s="376">
        <f t="shared" si="0"/>
        <v>0.25806524427944111</v>
      </c>
    </row>
    <row r="15" spans="1:14" s="2" customFormat="1" ht="33.75" customHeight="1" thickBot="1" x14ac:dyDescent="0.3">
      <c r="A15" s="377"/>
      <c r="B15" s="378"/>
      <c r="C15" s="378"/>
      <c r="D15" s="378"/>
      <c r="E15" s="378"/>
      <c r="F15" s="378"/>
      <c r="G15" s="378"/>
      <c r="H15" s="379"/>
    </row>
    <row r="16" spans="1:14" ht="28.5" customHeight="1" x14ac:dyDescent="0.25">
      <c r="A16" s="1160" t="s">
        <v>138</v>
      </c>
      <c r="B16" s="1161"/>
      <c r="C16" s="1161"/>
      <c r="D16" s="1161"/>
      <c r="E16" s="1161"/>
      <c r="F16" s="1161"/>
      <c r="G16" s="1161"/>
      <c r="H16" s="1162"/>
    </row>
    <row r="17" spans="1:10" ht="33.75" customHeight="1" x14ac:dyDescent="0.25">
      <c r="A17" s="32" t="s">
        <v>50</v>
      </c>
      <c r="B17" s="33" t="s">
        <v>125</v>
      </c>
      <c r="C17" s="33" t="s">
        <v>126</v>
      </c>
      <c r="D17" s="33" t="s">
        <v>127</v>
      </c>
      <c r="E17" s="33" t="s">
        <v>128</v>
      </c>
      <c r="F17" s="33" t="s">
        <v>129</v>
      </c>
      <c r="G17" s="33" t="s">
        <v>130</v>
      </c>
      <c r="H17" s="449" t="s">
        <v>131</v>
      </c>
    </row>
    <row r="18" spans="1:10" ht="37.5" customHeight="1" x14ac:dyDescent="0.25">
      <c r="A18" s="380" t="s">
        <v>139</v>
      </c>
      <c r="B18" s="381" t="s">
        <v>396</v>
      </c>
      <c r="C18" s="382">
        <v>0</v>
      </c>
      <c r="D18" s="373">
        <v>4266643000</v>
      </c>
      <c r="E18" s="373">
        <v>0</v>
      </c>
      <c r="F18" s="373">
        <v>0</v>
      </c>
      <c r="G18" s="383">
        <v>0</v>
      </c>
      <c r="H18" s="384" t="e">
        <f>G18/E18</f>
        <v>#DIV/0!</v>
      </c>
    </row>
    <row r="19" spans="1:10" ht="37.5" customHeight="1" x14ac:dyDescent="0.25">
      <c r="A19" s="380" t="s">
        <v>140</v>
      </c>
      <c r="B19" s="381" t="s">
        <v>396</v>
      </c>
      <c r="C19" s="382">
        <v>0</v>
      </c>
      <c r="D19" s="373">
        <v>4266643000</v>
      </c>
      <c r="E19" s="373">
        <v>1251929000</v>
      </c>
      <c r="F19" s="385">
        <v>0</v>
      </c>
      <c r="G19" s="383">
        <v>0</v>
      </c>
      <c r="H19" s="386">
        <f t="shared" ref="H19:H29" si="1">G19/E19</f>
        <v>0</v>
      </c>
    </row>
    <row r="20" spans="1:10" ht="37.5" customHeight="1" x14ac:dyDescent="0.25">
      <c r="A20" s="380" t="s">
        <v>141</v>
      </c>
      <c r="B20" s="381" t="s">
        <v>396</v>
      </c>
      <c r="C20" s="382">
        <v>0</v>
      </c>
      <c r="D20" s="373">
        <v>4266643000</v>
      </c>
      <c r="E20" s="373">
        <v>3700506000</v>
      </c>
      <c r="F20" s="385">
        <v>10577600</v>
      </c>
      <c r="G20" s="383">
        <v>10577600</v>
      </c>
      <c r="H20" s="387">
        <f t="shared" si="1"/>
        <v>2.8584199025754858E-3</v>
      </c>
    </row>
    <row r="21" spans="1:10" ht="37.5" customHeight="1" x14ac:dyDescent="0.25">
      <c r="A21" s="380" t="s">
        <v>142</v>
      </c>
      <c r="B21" s="381" t="s">
        <v>396</v>
      </c>
      <c r="C21" s="382">
        <v>0</v>
      </c>
      <c r="D21" s="373">
        <v>4266643000</v>
      </c>
      <c r="E21" s="373">
        <v>3979541000</v>
      </c>
      <c r="F21" s="385">
        <f>251041734+F20</f>
        <v>261619334</v>
      </c>
      <c r="G21" s="383">
        <v>261619334</v>
      </c>
      <c r="H21" s="387">
        <f t="shared" si="1"/>
        <v>6.5741082702753917E-2</v>
      </c>
    </row>
    <row r="22" spans="1:10" ht="37.5" customHeight="1" x14ac:dyDescent="0.25">
      <c r="A22" s="380" t="s">
        <v>143</v>
      </c>
      <c r="B22" s="381" t="s">
        <v>396</v>
      </c>
      <c r="C22" s="382">
        <v>0</v>
      </c>
      <c r="D22" s="373">
        <v>4266643000</v>
      </c>
      <c r="E22" s="373">
        <v>3986585550</v>
      </c>
      <c r="F22" s="385">
        <f>401653301+F21</f>
        <v>663272635</v>
      </c>
      <c r="G22" s="383">
        <v>663272635</v>
      </c>
      <c r="H22" s="387">
        <f t="shared" si="1"/>
        <v>0.16637611978501252</v>
      </c>
    </row>
    <row r="23" spans="1:10" ht="37.5" customHeight="1" x14ac:dyDescent="0.25">
      <c r="A23" s="380" t="s">
        <v>144</v>
      </c>
      <c r="B23" s="381" t="s">
        <v>396</v>
      </c>
      <c r="C23" s="382">
        <v>0</v>
      </c>
      <c r="D23" s="373">
        <v>4266643000</v>
      </c>
      <c r="E23" s="373">
        <v>4148117730</v>
      </c>
      <c r="F23" s="373">
        <v>1120263342</v>
      </c>
      <c r="G23" s="383">
        <v>1120263342</v>
      </c>
      <c r="H23" s="387">
        <f t="shared" si="1"/>
        <v>0.27006546460772701</v>
      </c>
    </row>
    <row r="24" spans="1:10" ht="37.5" customHeight="1" x14ac:dyDescent="0.25">
      <c r="A24" s="380" t="s">
        <v>132</v>
      </c>
      <c r="B24" s="381" t="s">
        <v>396</v>
      </c>
      <c r="C24" s="382">
        <v>0</v>
      </c>
      <c r="D24" s="373">
        <v>4266643000</v>
      </c>
      <c r="E24" s="373">
        <v>4148117730</v>
      </c>
      <c r="F24" s="373">
        <v>1577666376</v>
      </c>
      <c r="G24" s="383">
        <v>1577666376</v>
      </c>
      <c r="H24" s="387">
        <f t="shared" si="1"/>
        <v>0.38033307603350014</v>
      </c>
      <c r="J24" s="116"/>
    </row>
    <row r="25" spans="1:10" ht="35.25" customHeight="1" x14ac:dyDescent="0.25">
      <c r="A25" s="380" t="s">
        <v>133</v>
      </c>
      <c r="B25" s="381" t="s">
        <v>396</v>
      </c>
      <c r="C25" s="382">
        <v>0</v>
      </c>
      <c r="D25" s="373">
        <v>4266643000</v>
      </c>
      <c r="E25" s="373">
        <v>4159921730</v>
      </c>
      <c r="F25" s="373">
        <v>2053853234</v>
      </c>
      <c r="G25" s="383">
        <v>2053853234</v>
      </c>
      <c r="H25" s="387">
        <f t="shared" si="1"/>
        <v>0.49372400908129588</v>
      </c>
    </row>
    <row r="26" spans="1:10" ht="35.25" customHeight="1" x14ac:dyDescent="0.25">
      <c r="A26" s="380" t="s">
        <v>134</v>
      </c>
      <c r="B26" s="381" t="s">
        <v>396</v>
      </c>
      <c r="C26" s="382">
        <v>0</v>
      </c>
      <c r="D26" s="373">
        <v>4407842000</v>
      </c>
      <c r="E26" s="373">
        <v>4218857730</v>
      </c>
      <c r="F26" s="373">
        <v>2525867453</v>
      </c>
      <c r="G26" s="383">
        <v>2525867453</v>
      </c>
      <c r="H26" s="387">
        <f t="shared" si="1"/>
        <v>0.59870884837825522</v>
      </c>
    </row>
    <row r="27" spans="1:10" ht="35.25" customHeight="1" x14ac:dyDescent="0.25">
      <c r="A27" s="380" t="s">
        <v>135</v>
      </c>
      <c r="B27" s="381" t="s">
        <v>396</v>
      </c>
      <c r="C27" s="382">
        <v>0</v>
      </c>
      <c r="D27" s="373">
        <v>4407842000</v>
      </c>
      <c r="E27" s="373">
        <v>4243054397</v>
      </c>
      <c r="F27" s="373">
        <v>2977467896</v>
      </c>
      <c r="G27" s="383">
        <v>2977467896</v>
      </c>
      <c r="H27" s="388">
        <f t="shared" si="1"/>
        <v>0.7017274862432078</v>
      </c>
    </row>
    <row r="28" spans="1:10" ht="35.25" customHeight="1" x14ac:dyDescent="0.25">
      <c r="A28" s="380" t="s">
        <v>136</v>
      </c>
      <c r="B28" s="381" t="s">
        <v>396</v>
      </c>
      <c r="C28" s="382">
        <v>0</v>
      </c>
      <c r="D28" s="373">
        <v>4407842000</v>
      </c>
      <c r="E28" s="373">
        <v>4339559831</v>
      </c>
      <c r="F28" s="373">
        <v>3438656672</v>
      </c>
      <c r="G28" s="383">
        <v>3438656672</v>
      </c>
      <c r="H28" s="388">
        <f t="shared" si="1"/>
        <v>0.79239757162366453</v>
      </c>
    </row>
    <row r="29" spans="1:10" ht="35.25" customHeight="1" thickBot="1" x14ac:dyDescent="0.3">
      <c r="A29" s="389" t="s">
        <v>137</v>
      </c>
      <c r="B29" s="381" t="s">
        <v>396</v>
      </c>
      <c r="C29" s="382">
        <v>0</v>
      </c>
      <c r="D29" s="373">
        <v>4407842000</v>
      </c>
      <c r="E29" s="373">
        <v>4403552197</v>
      </c>
      <c r="F29" s="373">
        <v>4002566590</v>
      </c>
      <c r="G29" s="383">
        <v>4002566590</v>
      </c>
      <c r="H29" s="388">
        <f t="shared" si="1"/>
        <v>0.90894042149127274</v>
      </c>
      <c r="J29" s="116"/>
    </row>
    <row r="30" spans="1:10" ht="16.5" customHeight="1" x14ac:dyDescent="0.25"/>
    <row r="31" spans="1:10" ht="16.5" customHeight="1" thickBot="1" x14ac:dyDescent="0.3"/>
    <row r="32" spans="1:10" ht="24.75" customHeight="1" x14ac:dyDescent="0.25">
      <c r="A32" s="1160" t="s">
        <v>145</v>
      </c>
      <c r="B32" s="1161"/>
      <c r="C32" s="1161"/>
      <c r="D32" s="1161"/>
      <c r="E32" s="1161"/>
      <c r="F32" s="1161"/>
      <c r="G32" s="1161"/>
      <c r="H32" s="1162"/>
    </row>
    <row r="33" spans="1:8" ht="25.5" customHeight="1" x14ac:dyDescent="0.25">
      <c r="A33" s="32" t="s">
        <v>62</v>
      </c>
      <c r="B33" s="33" t="s">
        <v>125</v>
      </c>
      <c r="C33" s="33" t="s">
        <v>126</v>
      </c>
      <c r="D33" s="33" t="s">
        <v>127</v>
      </c>
      <c r="E33" s="33" t="s">
        <v>128</v>
      </c>
      <c r="F33" s="33" t="s">
        <v>129</v>
      </c>
      <c r="G33" s="33" t="s">
        <v>130</v>
      </c>
      <c r="H33" s="449" t="s">
        <v>131</v>
      </c>
    </row>
    <row r="34" spans="1:8" s="3" customFormat="1" ht="58.5" customHeight="1" x14ac:dyDescent="0.25">
      <c r="A34" s="390" t="s">
        <v>139</v>
      </c>
      <c r="B34" s="274" t="s">
        <v>396</v>
      </c>
      <c r="C34" s="391">
        <v>0</v>
      </c>
      <c r="D34" s="392">
        <v>6598755000</v>
      </c>
      <c r="E34" s="392">
        <v>6256327000</v>
      </c>
      <c r="F34" s="393">
        <v>0</v>
      </c>
      <c r="G34" s="394">
        <v>0</v>
      </c>
      <c r="H34" s="395">
        <f t="shared" ref="H34:H45" si="2">G34/E34</f>
        <v>0</v>
      </c>
    </row>
    <row r="35" spans="1:8" s="3" customFormat="1" ht="58.5" customHeight="1" x14ac:dyDescent="0.25">
      <c r="A35" s="390" t="s">
        <v>140</v>
      </c>
      <c r="B35" s="274" t="s">
        <v>396</v>
      </c>
      <c r="C35" s="391">
        <v>0</v>
      </c>
      <c r="D35" s="392">
        <v>6598755000</v>
      </c>
      <c r="E35" s="392">
        <v>6307107000</v>
      </c>
      <c r="F35" s="392">
        <v>53322901</v>
      </c>
      <c r="G35" s="394">
        <v>53322901</v>
      </c>
      <c r="H35" s="395">
        <f t="shared" si="2"/>
        <v>8.4544151542061997E-3</v>
      </c>
    </row>
    <row r="36" spans="1:8" s="3" customFormat="1" ht="58.5" customHeight="1" x14ac:dyDescent="0.25">
      <c r="A36" s="390" t="s">
        <v>141</v>
      </c>
      <c r="B36" s="274" t="s">
        <v>396</v>
      </c>
      <c r="C36" s="391">
        <v>0</v>
      </c>
      <c r="D36" s="392">
        <v>6598755000</v>
      </c>
      <c r="E36" s="392">
        <v>6325816000</v>
      </c>
      <c r="F36" s="392">
        <v>571470735</v>
      </c>
      <c r="G36" s="394">
        <v>571470735</v>
      </c>
      <c r="H36" s="395">
        <f t="shared" si="2"/>
        <v>9.0339449487623416E-2</v>
      </c>
    </row>
    <row r="37" spans="1:8" ht="58.5" customHeight="1" x14ac:dyDescent="0.25">
      <c r="A37" s="390" t="s">
        <v>142</v>
      </c>
      <c r="B37" s="274" t="s">
        <v>396</v>
      </c>
      <c r="C37" s="391">
        <v>0</v>
      </c>
      <c r="D37" s="392">
        <v>6598755000</v>
      </c>
      <c r="E37" s="392">
        <v>6325816000</v>
      </c>
      <c r="F37" s="392">
        <v>1167198001</v>
      </c>
      <c r="G37" s="394">
        <v>1167198001</v>
      </c>
      <c r="H37" s="395">
        <f t="shared" si="2"/>
        <v>0.18451342893944433</v>
      </c>
    </row>
    <row r="38" spans="1:8" ht="58.5" customHeight="1" x14ac:dyDescent="0.25">
      <c r="A38" s="390" t="s">
        <v>143</v>
      </c>
      <c r="B38" s="274" t="s">
        <v>396</v>
      </c>
      <c r="C38" s="391">
        <v>0</v>
      </c>
      <c r="D38" s="392">
        <v>6598755000</v>
      </c>
      <c r="E38" s="392">
        <v>6325816000</v>
      </c>
      <c r="F38" s="392">
        <v>1826029883</v>
      </c>
      <c r="G38" s="394">
        <v>1826029883</v>
      </c>
      <c r="H38" s="395">
        <f t="shared" si="2"/>
        <v>0.28866313579149316</v>
      </c>
    </row>
    <row r="39" spans="1:8" ht="58.5" customHeight="1" x14ac:dyDescent="0.25">
      <c r="A39" s="390" t="s">
        <v>144</v>
      </c>
      <c r="B39" s="274" t="s">
        <v>396</v>
      </c>
      <c r="C39" s="391">
        <v>0</v>
      </c>
      <c r="D39" s="392">
        <v>6598755000</v>
      </c>
      <c r="E39" s="392">
        <v>6363465000</v>
      </c>
      <c r="F39" s="392">
        <v>2433526383</v>
      </c>
      <c r="G39" s="394">
        <v>2433526383</v>
      </c>
      <c r="H39" s="395">
        <f>G39/E39</f>
        <v>0.3824215868241595</v>
      </c>
    </row>
    <row r="40" spans="1:8" ht="58.5" customHeight="1" x14ac:dyDescent="0.25">
      <c r="A40" s="390" t="s">
        <v>132</v>
      </c>
      <c r="B40" s="274" t="s">
        <v>396</v>
      </c>
      <c r="C40" s="391">
        <v>0</v>
      </c>
      <c r="D40" s="392">
        <v>6598755000</v>
      </c>
      <c r="E40" s="392">
        <v>6366374400</v>
      </c>
      <c r="F40" s="392">
        <v>3121528783</v>
      </c>
      <c r="G40" s="394">
        <v>3121528783</v>
      </c>
      <c r="H40" s="395">
        <f t="shared" si="2"/>
        <v>0.49031498728695566</v>
      </c>
    </row>
    <row r="41" spans="1:8" ht="58.5" customHeight="1" x14ac:dyDescent="0.25">
      <c r="A41" s="390" t="s">
        <v>133</v>
      </c>
      <c r="B41" s="274" t="s">
        <v>396</v>
      </c>
      <c r="C41" s="391">
        <v>0</v>
      </c>
      <c r="D41" s="392">
        <v>6598755000</v>
      </c>
      <c r="E41" s="392">
        <v>6420098700</v>
      </c>
      <c r="F41" s="392">
        <v>3726734152</v>
      </c>
      <c r="G41" s="394">
        <v>3726734152</v>
      </c>
      <c r="H41" s="395">
        <f t="shared" si="2"/>
        <v>0.58047926147926665</v>
      </c>
    </row>
    <row r="42" spans="1:8" ht="58.5" customHeight="1" x14ac:dyDescent="0.25">
      <c r="A42" s="390" t="s">
        <v>134</v>
      </c>
      <c r="B42" s="274" t="s">
        <v>396</v>
      </c>
      <c r="C42" s="391">
        <v>0</v>
      </c>
      <c r="D42" s="392">
        <v>6598755000</v>
      </c>
      <c r="E42" s="392">
        <v>6430026900</v>
      </c>
      <c r="F42" s="392">
        <v>4389079208</v>
      </c>
      <c r="G42" s="394">
        <v>4389079208</v>
      </c>
      <c r="H42" s="395">
        <f t="shared" si="2"/>
        <v>0.68259111139954953</v>
      </c>
    </row>
    <row r="43" spans="1:8" s="71" customFormat="1" ht="58.5" customHeight="1" x14ac:dyDescent="0.25">
      <c r="A43" s="396" t="s">
        <v>135</v>
      </c>
      <c r="B43" s="397" t="s">
        <v>396</v>
      </c>
      <c r="C43" s="391">
        <v>0</v>
      </c>
      <c r="D43" s="392">
        <v>7133755000</v>
      </c>
      <c r="E43" s="392">
        <v>6462669167</v>
      </c>
      <c r="F43" s="392">
        <v>5088334390</v>
      </c>
      <c r="G43" s="394">
        <v>5088334390</v>
      </c>
      <c r="H43" s="395">
        <f t="shared" si="2"/>
        <v>0.78734254508683565</v>
      </c>
    </row>
    <row r="44" spans="1:8" ht="58.5" customHeight="1" x14ac:dyDescent="0.25">
      <c r="A44" s="396" t="s">
        <v>136</v>
      </c>
      <c r="B44" s="397" t="s">
        <v>396</v>
      </c>
      <c r="C44" s="391">
        <v>0</v>
      </c>
      <c r="D44" s="392">
        <v>7133755000</v>
      </c>
      <c r="E44" s="392">
        <v>6980842629</v>
      </c>
      <c r="F44" s="392">
        <v>5723835820</v>
      </c>
      <c r="G44" s="394">
        <v>5723835820</v>
      </c>
      <c r="H44" s="395">
        <f t="shared" si="2"/>
        <v>0.81993480217157322</v>
      </c>
    </row>
    <row r="45" spans="1:8" ht="58.5" customHeight="1" thickBot="1" x14ac:dyDescent="0.3">
      <c r="A45" s="398" t="s">
        <v>137</v>
      </c>
      <c r="B45" s="399" t="s">
        <v>396</v>
      </c>
      <c r="C45" s="391">
        <v>0</v>
      </c>
      <c r="D45" s="392">
        <v>7133755000</v>
      </c>
      <c r="E45" s="392">
        <v>7117262095</v>
      </c>
      <c r="F45" s="392">
        <v>6604929755</v>
      </c>
      <c r="G45" s="394">
        <v>6604929755</v>
      </c>
      <c r="H45" s="395">
        <f t="shared" si="2"/>
        <v>0.92801552996623204</v>
      </c>
    </row>
    <row r="46" spans="1:8" ht="16.5" customHeight="1" thickBot="1" x14ac:dyDescent="0.3"/>
    <row r="47" spans="1:8" ht="27.75" customHeight="1" x14ac:dyDescent="0.25">
      <c r="A47" s="1160" t="s">
        <v>146</v>
      </c>
      <c r="B47" s="1161"/>
      <c r="C47" s="1161"/>
      <c r="D47" s="1161"/>
      <c r="E47" s="1161"/>
      <c r="F47" s="1161"/>
      <c r="G47" s="1161"/>
      <c r="H47" s="1162"/>
    </row>
    <row r="48" spans="1:8" ht="25.5" customHeight="1" x14ac:dyDescent="0.25">
      <c r="A48" s="32" t="s">
        <v>63</v>
      </c>
      <c r="B48" s="33" t="s">
        <v>125</v>
      </c>
      <c r="C48" s="33" t="s">
        <v>126</v>
      </c>
      <c r="D48" s="33" t="s">
        <v>127</v>
      </c>
      <c r="E48" s="33" t="s">
        <v>128</v>
      </c>
      <c r="F48" s="33" t="s">
        <v>129</v>
      </c>
      <c r="G48" s="33" t="s">
        <v>130</v>
      </c>
      <c r="H48" s="449" t="s">
        <v>131</v>
      </c>
    </row>
    <row r="49" spans="1:10" ht="35.1" customHeight="1" x14ac:dyDescent="0.25">
      <c r="A49" s="450" t="s">
        <v>139</v>
      </c>
      <c r="B49" s="451" t="s">
        <v>396</v>
      </c>
      <c r="C49" s="451"/>
      <c r="D49" s="452">
        <v>5061662000</v>
      </c>
      <c r="E49" s="452">
        <v>1369056000</v>
      </c>
      <c r="F49" s="451">
        <v>0</v>
      </c>
      <c r="G49" s="453">
        <v>0</v>
      </c>
      <c r="H49" s="454">
        <f t="shared" ref="H49:H54" si="3">G49/E49</f>
        <v>0</v>
      </c>
    </row>
    <row r="50" spans="1:10" ht="45" customHeight="1" x14ac:dyDescent="0.25">
      <c r="A50" s="450" t="s">
        <v>140</v>
      </c>
      <c r="B50" s="451" t="s">
        <v>396</v>
      </c>
      <c r="C50" s="451"/>
      <c r="D50" s="452">
        <v>5061662000</v>
      </c>
      <c r="E50" s="452">
        <v>3776747000</v>
      </c>
      <c r="F50" s="452">
        <v>5613267</v>
      </c>
      <c r="G50" s="455">
        <v>5613267</v>
      </c>
      <c r="H50" s="456">
        <f t="shared" si="3"/>
        <v>1.4862703273478472E-3</v>
      </c>
    </row>
    <row r="51" spans="1:10" ht="45" customHeight="1" x14ac:dyDescent="0.25">
      <c r="A51" s="450" t="s">
        <v>141</v>
      </c>
      <c r="B51" s="451" t="s">
        <v>396</v>
      </c>
      <c r="C51" s="451"/>
      <c r="D51" s="452">
        <v>5061662000</v>
      </c>
      <c r="E51" s="452">
        <v>4775335000</v>
      </c>
      <c r="F51" s="452">
        <v>136694101</v>
      </c>
      <c r="G51" s="455">
        <v>136694101</v>
      </c>
      <c r="H51" s="456">
        <f t="shared" si="3"/>
        <v>2.8625028610558212E-2</v>
      </c>
    </row>
    <row r="52" spans="1:10" ht="47.25" customHeight="1" x14ac:dyDescent="0.25">
      <c r="A52" s="450" t="s">
        <v>142</v>
      </c>
      <c r="B52" s="451" t="s">
        <v>396</v>
      </c>
      <c r="C52" s="451"/>
      <c r="D52" s="452">
        <v>5061662000</v>
      </c>
      <c r="E52" s="452">
        <v>4823925000</v>
      </c>
      <c r="F52" s="452">
        <v>527044334</v>
      </c>
      <c r="G52" s="455">
        <v>527044334</v>
      </c>
      <c r="H52" s="456">
        <f t="shared" si="3"/>
        <v>0.10925632840477412</v>
      </c>
    </row>
    <row r="53" spans="1:10" ht="16.5" customHeight="1" x14ac:dyDescent="0.25">
      <c r="A53" s="39" t="s">
        <v>143</v>
      </c>
      <c r="B53" s="451" t="s">
        <v>396</v>
      </c>
      <c r="C53" s="451"/>
      <c r="D53" s="452">
        <v>5061662000</v>
      </c>
      <c r="E53" s="541">
        <v>4916662000</v>
      </c>
      <c r="F53" s="541">
        <v>993169735</v>
      </c>
      <c r="G53" s="541">
        <v>993169735</v>
      </c>
      <c r="H53" s="456">
        <f t="shared" si="3"/>
        <v>0.20200081579738449</v>
      </c>
    </row>
    <row r="54" spans="1:10" ht="16.5" customHeight="1" x14ac:dyDescent="0.25">
      <c r="A54" s="39" t="s">
        <v>144</v>
      </c>
      <c r="B54" s="36" t="s">
        <v>396</v>
      </c>
      <c r="C54" s="36"/>
      <c r="D54" s="452">
        <v>5061662000</v>
      </c>
      <c r="E54" s="541">
        <v>4938707000</v>
      </c>
      <c r="F54" s="541">
        <v>1481949110</v>
      </c>
      <c r="G54" s="541">
        <v>1481949110</v>
      </c>
      <c r="H54" s="456">
        <f t="shared" si="3"/>
        <v>0.30006823850858128</v>
      </c>
      <c r="J54" s="534"/>
    </row>
    <row r="55" spans="1:10" ht="16.5" customHeight="1" x14ac:dyDescent="0.25">
      <c r="A55" s="39" t="s">
        <v>132</v>
      </c>
      <c r="B55" s="36" t="s">
        <v>396</v>
      </c>
      <c r="C55" s="36"/>
      <c r="D55" s="452">
        <v>5061662000</v>
      </c>
      <c r="E55" s="541">
        <v>4938707000</v>
      </c>
      <c r="F55" s="541">
        <v>2014873911</v>
      </c>
      <c r="G55" s="541">
        <v>2014873911</v>
      </c>
      <c r="H55" s="456">
        <f t="shared" ref="H55:H60" si="4">G55/E55</f>
        <v>0.40797599675380619</v>
      </c>
    </row>
    <row r="56" spans="1:10" ht="16.5" customHeight="1" x14ac:dyDescent="0.25">
      <c r="A56" s="39" t="s">
        <v>133</v>
      </c>
      <c r="B56" s="36" t="s">
        <v>396</v>
      </c>
      <c r="C56" s="36"/>
      <c r="D56" s="452">
        <v>5061662000</v>
      </c>
      <c r="E56" s="557">
        <v>4943707000</v>
      </c>
      <c r="F56" s="557">
        <v>2525523013</v>
      </c>
      <c r="G56" s="557">
        <v>2525523013</v>
      </c>
      <c r="H56" s="456">
        <f t="shared" si="4"/>
        <v>0.51085612739589947</v>
      </c>
    </row>
    <row r="57" spans="1:10" ht="16.5" customHeight="1" x14ac:dyDescent="0.25">
      <c r="A57" s="39" t="s">
        <v>134</v>
      </c>
      <c r="B57" s="36" t="s">
        <v>396</v>
      </c>
      <c r="C57" s="36"/>
      <c r="D57" s="452">
        <v>5061662000</v>
      </c>
      <c r="E57" s="567">
        <v>4943707000</v>
      </c>
      <c r="F57" s="567">
        <v>3048368145</v>
      </c>
      <c r="G57" s="567">
        <v>3048368145</v>
      </c>
      <c r="H57" s="456">
        <f t="shared" si="4"/>
        <v>0.61661586032505566</v>
      </c>
    </row>
    <row r="58" spans="1:10" ht="16.5" customHeight="1" x14ac:dyDescent="0.25">
      <c r="A58" s="39" t="s">
        <v>135</v>
      </c>
      <c r="B58" s="36" t="s">
        <v>396</v>
      </c>
      <c r="C58" s="36"/>
      <c r="D58" s="452">
        <v>5061662000</v>
      </c>
      <c r="E58" s="567">
        <v>4943707000</v>
      </c>
      <c r="F58" s="567">
        <v>3584712834</v>
      </c>
      <c r="G58" s="567">
        <v>3584712834</v>
      </c>
      <c r="H58" s="456">
        <f t="shared" si="4"/>
        <v>0.72510624800377532</v>
      </c>
    </row>
    <row r="59" spans="1:10" ht="16.5" customHeight="1" x14ac:dyDescent="0.25">
      <c r="A59" s="39" t="s">
        <v>136</v>
      </c>
      <c r="B59" s="36" t="s">
        <v>396</v>
      </c>
      <c r="C59" s="36"/>
      <c r="D59" s="452">
        <v>5280091000</v>
      </c>
      <c r="E59" s="541">
        <v>5099799767</v>
      </c>
      <c r="F59" s="567">
        <v>4102456685</v>
      </c>
      <c r="G59" s="567">
        <v>4102456685</v>
      </c>
      <c r="H59" s="456">
        <f t="shared" si="4"/>
        <v>0.80443485478515264</v>
      </c>
    </row>
    <row r="60" spans="1:10" ht="15" customHeight="1" thickBot="1" x14ac:dyDescent="0.3">
      <c r="A60" s="40" t="s">
        <v>137</v>
      </c>
      <c r="B60" s="36" t="s">
        <v>396</v>
      </c>
      <c r="C60" s="36"/>
      <c r="D60" s="452">
        <v>5380091000</v>
      </c>
      <c r="E60" s="541">
        <v>5373789934</v>
      </c>
      <c r="F60" s="567">
        <v>4838493258</v>
      </c>
      <c r="G60" s="567">
        <v>4838493258</v>
      </c>
      <c r="H60" s="456">
        <f t="shared" si="4"/>
        <v>0.90038749512459082</v>
      </c>
    </row>
    <row r="61" spans="1:10" ht="16.5" customHeight="1" thickBot="1" x14ac:dyDescent="0.3"/>
    <row r="62" spans="1:10" ht="23.25" customHeight="1" x14ac:dyDescent="0.25">
      <c r="A62" s="1160" t="s">
        <v>147</v>
      </c>
      <c r="B62" s="1161"/>
      <c r="C62" s="1161"/>
      <c r="D62" s="1161"/>
      <c r="E62" s="1161"/>
      <c r="F62" s="1161"/>
      <c r="G62" s="1161"/>
      <c r="H62" s="1162"/>
    </row>
    <row r="63" spans="1:10" ht="25.5" customHeight="1" x14ac:dyDescent="0.25">
      <c r="A63" s="32" t="s">
        <v>64</v>
      </c>
      <c r="B63" s="33" t="s">
        <v>125</v>
      </c>
      <c r="C63" s="33" t="s">
        <v>126</v>
      </c>
      <c r="D63" s="33" t="s">
        <v>127</v>
      </c>
      <c r="E63" s="33" t="s">
        <v>128</v>
      </c>
      <c r="F63" s="33" t="s">
        <v>129</v>
      </c>
      <c r="G63" s="33" t="s">
        <v>130</v>
      </c>
      <c r="H63" s="449" t="s">
        <v>131</v>
      </c>
    </row>
    <row r="64" spans="1:10" ht="16.5" customHeight="1" x14ac:dyDescent="0.25">
      <c r="A64" s="640" t="s">
        <v>139</v>
      </c>
      <c r="B64" s="641" t="s">
        <v>396</v>
      </c>
      <c r="C64" s="641"/>
      <c r="D64" s="452">
        <v>6921438000</v>
      </c>
      <c r="E64" s="541">
        <v>500122466</v>
      </c>
      <c r="F64" s="567">
        <v>0</v>
      </c>
      <c r="G64" s="567">
        <v>0</v>
      </c>
      <c r="H64" s="456">
        <f t="shared" ref="H64" si="5">G64/E64</f>
        <v>0</v>
      </c>
    </row>
    <row r="65" spans="1:14" ht="16.5" customHeight="1" x14ac:dyDescent="0.25">
      <c r="A65" s="640" t="s">
        <v>140</v>
      </c>
      <c r="B65" s="641" t="s">
        <v>396</v>
      </c>
      <c r="C65" s="641"/>
      <c r="D65" s="642">
        <v>6921438000</v>
      </c>
      <c r="E65" s="642">
        <v>500122466</v>
      </c>
      <c r="F65" s="642">
        <v>48115800</v>
      </c>
      <c r="G65" s="642">
        <v>48115800</v>
      </c>
      <c r="H65" s="456">
        <f>G65/E65</f>
        <v>9.6208035573430925E-2</v>
      </c>
    </row>
    <row r="66" spans="1:14" ht="16.5" customHeight="1" x14ac:dyDescent="0.25">
      <c r="A66" s="640" t="s">
        <v>141</v>
      </c>
      <c r="B66" s="643" t="s">
        <v>396</v>
      </c>
      <c r="C66" s="643"/>
      <c r="D66" s="644">
        <v>6921438000</v>
      </c>
      <c r="E66" s="644">
        <v>1792656400</v>
      </c>
      <c r="F66" s="644">
        <v>232954269</v>
      </c>
      <c r="G66" s="644">
        <v>232954269</v>
      </c>
      <c r="H66" s="456">
        <f>G66/E66</f>
        <v>0.12994920220071174</v>
      </c>
    </row>
    <row r="67" spans="1:14" ht="16.5" customHeight="1" x14ac:dyDescent="0.25">
      <c r="A67" s="640" t="s">
        <v>142</v>
      </c>
      <c r="B67" s="641"/>
      <c r="C67" s="641"/>
      <c r="D67" s="641"/>
      <c r="E67" s="641"/>
      <c r="F67" s="641"/>
      <c r="G67" s="641"/>
      <c r="H67" s="645" t="e">
        <f t="shared" ref="H67:H75" si="6">G67/E67</f>
        <v>#DIV/0!</v>
      </c>
    </row>
    <row r="68" spans="1:14" ht="16.5" customHeight="1" x14ac:dyDescent="0.25">
      <c r="A68" s="39" t="s">
        <v>143</v>
      </c>
      <c r="B68" s="36"/>
      <c r="C68" s="36"/>
      <c r="D68" s="36"/>
      <c r="E68" s="36"/>
      <c r="F68" s="36"/>
      <c r="G68" s="36"/>
      <c r="H68" s="304" t="e">
        <f t="shared" si="6"/>
        <v>#DIV/0!</v>
      </c>
    </row>
    <row r="69" spans="1:14" ht="16.5" customHeight="1" x14ac:dyDescent="0.25">
      <c r="A69" s="39" t="s">
        <v>144</v>
      </c>
      <c r="B69" s="36"/>
      <c r="C69" s="36"/>
      <c r="D69" s="36"/>
      <c r="E69" s="36"/>
      <c r="F69" s="36"/>
      <c r="G69" s="36"/>
      <c r="H69" s="304" t="e">
        <f t="shared" si="6"/>
        <v>#DIV/0!</v>
      </c>
    </row>
    <row r="70" spans="1:14" ht="16.5" customHeight="1" x14ac:dyDescent="0.25">
      <c r="A70" s="39" t="s">
        <v>132</v>
      </c>
      <c r="B70" s="36"/>
      <c r="C70" s="36"/>
      <c r="D70" s="36"/>
      <c r="E70" s="36"/>
      <c r="F70" s="36"/>
      <c r="G70" s="36"/>
      <c r="H70" s="304" t="e">
        <f t="shared" si="6"/>
        <v>#DIV/0!</v>
      </c>
    </row>
    <row r="71" spans="1:14" ht="16.5" customHeight="1" x14ac:dyDescent="0.25">
      <c r="A71" s="39" t="s">
        <v>133</v>
      </c>
      <c r="B71" s="36"/>
      <c r="C71" s="36"/>
      <c r="D71" s="36"/>
      <c r="E71" s="36"/>
      <c r="F71" s="36"/>
      <c r="G71" s="36"/>
      <c r="H71" s="304" t="e">
        <f t="shared" si="6"/>
        <v>#DIV/0!</v>
      </c>
    </row>
    <row r="72" spans="1:14" ht="16.5" customHeight="1" x14ac:dyDescent="0.25">
      <c r="A72" s="39" t="s">
        <v>134</v>
      </c>
      <c r="B72" s="36"/>
      <c r="C72" s="36"/>
      <c r="D72" s="36"/>
      <c r="E72" s="36"/>
      <c r="F72" s="36"/>
      <c r="G72" s="36"/>
      <c r="H72" s="304" t="e">
        <f t="shared" si="6"/>
        <v>#DIV/0!</v>
      </c>
    </row>
    <row r="73" spans="1:14" ht="16.5" customHeight="1" x14ac:dyDescent="0.25">
      <c r="A73" s="39" t="s">
        <v>135</v>
      </c>
      <c r="B73" s="36"/>
      <c r="C73" s="36"/>
      <c r="D73" s="36"/>
      <c r="E73" s="36"/>
      <c r="F73" s="36"/>
      <c r="G73" s="36"/>
      <c r="H73" s="304" t="e">
        <f t="shared" si="6"/>
        <v>#DIV/0!</v>
      </c>
    </row>
    <row r="74" spans="1:14" ht="16.5" customHeight="1" x14ac:dyDescent="0.25">
      <c r="A74" s="39" t="s">
        <v>136</v>
      </c>
      <c r="B74" s="36"/>
      <c r="C74" s="36"/>
      <c r="D74" s="36"/>
      <c r="E74" s="36"/>
      <c r="F74" s="36"/>
      <c r="G74" s="36"/>
      <c r="H74" s="304" t="e">
        <f t="shared" si="6"/>
        <v>#DIV/0!</v>
      </c>
    </row>
    <row r="75" spans="1:14" ht="16.5" customHeight="1" thickBot="1" x14ac:dyDescent="0.3">
      <c r="A75" s="40" t="s">
        <v>137</v>
      </c>
      <c r="B75" s="38"/>
      <c r="C75" s="38"/>
      <c r="D75" s="38"/>
      <c r="E75" s="38"/>
      <c r="F75" s="38"/>
      <c r="G75" s="38"/>
      <c r="H75" s="304" t="e">
        <f t="shared" si="6"/>
        <v>#DIV/0!</v>
      </c>
    </row>
    <row r="76" spans="1:14" ht="16.5" customHeight="1" thickBot="1" x14ac:dyDescent="0.3"/>
    <row r="77" spans="1:14" ht="23.25" customHeight="1" x14ac:dyDescent="0.25">
      <c r="A77" s="1163" t="s">
        <v>269</v>
      </c>
      <c r="B77" s="1164"/>
      <c r="C77" s="1164"/>
      <c r="D77" s="1164"/>
      <c r="E77" s="1164"/>
      <c r="F77" s="1164"/>
      <c r="G77" s="1164"/>
      <c r="H77" s="1164"/>
      <c r="I77" s="1164"/>
      <c r="J77" s="1164"/>
      <c r="K77" s="1164"/>
      <c r="L77" s="1164"/>
      <c r="M77" s="1164"/>
      <c r="N77" s="1165"/>
    </row>
    <row r="78" spans="1:14" ht="44.25" customHeight="1" x14ac:dyDescent="0.25">
      <c r="A78" s="32" t="s">
        <v>50</v>
      </c>
      <c r="B78" s="33" t="s">
        <v>149</v>
      </c>
      <c r="C78" s="33" t="s">
        <v>150</v>
      </c>
      <c r="D78" s="33" t="s">
        <v>151</v>
      </c>
      <c r="E78" s="33" t="s">
        <v>152</v>
      </c>
      <c r="F78" s="33" t="s">
        <v>153</v>
      </c>
      <c r="G78" s="33" t="s">
        <v>154</v>
      </c>
      <c r="H78" s="457" t="s">
        <v>163</v>
      </c>
      <c r="I78" s="33" t="s">
        <v>164</v>
      </c>
      <c r="J78" s="41" t="s">
        <v>165</v>
      </c>
      <c r="K78" s="33" t="s">
        <v>158</v>
      </c>
      <c r="L78" s="33" t="s">
        <v>159</v>
      </c>
      <c r="M78" s="33" t="s">
        <v>160</v>
      </c>
      <c r="N78" s="34" t="s">
        <v>161</v>
      </c>
    </row>
    <row r="79" spans="1:14" ht="45" x14ac:dyDescent="0.25">
      <c r="A79" s="72" t="s">
        <v>139</v>
      </c>
      <c r="B79" s="258" t="s">
        <v>397</v>
      </c>
      <c r="C79" s="258" t="s">
        <v>398</v>
      </c>
      <c r="D79" s="367" t="s">
        <v>399</v>
      </c>
      <c r="E79" s="20" t="s">
        <v>400</v>
      </c>
      <c r="F79" s="20">
        <v>100</v>
      </c>
      <c r="G79" s="20">
        <v>10</v>
      </c>
      <c r="H79" s="305">
        <v>2</v>
      </c>
      <c r="I79" s="20">
        <v>0</v>
      </c>
      <c r="J79" s="401">
        <f>I79/H79</f>
        <v>0</v>
      </c>
      <c r="K79" s="94"/>
      <c r="L79" s="94"/>
      <c r="M79" s="94"/>
      <c r="N79" s="259" t="s">
        <v>571</v>
      </c>
    </row>
    <row r="80" spans="1:14" ht="45" x14ac:dyDescent="0.25">
      <c r="A80" s="72" t="s">
        <v>140</v>
      </c>
      <c r="B80" s="258" t="s">
        <v>397</v>
      </c>
      <c r="C80" s="258" t="s">
        <v>398</v>
      </c>
      <c r="D80" s="367" t="s">
        <v>399</v>
      </c>
      <c r="E80" s="20" t="s">
        <v>400</v>
      </c>
      <c r="F80" s="20">
        <v>100</v>
      </c>
      <c r="G80" s="20">
        <v>10</v>
      </c>
      <c r="H80" s="305">
        <v>2</v>
      </c>
      <c r="I80" s="20">
        <v>1</v>
      </c>
      <c r="J80" s="401">
        <f>I80/H80</f>
        <v>0.5</v>
      </c>
      <c r="K80" s="94"/>
      <c r="L80" s="94"/>
      <c r="M80" s="94"/>
      <c r="N80" s="259" t="s">
        <v>411</v>
      </c>
    </row>
    <row r="81" spans="1:14" ht="45" x14ac:dyDescent="0.25">
      <c r="A81" s="72" t="s">
        <v>141</v>
      </c>
      <c r="B81" s="258" t="s">
        <v>397</v>
      </c>
      <c r="C81" s="258" t="s">
        <v>398</v>
      </c>
      <c r="D81" s="367" t="s">
        <v>399</v>
      </c>
      <c r="E81" s="20" t="s">
        <v>400</v>
      </c>
      <c r="F81" s="20">
        <v>100</v>
      </c>
      <c r="G81" s="20">
        <v>10</v>
      </c>
      <c r="H81" s="305">
        <v>2</v>
      </c>
      <c r="I81" s="20">
        <v>1</v>
      </c>
      <c r="J81" s="401">
        <f>I81/H81</f>
        <v>0.5</v>
      </c>
      <c r="K81" s="94"/>
      <c r="L81" s="94"/>
      <c r="M81" s="94"/>
      <c r="N81" s="259" t="s">
        <v>572</v>
      </c>
    </row>
    <row r="82" spans="1:14" ht="45" x14ac:dyDescent="0.25">
      <c r="A82" s="72" t="s">
        <v>142</v>
      </c>
      <c r="B82" s="258" t="s">
        <v>397</v>
      </c>
      <c r="C82" s="258" t="s">
        <v>398</v>
      </c>
      <c r="D82" s="367" t="s">
        <v>399</v>
      </c>
      <c r="E82" s="20" t="s">
        <v>400</v>
      </c>
      <c r="F82" s="20">
        <v>100</v>
      </c>
      <c r="G82" s="20">
        <v>10</v>
      </c>
      <c r="H82" s="305">
        <v>2</v>
      </c>
      <c r="I82" s="20">
        <v>1</v>
      </c>
      <c r="J82" s="401">
        <f>I82/H82</f>
        <v>0.5</v>
      </c>
      <c r="K82" s="94"/>
      <c r="L82" s="94"/>
      <c r="M82" s="94"/>
      <c r="N82" s="259" t="s">
        <v>572</v>
      </c>
    </row>
    <row r="83" spans="1:14" ht="45" x14ac:dyDescent="0.25">
      <c r="A83" s="72" t="s">
        <v>143</v>
      </c>
      <c r="B83" s="258" t="s">
        <v>397</v>
      </c>
      <c r="C83" s="258" t="s">
        <v>398</v>
      </c>
      <c r="D83" s="367" t="s">
        <v>399</v>
      </c>
      <c r="E83" s="20" t="s">
        <v>400</v>
      </c>
      <c r="F83" s="20">
        <v>100</v>
      </c>
      <c r="G83" s="20">
        <v>10</v>
      </c>
      <c r="H83" s="305">
        <v>2</v>
      </c>
      <c r="I83" s="20">
        <v>1</v>
      </c>
      <c r="J83" s="401">
        <f>I83/H83</f>
        <v>0.5</v>
      </c>
      <c r="K83" s="94"/>
      <c r="L83" s="94"/>
      <c r="M83" s="94"/>
      <c r="N83" s="259" t="s">
        <v>572</v>
      </c>
    </row>
    <row r="84" spans="1:14" ht="45" x14ac:dyDescent="0.25">
      <c r="A84" s="72" t="s">
        <v>144</v>
      </c>
      <c r="B84" s="258" t="s">
        <v>397</v>
      </c>
      <c r="C84" s="258" t="s">
        <v>398</v>
      </c>
      <c r="D84" s="367" t="s">
        <v>399</v>
      </c>
      <c r="E84" s="20" t="s">
        <v>400</v>
      </c>
      <c r="F84" s="20">
        <v>100</v>
      </c>
      <c r="G84" s="20">
        <v>10</v>
      </c>
      <c r="H84" s="305">
        <v>2</v>
      </c>
      <c r="I84" s="20">
        <v>1</v>
      </c>
      <c r="J84" s="401">
        <f t="shared" ref="J84:J90" si="7">I84/H84</f>
        <v>0.5</v>
      </c>
      <c r="K84" s="94"/>
      <c r="L84" s="94"/>
      <c r="M84" s="94"/>
      <c r="N84" s="259" t="s">
        <v>572</v>
      </c>
    </row>
    <row r="85" spans="1:14" s="2" customFormat="1" ht="45" x14ac:dyDescent="0.25">
      <c r="A85" s="300" t="s">
        <v>132</v>
      </c>
      <c r="B85" s="402" t="s">
        <v>397</v>
      </c>
      <c r="C85" s="402" t="s">
        <v>398</v>
      </c>
      <c r="D85" s="274" t="s">
        <v>399</v>
      </c>
      <c r="E85" s="403" t="s">
        <v>400</v>
      </c>
      <c r="F85" s="403">
        <v>100</v>
      </c>
      <c r="G85" s="20">
        <v>10</v>
      </c>
      <c r="H85" s="404">
        <v>2</v>
      </c>
      <c r="I85" s="20">
        <v>1</v>
      </c>
      <c r="J85" s="401">
        <f t="shared" si="7"/>
        <v>0.5</v>
      </c>
      <c r="K85" s="397"/>
      <c r="L85" s="397"/>
      <c r="M85" s="397"/>
      <c r="N85" s="405" t="s">
        <v>572</v>
      </c>
    </row>
    <row r="86" spans="1:14" ht="45" x14ac:dyDescent="0.25">
      <c r="A86" s="72" t="s">
        <v>133</v>
      </c>
      <c r="B86" s="258" t="s">
        <v>397</v>
      </c>
      <c r="C86" s="258" t="s">
        <v>398</v>
      </c>
      <c r="D86" s="367" t="s">
        <v>399</v>
      </c>
      <c r="E86" s="367" t="s">
        <v>400</v>
      </c>
      <c r="F86" s="367">
        <v>100</v>
      </c>
      <c r="G86" s="20">
        <v>10</v>
      </c>
      <c r="H86" s="306">
        <v>2</v>
      </c>
      <c r="I86" s="20">
        <v>1</v>
      </c>
      <c r="J86" s="401">
        <f t="shared" si="7"/>
        <v>0.5</v>
      </c>
      <c r="K86" s="36"/>
      <c r="L86" s="36"/>
      <c r="M86" s="94"/>
      <c r="N86" s="260" t="s">
        <v>572</v>
      </c>
    </row>
    <row r="87" spans="1:14" s="2" customFormat="1" ht="75" x14ac:dyDescent="0.25">
      <c r="A87" s="300" t="s">
        <v>134</v>
      </c>
      <c r="B87" s="402" t="s">
        <v>397</v>
      </c>
      <c r="C87" s="402" t="s">
        <v>398</v>
      </c>
      <c r="D87" s="274" t="s">
        <v>399</v>
      </c>
      <c r="E87" s="274" t="s">
        <v>400</v>
      </c>
      <c r="F87" s="274">
        <v>100</v>
      </c>
      <c r="G87" s="20">
        <v>10</v>
      </c>
      <c r="H87" s="406">
        <v>2</v>
      </c>
      <c r="I87" s="20">
        <v>1</v>
      </c>
      <c r="J87" s="401">
        <f t="shared" si="7"/>
        <v>0.5</v>
      </c>
      <c r="K87" s="400"/>
      <c r="L87" s="400"/>
      <c r="M87" s="397"/>
      <c r="N87" s="407" t="s">
        <v>422</v>
      </c>
    </row>
    <row r="88" spans="1:14" ht="45" x14ac:dyDescent="0.25">
      <c r="A88" s="72" t="s">
        <v>135</v>
      </c>
      <c r="B88" s="258" t="s">
        <v>397</v>
      </c>
      <c r="C88" s="258" t="s">
        <v>398</v>
      </c>
      <c r="D88" s="367" t="s">
        <v>399</v>
      </c>
      <c r="E88" s="367" t="s">
        <v>400</v>
      </c>
      <c r="F88" s="367">
        <v>100</v>
      </c>
      <c r="G88" s="20">
        <v>10</v>
      </c>
      <c r="H88" s="306">
        <v>2</v>
      </c>
      <c r="I88" s="20">
        <v>1</v>
      </c>
      <c r="J88" s="401">
        <f t="shared" si="7"/>
        <v>0.5</v>
      </c>
      <c r="K88" s="36"/>
      <c r="L88" s="36"/>
      <c r="M88" s="94"/>
      <c r="N88" s="260" t="s">
        <v>572</v>
      </c>
    </row>
    <row r="89" spans="1:14" s="2" customFormat="1" ht="75" x14ac:dyDescent="0.25">
      <c r="A89" s="300" t="s">
        <v>136</v>
      </c>
      <c r="B89" s="402" t="s">
        <v>397</v>
      </c>
      <c r="C89" s="402" t="s">
        <v>398</v>
      </c>
      <c r="D89" s="274" t="s">
        <v>399</v>
      </c>
      <c r="E89" s="274" t="s">
        <v>400</v>
      </c>
      <c r="F89" s="274">
        <v>100</v>
      </c>
      <c r="G89" s="20">
        <v>10</v>
      </c>
      <c r="H89" s="406">
        <v>2</v>
      </c>
      <c r="I89" s="20">
        <v>1</v>
      </c>
      <c r="J89" s="401">
        <f t="shared" si="7"/>
        <v>0.5</v>
      </c>
      <c r="K89" s="400"/>
      <c r="L89" s="400"/>
      <c r="M89" s="397"/>
      <c r="N89" s="407" t="s">
        <v>426</v>
      </c>
    </row>
    <row r="90" spans="1:14" ht="45.75" thickBot="1" x14ac:dyDescent="0.3">
      <c r="A90" s="261" t="s">
        <v>137</v>
      </c>
      <c r="B90" s="262" t="s">
        <v>397</v>
      </c>
      <c r="C90" s="262" t="s">
        <v>398</v>
      </c>
      <c r="D90" s="368" t="s">
        <v>399</v>
      </c>
      <c r="E90" s="368" t="s">
        <v>400</v>
      </c>
      <c r="F90" s="368">
        <v>100</v>
      </c>
      <c r="G90" s="20">
        <v>10</v>
      </c>
      <c r="H90" s="307">
        <v>2</v>
      </c>
      <c r="I90" s="152">
        <v>2</v>
      </c>
      <c r="J90" s="401">
        <f t="shared" si="7"/>
        <v>1</v>
      </c>
      <c r="K90" s="38"/>
      <c r="L90" s="38"/>
      <c r="M90" s="263"/>
      <c r="N90" s="264" t="s">
        <v>573</v>
      </c>
    </row>
    <row r="92" spans="1:14" ht="15.75" thickBot="1" x14ac:dyDescent="0.3"/>
    <row r="93" spans="1:14" ht="20.25" x14ac:dyDescent="0.25">
      <c r="A93" s="1163" t="s">
        <v>166</v>
      </c>
      <c r="B93" s="1164"/>
      <c r="C93" s="1164"/>
      <c r="D93" s="1164"/>
      <c r="E93" s="1164"/>
      <c r="F93" s="1164"/>
      <c r="G93" s="1164"/>
      <c r="H93" s="1164"/>
      <c r="I93" s="1164"/>
      <c r="J93" s="1164"/>
      <c r="K93" s="1164"/>
      <c r="L93" s="1164"/>
      <c r="M93" s="1164"/>
      <c r="N93" s="1165"/>
    </row>
    <row r="94" spans="1:14" ht="44.25" customHeight="1" x14ac:dyDescent="0.25">
      <c r="A94" s="32" t="s">
        <v>62</v>
      </c>
      <c r="B94" s="33" t="s">
        <v>149</v>
      </c>
      <c r="C94" s="33" t="s">
        <v>150</v>
      </c>
      <c r="D94" s="33" t="s">
        <v>151</v>
      </c>
      <c r="E94" s="33" t="s">
        <v>152</v>
      </c>
      <c r="F94" s="33" t="s">
        <v>167</v>
      </c>
      <c r="G94" s="33" t="s">
        <v>154</v>
      </c>
      <c r="H94" s="457" t="s">
        <v>168</v>
      </c>
      <c r="I94" s="33" t="s">
        <v>169</v>
      </c>
      <c r="J94" s="41" t="s">
        <v>170</v>
      </c>
      <c r="K94" s="33" t="s">
        <v>158</v>
      </c>
      <c r="L94" s="33" t="s">
        <v>159</v>
      </c>
      <c r="M94" s="33" t="s">
        <v>160</v>
      </c>
      <c r="N94" s="34" t="s">
        <v>161</v>
      </c>
    </row>
    <row r="95" spans="1:14" ht="143.25" customHeight="1" x14ac:dyDescent="0.25">
      <c r="A95" s="390" t="s">
        <v>139</v>
      </c>
      <c r="B95" s="381" t="s">
        <v>397</v>
      </c>
      <c r="C95" s="381" t="s">
        <v>398</v>
      </c>
      <c r="D95" s="381" t="s">
        <v>399</v>
      </c>
      <c r="E95" s="408" t="s">
        <v>400</v>
      </c>
      <c r="F95" s="408">
        <v>100</v>
      </c>
      <c r="G95" s="403">
        <v>10</v>
      </c>
      <c r="H95" s="408">
        <v>2</v>
      </c>
      <c r="I95" s="408">
        <v>0</v>
      </c>
      <c r="J95" s="409">
        <f t="shared" ref="J95:J106" si="8">I95/H95</f>
        <v>0</v>
      </c>
      <c r="K95" s="408"/>
      <c r="L95" s="408"/>
      <c r="M95" s="408"/>
      <c r="N95" s="410" t="s">
        <v>459</v>
      </c>
    </row>
    <row r="96" spans="1:14" ht="155.25" customHeight="1" x14ac:dyDescent="0.25">
      <c r="A96" s="390" t="s">
        <v>140</v>
      </c>
      <c r="B96" s="381" t="s">
        <v>397</v>
      </c>
      <c r="C96" s="381" t="s">
        <v>398</v>
      </c>
      <c r="D96" s="381" t="s">
        <v>399</v>
      </c>
      <c r="E96" s="408" t="s">
        <v>400</v>
      </c>
      <c r="F96" s="408">
        <v>100</v>
      </c>
      <c r="G96" s="403">
        <v>10</v>
      </c>
      <c r="H96" s="408">
        <v>2</v>
      </c>
      <c r="I96" s="408">
        <v>1</v>
      </c>
      <c r="J96" s="409">
        <f t="shared" si="8"/>
        <v>0.5</v>
      </c>
      <c r="K96" s="408"/>
      <c r="L96" s="408"/>
      <c r="M96" s="408"/>
      <c r="N96" s="410" t="s">
        <v>459</v>
      </c>
    </row>
    <row r="97" spans="1:14" ht="143.25" customHeight="1" x14ac:dyDescent="0.25">
      <c r="A97" s="390" t="s">
        <v>141</v>
      </c>
      <c r="B97" s="381" t="s">
        <v>397</v>
      </c>
      <c r="C97" s="381" t="s">
        <v>398</v>
      </c>
      <c r="D97" s="381" t="s">
        <v>399</v>
      </c>
      <c r="E97" s="408" t="s">
        <v>400</v>
      </c>
      <c r="F97" s="408">
        <v>100</v>
      </c>
      <c r="G97" s="403">
        <v>10</v>
      </c>
      <c r="H97" s="408">
        <v>2</v>
      </c>
      <c r="I97" s="408">
        <v>1</v>
      </c>
      <c r="J97" s="409">
        <f t="shared" si="8"/>
        <v>0.5</v>
      </c>
      <c r="K97" s="408"/>
      <c r="L97" s="408"/>
      <c r="M97" s="408"/>
      <c r="N97" s="411" t="s">
        <v>572</v>
      </c>
    </row>
    <row r="98" spans="1:14" ht="143.25" customHeight="1" x14ac:dyDescent="0.25">
      <c r="A98" s="390" t="s">
        <v>142</v>
      </c>
      <c r="B98" s="381" t="s">
        <v>397</v>
      </c>
      <c r="C98" s="381" t="s">
        <v>398</v>
      </c>
      <c r="D98" s="381" t="s">
        <v>399</v>
      </c>
      <c r="E98" s="381" t="s">
        <v>400</v>
      </c>
      <c r="F98" s="381">
        <v>100</v>
      </c>
      <c r="G98" s="403">
        <v>10</v>
      </c>
      <c r="H98" s="381">
        <v>2</v>
      </c>
      <c r="I98" s="381">
        <v>1</v>
      </c>
      <c r="J98" s="412">
        <f t="shared" si="8"/>
        <v>0.5</v>
      </c>
      <c r="K98" s="381"/>
      <c r="L98" s="381"/>
      <c r="M98" s="381" t="e">
        <v>#DIV/0!</v>
      </c>
      <c r="N98" s="411" t="s">
        <v>572</v>
      </c>
    </row>
    <row r="99" spans="1:14" ht="143.25" customHeight="1" x14ac:dyDescent="0.25">
      <c r="A99" s="390" t="s">
        <v>143</v>
      </c>
      <c r="B99" s="381" t="s">
        <v>397</v>
      </c>
      <c r="C99" s="381" t="s">
        <v>398</v>
      </c>
      <c r="D99" s="381" t="s">
        <v>399</v>
      </c>
      <c r="E99" s="381" t="s">
        <v>400</v>
      </c>
      <c r="F99" s="381">
        <v>100</v>
      </c>
      <c r="G99" s="403">
        <v>10</v>
      </c>
      <c r="H99" s="381">
        <v>2</v>
      </c>
      <c r="I99" s="381">
        <v>1</v>
      </c>
      <c r="J99" s="412">
        <f t="shared" si="8"/>
        <v>0.5</v>
      </c>
      <c r="K99" s="381"/>
      <c r="L99" s="381"/>
      <c r="M99" s="381" t="e">
        <v>#DIV/0!</v>
      </c>
      <c r="N99" s="411" t="s">
        <v>572</v>
      </c>
    </row>
    <row r="100" spans="1:14" ht="143.25" customHeight="1" x14ac:dyDescent="0.25">
      <c r="A100" s="390" t="s">
        <v>144</v>
      </c>
      <c r="B100" s="413" t="s">
        <v>397</v>
      </c>
      <c r="C100" s="413" t="s">
        <v>398</v>
      </c>
      <c r="D100" s="413" t="s">
        <v>399</v>
      </c>
      <c r="E100" s="413" t="s">
        <v>400</v>
      </c>
      <c r="F100" s="381">
        <v>100</v>
      </c>
      <c r="G100" s="403">
        <v>10</v>
      </c>
      <c r="H100" s="381">
        <v>2</v>
      </c>
      <c r="I100" s="381">
        <v>1</v>
      </c>
      <c r="J100" s="412">
        <f t="shared" si="8"/>
        <v>0.5</v>
      </c>
      <c r="K100" s="381"/>
      <c r="L100" s="381"/>
      <c r="M100" s="414" t="e">
        <f>L100/K100</f>
        <v>#DIV/0!</v>
      </c>
      <c r="N100" s="411" t="s">
        <v>572</v>
      </c>
    </row>
    <row r="101" spans="1:14" s="302" customFormat="1" ht="143.25" customHeight="1" x14ac:dyDescent="0.25">
      <c r="A101" s="415" t="s">
        <v>132</v>
      </c>
      <c r="B101" s="413" t="s">
        <v>397</v>
      </c>
      <c r="C101" s="413" t="s">
        <v>398</v>
      </c>
      <c r="D101" s="413" t="s">
        <v>399</v>
      </c>
      <c r="E101" s="413" t="s">
        <v>400</v>
      </c>
      <c r="F101" s="381">
        <v>100</v>
      </c>
      <c r="G101" s="403">
        <v>10</v>
      </c>
      <c r="H101" s="381">
        <v>2</v>
      </c>
      <c r="I101" s="381">
        <v>1</v>
      </c>
      <c r="J101" s="412">
        <f t="shared" si="8"/>
        <v>0.5</v>
      </c>
      <c r="K101" s="381"/>
      <c r="L101" s="381"/>
      <c r="M101" s="414" t="e">
        <f>L101/K101</f>
        <v>#DIV/0!</v>
      </c>
      <c r="N101" s="411" t="s">
        <v>572</v>
      </c>
    </row>
    <row r="102" spans="1:14" s="100" customFormat="1" ht="143.25" customHeight="1" x14ac:dyDescent="0.25">
      <c r="A102" s="415" t="s">
        <v>133</v>
      </c>
      <c r="B102" s="274" t="s">
        <v>397</v>
      </c>
      <c r="C102" s="274" t="s">
        <v>398</v>
      </c>
      <c r="D102" s="274" t="s">
        <v>399</v>
      </c>
      <c r="E102" s="274" t="s">
        <v>400</v>
      </c>
      <c r="F102" s="274">
        <v>100</v>
      </c>
      <c r="G102" s="403">
        <v>10</v>
      </c>
      <c r="H102" s="381">
        <v>2</v>
      </c>
      <c r="I102" s="274">
        <v>1</v>
      </c>
      <c r="J102" s="416">
        <f t="shared" si="8"/>
        <v>0.5</v>
      </c>
      <c r="K102" s="274"/>
      <c r="L102" s="274"/>
      <c r="M102" s="274" t="e">
        <v>#DIV/0!</v>
      </c>
      <c r="N102" s="411" t="s">
        <v>572</v>
      </c>
    </row>
    <row r="103" spans="1:14" ht="143.25" customHeight="1" x14ac:dyDescent="0.25">
      <c r="A103" s="390" t="s">
        <v>134</v>
      </c>
      <c r="B103" s="274" t="s">
        <v>397</v>
      </c>
      <c r="C103" s="274" t="s">
        <v>398</v>
      </c>
      <c r="D103" s="274" t="s">
        <v>399</v>
      </c>
      <c r="E103" s="274" t="s">
        <v>400</v>
      </c>
      <c r="F103" s="274">
        <v>100</v>
      </c>
      <c r="G103" s="403">
        <v>10</v>
      </c>
      <c r="H103" s="381">
        <v>2</v>
      </c>
      <c r="I103" s="274">
        <v>1</v>
      </c>
      <c r="J103" s="416">
        <f t="shared" si="8"/>
        <v>0.5</v>
      </c>
      <c r="K103" s="274"/>
      <c r="L103" s="274"/>
      <c r="M103" s="274" t="e">
        <v>#DIV/0!</v>
      </c>
      <c r="N103" s="411" t="s">
        <v>572</v>
      </c>
    </row>
    <row r="104" spans="1:14" ht="143.25" customHeight="1" x14ac:dyDescent="0.25">
      <c r="A104" s="390" t="s">
        <v>135</v>
      </c>
      <c r="B104" s="274" t="s">
        <v>397</v>
      </c>
      <c r="C104" s="274" t="s">
        <v>398</v>
      </c>
      <c r="D104" s="274" t="s">
        <v>399</v>
      </c>
      <c r="E104" s="274" t="s">
        <v>400</v>
      </c>
      <c r="F104" s="274">
        <v>100</v>
      </c>
      <c r="G104" s="403">
        <v>10</v>
      </c>
      <c r="H104" s="381">
        <v>2</v>
      </c>
      <c r="I104" s="274">
        <v>1</v>
      </c>
      <c r="J104" s="416">
        <f t="shared" si="8"/>
        <v>0.5</v>
      </c>
      <c r="K104" s="274"/>
      <c r="L104" s="274"/>
      <c r="M104" s="274" t="e">
        <v>#DIV/0!</v>
      </c>
      <c r="N104" s="411" t="s">
        <v>572</v>
      </c>
    </row>
    <row r="105" spans="1:14" ht="143.25" customHeight="1" x14ac:dyDescent="0.25">
      <c r="A105" s="390" t="s">
        <v>136</v>
      </c>
      <c r="B105" s="274" t="s">
        <v>397</v>
      </c>
      <c r="C105" s="274" t="s">
        <v>398</v>
      </c>
      <c r="D105" s="274" t="s">
        <v>399</v>
      </c>
      <c r="E105" s="274" t="s">
        <v>400</v>
      </c>
      <c r="F105" s="274">
        <v>100</v>
      </c>
      <c r="G105" s="403">
        <v>10</v>
      </c>
      <c r="H105" s="381">
        <v>2</v>
      </c>
      <c r="I105" s="274">
        <v>1</v>
      </c>
      <c r="J105" s="416">
        <f t="shared" si="8"/>
        <v>0.5</v>
      </c>
      <c r="K105" s="274"/>
      <c r="L105" s="274"/>
      <c r="M105" s="274" t="e">
        <v>#DIV/0!</v>
      </c>
      <c r="N105" s="411" t="s">
        <v>572</v>
      </c>
    </row>
    <row r="106" spans="1:14" ht="143.25" customHeight="1" thickBot="1" x14ac:dyDescent="0.3">
      <c r="A106" s="417" t="s">
        <v>137</v>
      </c>
      <c r="B106" s="274" t="s">
        <v>397</v>
      </c>
      <c r="C106" s="274" t="s">
        <v>398</v>
      </c>
      <c r="D106" s="274" t="s">
        <v>399</v>
      </c>
      <c r="E106" s="274" t="s">
        <v>400</v>
      </c>
      <c r="F106" s="274">
        <v>100</v>
      </c>
      <c r="G106" s="403">
        <v>10</v>
      </c>
      <c r="H106" s="381">
        <v>2</v>
      </c>
      <c r="I106" s="274">
        <v>2</v>
      </c>
      <c r="J106" s="416">
        <f t="shared" si="8"/>
        <v>1</v>
      </c>
      <c r="K106" s="274"/>
      <c r="L106" s="274"/>
      <c r="M106" s="274" t="e">
        <v>#DIV/0!</v>
      </c>
      <c r="N106" s="411" t="s">
        <v>573</v>
      </c>
    </row>
    <row r="108" spans="1:14" ht="15.75" thickBot="1" x14ac:dyDescent="0.3"/>
    <row r="109" spans="1:14" ht="20.25" x14ac:dyDescent="0.25">
      <c r="A109" s="1163" t="s">
        <v>171</v>
      </c>
      <c r="B109" s="1164"/>
      <c r="C109" s="1164"/>
      <c r="D109" s="1164"/>
      <c r="E109" s="1164"/>
      <c r="F109" s="1164"/>
      <c r="G109" s="1164"/>
      <c r="H109" s="1164"/>
      <c r="I109" s="1164"/>
      <c r="J109" s="1164"/>
      <c r="K109" s="1164"/>
      <c r="L109" s="1164"/>
      <c r="M109" s="1164"/>
      <c r="N109" s="1165"/>
    </row>
    <row r="110" spans="1:14" ht="44.25" customHeight="1" x14ac:dyDescent="0.25">
      <c r="A110" s="32" t="s">
        <v>50</v>
      </c>
      <c r="B110" s="33" t="s">
        <v>149</v>
      </c>
      <c r="C110" s="33" t="s">
        <v>150</v>
      </c>
      <c r="D110" s="33" t="s">
        <v>151</v>
      </c>
      <c r="E110" s="33" t="s">
        <v>152</v>
      </c>
      <c r="F110" s="33" t="s">
        <v>172</v>
      </c>
      <c r="G110" s="33" t="s">
        <v>154</v>
      </c>
      <c r="H110" s="33" t="s">
        <v>173</v>
      </c>
      <c r="I110" s="33" t="s">
        <v>174</v>
      </c>
      <c r="J110" s="41" t="s">
        <v>175</v>
      </c>
      <c r="K110" s="33" t="s">
        <v>158</v>
      </c>
      <c r="L110" s="33" t="s">
        <v>159</v>
      </c>
      <c r="M110" s="33" t="s">
        <v>160</v>
      </c>
      <c r="N110" s="34" t="s">
        <v>161</v>
      </c>
    </row>
    <row r="111" spans="1:14" s="3" customFormat="1" ht="135" customHeight="1" x14ac:dyDescent="0.25">
      <c r="A111" s="458" t="s">
        <v>139</v>
      </c>
      <c r="B111" s="459" t="s">
        <v>397</v>
      </c>
      <c r="C111" s="459" t="s">
        <v>398</v>
      </c>
      <c r="D111" s="459" t="s">
        <v>399</v>
      </c>
      <c r="E111" s="451" t="s">
        <v>400</v>
      </c>
      <c r="F111" s="451">
        <v>100</v>
      </c>
      <c r="G111" s="451">
        <v>2</v>
      </c>
      <c r="H111" s="451">
        <v>2</v>
      </c>
      <c r="I111" s="451">
        <v>1</v>
      </c>
      <c r="J111" s="451">
        <f t="shared" ref="J111:J113" si="9">I111/H111</f>
        <v>0.5</v>
      </c>
      <c r="K111" s="451"/>
      <c r="L111" s="20"/>
      <c r="M111" s="20" t="e">
        <f t="shared" ref="M111:M119" si="10">L111/K111</f>
        <v>#DIV/0!</v>
      </c>
      <c r="N111" s="460" t="s">
        <v>569</v>
      </c>
    </row>
    <row r="112" spans="1:14" s="3" customFormat="1" ht="135" customHeight="1" x14ac:dyDescent="0.25">
      <c r="A112" s="458" t="s">
        <v>140</v>
      </c>
      <c r="B112" s="459" t="s">
        <v>397</v>
      </c>
      <c r="C112" s="459" t="s">
        <v>398</v>
      </c>
      <c r="D112" s="459" t="s">
        <v>399</v>
      </c>
      <c r="E112" s="451" t="s">
        <v>400</v>
      </c>
      <c r="F112" s="451">
        <v>100</v>
      </c>
      <c r="G112" s="451">
        <v>2</v>
      </c>
      <c r="H112" s="451">
        <v>2</v>
      </c>
      <c r="I112" s="451">
        <v>1</v>
      </c>
      <c r="J112" s="451">
        <f t="shared" si="9"/>
        <v>0.5</v>
      </c>
      <c r="K112" s="451"/>
      <c r="L112" s="20"/>
      <c r="M112" s="20" t="e">
        <f t="shared" si="10"/>
        <v>#DIV/0!</v>
      </c>
      <c r="N112" s="460" t="s">
        <v>568</v>
      </c>
    </row>
    <row r="113" spans="1:14" s="3" customFormat="1" ht="295.5" customHeight="1" x14ac:dyDescent="0.25">
      <c r="A113" s="458" t="s">
        <v>141</v>
      </c>
      <c r="B113" s="459" t="s">
        <v>397</v>
      </c>
      <c r="C113" s="459" t="s">
        <v>398</v>
      </c>
      <c r="D113" s="459" t="s">
        <v>399</v>
      </c>
      <c r="E113" s="451" t="s">
        <v>400</v>
      </c>
      <c r="F113" s="451">
        <v>100</v>
      </c>
      <c r="G113" s="451">
        <v>2</v>
      </c>
      <c r="H113" s="451">
        <v>2</v>
      </c>
      <c r="I113" s="451">
        <v>1</v>
      </c>
      <c r="J113" s="451">
        <f t="shared" si="9"/>
        <v>0.5</v>
      </c>
      <c r="K113" s="451"/>
      <c r="L113" s="20"/>
      <c r="M113" s="20" t="e">
        <f t="shared" si="10"/>
        <v>#DIV/0!</v>
      </c>
      <c r="N113" s="460" t="s">
        <v>574</v>
      </c>
    </row>
    <row r="114" spans="1:14" ht="156.75" customHeight="1" x14ac:dyDescent="0.25">
      <c r="A114" s="458" t="s">
        <v>142</v>
      </c>
      <c r="B114" s="459" t="s">
        <v>397</v>
      </c>
      <c r="C114" s="459" t="s">
        <v>398</v>
      </c>
      <c r="D114" s="459" t="s">
        <v>399</v>
      </c>
      <c r="E114" s="451" t="s">
        <v>400</v>
      </c>
      <c r="F114" s="451">
        <v>100</v>
      </c>
      <c r="G114" s="451">
        <v>2</v>
      </c>
      <c r="H114" s="451">
        <v>2</v>
      </c>
      <c r="I114" s="451">
        <v>1</v>
      </c>
      <c r="J114" s="451">
        <v>0.5</v>
      </c>
      <c r="K114" s="451"/>
      <c r="L114" s="20"/>
      <c r="M114" s="20" t="e">
        <v>#DIV/0!</v>
      </c>
      <c r="N114" s="460" t="s">
        <v>575</v>
      </c>
    </row>
    <row r="115" spans="1:14" ht="141" customHeight="1" x14ac:dyDescent="0.25">
      <c r="A115" s="458" t="s">
        <v>143</v>
      </c>
      <c r="B115" s="459" t="s">
        <v>397</v>
      </c>
      <c r="C115" s="459" t="s">
        <v>398</v>
      </c>
      <c r="D115" s="459" t="s">
        <v>399</v>
      </c>
      <c r="E115" s="451" t="s">
        <v>400</v>
      </c>
      <c r="F115" s="451">
        <v>100</v>
      </c>
      <c r="G115" s="451">
        <v>2</v>
      </c>
      <c r="H115" s="451">
        <v>2</v>
      </c>
      <c r="I115" s="451">
        <v>1</v>
      </c>
      <c r="J115" s="451">
        <v>0.5</v>
      </c>
      <c r="K115" s="542"/>
      <c r="L115" s="542"/>
      <c r="M115" s="542" t="e">
        <f t="shared" si="10"/>
        <v>#DIV/0!</v>
      </c>
      <c r="N115" s="460" t="s">
        <v>606</v>
      </c>
    </row>
    <row r="116" spans="1:14" ht="124.35" customHeight="1" x14ac:dyDescent="0.25">
      <c r="A116" s="458" t="s">
        <v>144</v>
      </c>
      <c r="B116" s="459" t="s">
        <v>397</v>
      </c>
      <c r="C116" s="459" t="s">
        <v>398</v>
      </c>
      <c r="D116" s="459" t="s">
        <v>399</v>
      </c>
      <c r="E116" s="451" t="s">
        <v>400</v>
      </c>
      <c r="F116" s="451">
        <v>100</v>
      </c>
      <c r="G116" s="451">
        <v>2</v>
      </c>
      <c r="H116" s="451">
        <v>2</v>
      </c>
      <c r="I116" s="451">
        <v>1</v>
      </c>
      <c r="J116" s="451">
        <v>0.5</v>
      </c>
      <c r="K116" s="542"/>
      <c r="L116" s="542"/>
      <c r="M116" s="542" t="e">
        <f>L116/K116</f>
        <v>#DIV/0!</v>
      </c>
      <c r="N116" s="460" t="s">
        <v>611</v>
      </c>
    </row>
    <row r="117" spans="1:14" ht="145.5" customHeight="1" x14ac:dyDescent="0.25">
      <c r="A117" s="458" t="s">
        <v>132</v>
      </c>
      <c r="B117" s="367" t="s">
        <v>397</v>
      </c>
      <c r="C117" s="367" t="s">
        <v>398</v>
      </c>
      <c r="D117" s="367" t="s">
        <v>399</v>
      </c>
      <c r="E117" s="367" t="s">
        <v>400</v>
      </c>
      <c r="F117" s="367">
        <v>100</v>
      </c>
      <c r="G117" s="367">
        <v>2</v>
      </c>
      <c r="H117" s="306">
        <v>2</v>
      </c>
      <c r="I117" s="367">
        <v>1</v>
      </c>
      <c r="J117" s="367">
        <v>0.5</v>
      </c>
      <c r="K117" s="367"/>
      <c r="L117" s="367"/>
      <c r="M117" s="367" t="e">
        <v>#DIV/0!</v>
      </c>
      <c r="N117" s="543" t="s">
        <v>618</v>
      </c>
    </row>
    <row r="118" spans="1:14" ht="135" x14ac:dyDescent="0.25">
      <c r="A118" s="458" t="s">
        <v>133</v>
      </c>
      <c r="B118" s="367" t="s">
        <v>397</v>
      </c>
      <c r="C118" s="367" t="s">
        <v>398</v>
      </c>
      <c r="D118" s="367" t="s">
        <v>399</v>
      </c>
      <c r="E118" s="367" t="s">
        <v>400</v>
      </c>
      <c r="F118" s="367">
        <v>100</v>
      </c>
      <c r="G118" s="367">
        <v>2</v>
      </c>
      <c r="H118" s="306">
        <v>2</v>
      </c>
      <c r="I118" s="367">
        <v>1</v>
      </c>
      <c r="J118" s="367">
        <v>0.5</v>
      </c>
      <c r="K118" s="367"/>
      <c r="L118" s="367"/>
      <c r="M118" s="367" t="e">
        <v>#DIV/0!</v>
      </c>
      <c r="N118" s="543" t="s">
        <v>624</v>
      </c>
    </row>
    <row r="119" spans="1:14" ht="181.5" customHeight="1" x14ac:dyDescent="0.25">
      <c r="A119" s="458" t="s">
        <v>134</v>
      </c>
      <c r="B119" s="367" t="s">
        <v>397</v>
      </c>
      <c r="C119" s="367" t="s">
        <v>398</v>
      </c>
      <c r="D119" s="367" t="s">
        <v>399</v>
      </c>
      <c r="E119" s="367" t="s">
        <v>400</v>
      </c>
      <c r="F119" s="367">
        <v>100</v>
      </c>
      <c r="G119" s="367">
        <v>2</v>
      </c>
      <c r="H119" s="306">
        <v>2</v>
      </c>
      <c r="I119" s="367">
        <v>1</v>
      </c>
      <c r="J119" s="367">
        <v>0.5</v>
      </c>
      <c r="K119" s="36"/>
      <c r="L119" s="36"/>
      <c r="M119" s="36" t="e">
        <f t="shared" si="10"/>
        <v>#DIV/0!</v>
      </c>
      <c r="N119" s="543" t="s">
        <v>637</v>
      </c>
    </row>
    <row r="120" spans="1:14" ht="149.25" customHeight="1" x14ac:dyDescent="0.25">
      <c r="A120" s="458" t="s">
        <v>135</v>
      </c>
      <c r="B120" s="367" t="s">
        <v>397</v>
      </c>
      <c r="C120" s="367" t="s">
        <v>398</v>
      </c>
      <c r="D120" s="367" t="s">
        <v>399</v>
      </c>
      <c r="E120" s="367" t="s">
        <v>400</v>
      </c>
      <c r="F120" s="367">
        <v>100</v>
      </c>
      <c r="G120" s="367">
        <v>2</v>
      </c>
      <c r="H120" s="306">
        <v>2</v>
      </c>
      <c r="I120" s="367">
        <v>1</v>
      </c>
      <c r="J120" s="367">
        <v>0.5</v>
      </c>
      <c r="K120" s="36"/>
      <c r="L120" s="36"/>
      <c r="M120" s="36" t="e">
        <f t="shared" ref="M120" si="11">L120/K120</f>
        <v>#DIV/0!</v>
      </c>
      <c r="N120" s="543" t="s">
        <v>638</v>
      </c>
    </row>
    <row r="121" spans="1:14" ht="191.45" customHeight="1" x14ac:dyDescent="0.25">
      <c r="A121" s="458" t="s">
        <v>136</v>
      </c>
      <c r="B121" s="367" t="s">
        <v>397</v>
      </c>
      <c r="C121" s="367" t="s">
        <v>398</v>
      </c>
      <c r="D121" s="367" t="s">
        <v>399</v>
      </c>
      <c r="E121" s="367" t="s">
        <v>400</v>
      </c>
      <c r="F121" s="367">
        <v>100</v>
      </c>
      <c r="G121" s="367">
        <v>2</v>
      </c>
      <c r="H121" s="306">
        <v>2</v>
      </c>
      <c r="I121" s="367">
        <v>1</v>
      </c>
      <c r="J121" s="367">
        <v>0.5</v>
      </c>
      <c r="K121" s="36"/>
      <c r="L121" s="36"/>
      <c r="M121" s="36" t="e">
        <f t="shared" ref="M121" si="12">L121/K121</f>
        <v>#DIV/0!</v>
      </c>
      <c r="N121" s="543" t="s">
        <v>645</v>
      </c>
    </row>
    <row r="122" spans="1:14" ht="191.45" customHeight="1" thickBot="1" x14ac:dyDescent="0.3">
      <c r="A122" s="568" t="s">
        <v>137</v>
      </c>
      <c r="B122" s="367" t="s">
        <v>397</v>
      </c>
      <c r="C122" s="367" t="s">
        <v>398</v>
      </c>
      <c r="D122" s="367" t="s">
        <v>399</v>
      </c>
      <c r="E122" s="367" t="s">
        <v>400</v>
      </c>
      <c r="F122" s="367">
        <v>100</v>
      </c>
      <c r="G122" s="367">
        <v>2</v>
      </c>
      <c r="H122" s="459">
        <v>2</v>
      </c>
      <c r="I122" s="367">
        <v>2</v>
      </c>
      <c r="J122" s="569">
        <f>H122/G122</f>
        <v>1</v>
      </c>
      <c r="K122" s="36"/>
      <c r="L122" s="36"/>
      <c r="M122" s="36" t="e">
        <f>L122/K122</f>
        <v>#DIV/0!</v>
      </c>
      <c r="N122" s="543" t="s">
        <v>649</v>
      </c>
    </row>
    <row r="124" spans="1:14" ht="20.25" x14ac:dyDescent="0.25">
      <c r="A124" s="1163" t="s">
        <v>176</v>
      </c>
      <c r="B124" s="1164"/>
      <c r="C124" s="1164"/>
      <c r="D124" s="1164"/>
      <c r="E124" s="1164"/>
      <c r="F124" s="1164"/>
      <c r="G124" s="1164"/>
      <c r="H124" s="1164"/>
      <c r="I124" s="1164"/>
      <c r="J124" s="1164"/>
      <c r="K124" s="1164"/>
      <c r="L124" s="1164"/>
      <c r="M124" s="1164"/>
      <c r="N124" s="1165"/>
    </row>
    <row r="125" spans="1:14" ht="44.25" customHeight="1" x14ac:dyDescent="0.25">
      <c r="A125" s="32" t="s">
        <v>64</v>
      </c>
      <c r="B125" s="33" t="s">
        <v>149</v>
      </c>
      <c r="C125" s="33" t="s">
        <v>150</v>
      </c>
      <c r="D125" s="33" t="s">
        <v>151</v>
      </c>
      <c r="E125" s="33" t="s">
        <v>152</v>
      </c>
      <c r="F125" s="33" t="s">
        <v>177</v>
      </c>
      <c r="G125" s="33" t="s">
        <v>154</v>
      </c>
      <c r="H125" s="457" t="s">
        <v>178</v>
      </c>
      <c r="I125" s="33" t="s">
        <v>179</v>
      </c>
      <c r="J125" s="41" t="s">
        <v>180</v>
      </c>
      <c r="K125" s="33" t="s">
        <v>158</v>
      </c>
      <c r="L125" s="33" t="s">
        <v>159</v>
      </c>
      <c r="M125" s="33" t="s">
        <v>160</v>
      </c>
      <c r="N125" s="34" t="s">
        <v>161</v>
      </c>
    </row>
    <row r="126" spans="1:14" ht="91.35" customHeight="1" x14ac:dyDescent="0.25">
      <c r="A126" s="640" t="s">
        <v>139</v>
      </c>
      <c r="B126" s="646" t="s">
        <v>397</v>
      </c>
      <c r="C126" s="646" t="s">
        <v>398</v>
      </c>
      <c r="D126" s="646" t="s">
        <v>399</v>
      </c>
      <c r="E126" s="646" t="s">
        <v>400</v>
      </c>
      <c r="F126" s="646">
        <v>100</v>
      </c>
      <c r="G126" s="646">
        <v>2</v>
      </c>
      <c r="H126" s="647">
        <v>0</v>
      </c>
      <c r="I126" s="646">
        <v>0</v>
      </c>
      <c r="J126" s="569">
        <f>H126/G126</f>
        <v>0</v>
      </c>
      <c r="K126" s="641"/>
      <c r="L126" s="641"/>
      <c r="M126" s="641" t="e">
        <f>L126/K126</f>
        <v>#DIV/0!</v>
      </c>
      <c r="N126" s="648" t="s">
        <v>666</v>
      </c>
    </row>
    <row r="127" spans="1:14" s="100" customFormat="1" ht="96.6" customHeight="1" x14ac:dyDescent="0.25">
      <c r="A127" s="649" t="s">
        <v>140</v>
      </c>
      <c r="B127" s="646" t="s">
        <v>397</v>
      </c>
      <c r="C127" s="646" t="s">
        <v>398</v>
      </c>
      <c r="D127" s="646" t="s">
        <v>399</v>
      </c>
      <c r="E127" s="646" t="s">
        <v>400</v>
      </c>
      <c r="F127" s="646">
        <v>100</v>
      </c>
      <c r="G127" s="646">
        <v>2</v>
      </c>
      <c r="H127" s="650">
        <v>1</v>
      </c>
      <c r="I127" s="646">
        <v>0</v>
      </c>
      <c r="J127" s="646">
        <f>H127/G127</f>
        <v>0.5</v>
      </c>
      <c r="K127" s="646"/>
      <c r="L127" s="646"/>
      <c r="M127" s="646" t="e">
        <f>L127/K127</f>
        <v>#DIV/0!</v>
      </c>
      <c r="N127" s="648" t="s">
        <v>689</v>
      </c>
    </row>
    <row r="128" spans="1:14" ht="132.75" customHeight="1" x14ac:dyDescent="0.25">
      <c r="A128" s="640" t="s">
        <v>141</v>
      </c>
      <c r="B128" s="646" t="s">
        <v>397</v>
      </c>
      <c r="C128" s="646" t="s">
        <v>398</v>
      </c>
      <c r="D128" s="646" t="s">
        <v>399</v>
      </c>
      <c r="E128" s="646" t="s">
        <v>400</v>
      </c>
      <c r="F128" s="646">
        <v>100</v>
      </c>
      <c r="G128" s="646">
        <v>2</v>
      </c>
      <c r="H128" s="650">
        <v>1</v>
      </c>
      <c r="I128" s="646">
        <v>0</v>
      </c>
      <c r="J128" s="646">
        <f>H128/G128</f>
        <v>0.5</v>
      </c>
      <c r="K128" s="646"/>
      <c r="L128" s="646"/>
      <c r="M128" s="646" t="e">
        <f>L128/K128</f>
        <v>#DIV/0!</v>
      </c>
      <c r="N128" s="648" t="s">
        <v>759</v>
      </c>
    </row>
    <row r="129" spans="1:24" ht="16.5" customHeight="1" x14ac:dyDescent="0.25">
      <c r="A129" s="39" t="s">
        <v>142</v>
      </c>
      <c r="B129" s="36"/>
      <c r="C129" s="36"/>
      <c r="D129" s="36"/>
      <c r="E129" s="36"/>
      <c r="F129" s="36"/>
      <c r="G129" s="36"/>
      <c r="H129" s="308"/>
      <c r="I129" s="36"/>
      <c r="J129" s="36" t="e">
        <f t="shared" ref="J129:J137" si="13">I129/H129</f>
        <v>#DIV/0!</v>
      </c>
      <c r="K129" s="36"/>
      <c r="L129" s="36"/>
      <c r="M129" s="36" t="e">
        <f t="shared" ref="M129:M137" si="14">L129/K129</f>
        <v>#DIV/0!</v>
      </c>
      <c r="N129" s="37"/>
    </row>
    <row r="130" spans="1:24" ht="16.5" customHeight="1" x14ac:dyDescent="0.25">
      <c r="A130" s="39" t="s">
        <v>143</v>
      </c>
      <c r="B130" s="36"/>
      <c r="C130" s="36"/>
      <c r="D130" s="36"/>
      <c r="E130" s="36"/>
      <c r="F130" s="36"/>
      <c r="G130" s="36"/>
      <c r="H130" s="308"/>
      <c r="I130" s="36"/>
      <c r="J130" s="36" t="e">
        <f t="shared" si="13"/>
        <v>#DIV/0!</v>
      </c>
      <c r="K130" s="36"/>
      <c r="L130" s="36"/>
      <c r="M130" s="36" t="e">
        <f t="shared" si="14"/>
        <v>#DIV/0!</v>
      </c>
      <c r="N130" s="37"/>
    </row>
    <row r="131" spans="1:24" ht="16.5" customHeight="1" x14ac:dyDescent="0.25">
      <c r="A131" s="39" t="s">
        <v>144</v>
      </c>
      <c r="B131" s="36"/>
      <c r="C131" s="36"/>
      <c r="D131" s="36"/>
      <c r="E131" s="36"/>
      <c r="F131" s="36"/>
      <c r="G131" s="36"/>
      <c r="H131" s="308"/>
      <c r="I131" s="36"/>
      <c r="J131" s="36" t="e">
        <f t="shared" si="13"/>
        <v>#DIV/0!</v>
      </c>
      <c r="K131" s="36"/>
      <c r="L131" s="36"/>
      <c r="M131" s="36" t="e">
        <f t="shared" si="14"/>
        <v>#DIV/0!</v>
      </c>
      <c r="N131" s="37"/>
    </row>
    <row r="132" spans="1:24" x14ac:dyDescent="0.25">
      <c r="A132" s="39" t="s">
        <v>132</v>
      </c>
      <c r="B132" s="36"/>
      <c r="C132" s="36"/>
      <c r="D132" s="36"/>
      <c r="E132" s="36"/>
      <c r="F132" s="36"/>
      <c r="G132" s="36"/>
      <c r="H132" s="308"/>
      <c r="I132" s="36"/>
      <c r="J132" s="36" t="e">
        <f t="shared" si="13"/>
        <v>#DIV/0!</v>
      </c>
      <c r="K132" s="36"/>
      <c r="L132" s="36"/>
      <c r="M132" s="36" t="e">
        <f t="shared" si="14"/>
        <v>#DIV/0!</v>
      </c>
      <c r="N132" s="37"/>
    </row>
    <row r="133" spans="1:24" x14ac:dyDescent="0.25">
      <c r="A133" s="39" t="s">
        <v>133</v>
      </c>
      <c r="B133" s="36"/>
      <c r="C133" s="36"/>
      <c r="D133" s="36"/>
      <c r="E133" s="36"/>
      <c r="F133" s="36"/>
      <c r="G133" s="36"/>
      <c r="H133" s="308"/>
      <c r="I133" s="36"/>
      <c r="J133" s="36" t="e">
        <f t="shared" si="13"/>
        <v>#DIV/0!</v>
      </c>
      <c r="K133" s="36"/>
      <c r="L133" s="36"/>
      <c r="M133" s="36" t="e">
        <f t="shared" si="14"/>
        <v>#DIV/0!</v>
      </c>
      <c r="N133" s="37"/>
    </row>
    <row r="134" spans="1:24" x14ac:dyDescent="0.25">
      <c r="A134" s="39" t="s">
        <v>134</v>
      </c>
      <c r="B134" s="36"/>
      <c r="C134" s="36"/>
      <c r="D134" s="36"/>
      <c r="E134" s="36"/>
      <c r="F134" s="36"/>
      <c r="G134" s="36"/>
      <c r="H134" s="308"/>
      <c r="I134" s="36"/>
      <c r="J134" s="36" t="e">
        <f t="shared" si="13"/>
        <v>#DIV/0!</v>
      </c>
      <c r="K134" s="36"/>
      <c r="L134" s="36"/>
      <c r="M134" s="36" t="e">
        <f t="shared" si="14"/>
        <v>#DIV/0!</v>
      </c>
      <c r="N134" s="37"/>
    </row>
    <row r="135" spans="1:24" x14ac:dyDescent="0.25">
      <c r="A135" s="39" t="s">
        <v>135</v>
      </c>
      <c r="B135" s="36"/>
      <c r="C135" s="36"/>
      <c r="D135" s="36"/>
      <c r="E135" s="36"/>
      <c r="F135" s="36"/>
      <c r="G135" s="36"/>
      <c r="H135" s="308"/>
      <c r="I135" s="36"/>
      <c r="J135" s="36" t="e">
        <f t="shared" si="13"/>
        <v>#DIV/0!</v>
      </c>
      <c r="K135" s="36"/>
      <c r="L135" s="36"/>
      <c r="M135" s="36" t="e">
        <f t="shared" si="14"/>
        <v>#DIV/0!</v>
      </c>
      <c r="N135" s="37"/>
    </row>
    <row r="136" spans="1:24" x14ac:dyDescent="0.25">
      <c r="A136" s="39" t="s">
        <v>136</v>
      </c>
      <c r="B136" s="36"/>
      <c r="C136" s="36"/>
      <c r="D136" s="36"/>
      <c r="E136" s="36"/>
      <c r="F136" s="36"/>
      <c r="G136" s="36"/>
      <c r="H136" s="308"/>
      <c r="I136" s="36"/>
      <c r="J136" s="36" t="e">
        <f t="shared" si="13"/>
        <v>#DIV/0!</v>
      </c>
      <c r="K136" s="36"/>
      <c r="L136" s="36"/>
      <c r="M136" s="36" t="e">
        <f t="shared" si="14"/>
        <v>#DIV/0!</v>
      </c>
      <c r="N136" s="37"/>
    </row>
    <row r="137" spans="1:24" ht="15.75" thickBot="1" x14ac:dyDescent="0.3">
      <c r="A137" s="40" t="s">
        <v>137</v>
      </c>
      <c r="B137" s="38"/>
      <c r="C137" s="38"/>
      <c r="D137" s="38"/>
      <c r="E137" s="38"/>
      <c r="F137" s="38"/>
      <c r="G137" s="38"/>
      <c r="H137" s="309"/>
      <c r="I137" s="38"/>
      <c r="J137" s="38" t="e">
        <f t="shared" si="13"/>
        <v>#DIV/0!</v>
      </c>
      <c r="K137" s="38"/>
      <c r="L137" s="38"/>
      <c r="M137" s="38" t="e">
        <f t="shared" si="14"/>
        <v>#DIV/0!</v>
      </c>
      <c r="N137" s="42"/>
    </row>
    <row r="138" spans="1:24" ht="15.75" thickBot="1" x14ac:dyDescent="0.3"/>
    <row r="139" spans="1:24" ht="20.25" x14ac:dyDescent="0.25">
      <c r="A139" s="1163" t="s">
        <v>181</v>
      </c>
      <c r="B139" s="1164"/>
      <c r="C139" s="1164"/>
      <c r="D139" s="1164"/>
      <c r="E139" s="1164"/>
      <c r="F139" s="1164"/>
      <c r="G139" s="1165"/>
    </row>
    <row r="140" spans="1:24" ht="26.25" thickBot="1" x14ac:dyDescent="0.3">
      <c r="A140" s="32" t="s">
        <v>49</v>
      </c>
      <c r="B140" s="43" t="s">
        <v>149</v>
      </c>
      <c r="C140" s="43" t="s">
        <v>150</v>
      </c>
      <c r="D140" s="43" t="s">
        <v>182</v>
      </c>
      <c r="E140" s="43" t="s">
        <v>183</v>
      </c>
      <c r="F140" s="43" t="s">
        <v>188</v>
      </c>
      <c r="G140" s="44" t="s">
        <v>185</v>
      </c>
    </row>
    <row r="141" spans="1:24" hidden="1" x14ac:dyDescent="0.25">
      <c r="A141" s="640" t="s">
        <v>139</v>
      </c>
      <c r="B141" s="651"/>
      <c r="C141" s="651"/>
      <c r="D141" s="651"/>
      <c r="E141" s="651"/>
      <c r="F141" s="651"/>
      <c r="G141" s="651"/>
      <c r="I141" s="303"/>
      <c r="J141" s="303"/>
      <c r="K141" s="303"/>
      <c r="L141" s="303"/>
      <c r="M141" s="303"/>
      <c r="N141" s="303"/>
      <c r="O141" s="303"/>
      <c r="P141" s="303"/>
      <c r="Q141" s="303"/>
      <c r="R141" s="303"/>
      <c r="S141" s="303"/>
      <c r="T141" s="303"/>
      <c r="U141" s="303"/>
      <c r="V141" s="303"/>
      <c r="W141" s="303"/>
      <c r="X141" s="303"/>
    </row>
    <row r="142" spans="1:24" ht="16.5" hidden="1" customHeight="1" x14ac:dyDescent="0.25">
      <c r="A142" s="640" t="s">
        <v>140</v>
      </c>
      <c r="B142" s="641"/>
      <c r="C142" s="641"/>
      <c r="D142" s="641"/>
      <c r="E142" s="641"/>
      <c r="F142" s="641"/>
      <c r="G142" s="641"/>
      <c r="I142" s="303"/>
      <c r="J142" s="303"/>
      <c r="K142" s="303"/>
      <c r="L142" s="303"/>
      <c r="M142" s="303"/>
      <c r="N142" s="303"/>
      <c r="O142" s="303"/>
      <c r="P142" s="303"/>
      <c r="Q142" s="303"/>
      <c r="R142" s="303"/>
      <c r="S142" s="303"/>
      <c r="T142" s="303"/>
      <c r="U142" s="303"/>
      <c r="V142" s="303"/>
      <c r="W142" s="303"/>
      <c r="X142" s="303"/>
    </row>
    <row r="143" spans="1:24" ht="16.5" hidden="1" customHeight="1" x14ac:dyDescent="0.25">
      <c r="A143" s="640" t="s">
        <v>141</v>
      </c>
      <c r="B143" s="641"/>
      <c r="C143" s="641"/>
      <c r="D143" s="641"/>
      <c r="E143" s="641"/>
      <c r="F143" s="641"/>
      <c r="G143" s="641"/>
      <c r="I143" s="303"/>
      <c r="J143" s="303"/>
      <c r="K143" s="303"/>
      <c r="L143" s="303"/>
      <c r="M143" s="303"/>
      <c r="N143" s="303"/>
      <c r="O143" s="303"/>
      <c r="P143" s="303"/>
      <c r="Q143" s="303"/>
      <c r="R143" s="303"/>
      <c r="S143" s="303"/>
      <c r="T143" s="303"/>
      <c r="U143" s="303"/>
      <c r="V143" s="303"/>
      <c r="W143" s="303"/>
      <c r="X143" s="303"/>
    </row>
    <row r="144" spans="1:24" ht="16.5" hidden="1" customHeight="1" x14ac:dyDescent="0.25">
      <c r="A144" s="640" t="s">
        <v>142</v>
      </c>
      <c r="B144" s="641"/>
      <c r="C144" s="641"/>
      <c r="D144" s="641"/>
      <c r="E144" s="641"/>
      <c r="F144" s="641"/>
      <c r="G144" s="641"/>
      <c r="I144" s="303"/>
      <c r="J144" s="303"/>
      <c r="K144" s="303"/>
      <c r="L144" s="303"/>
      <c r="M144" s="303"/>
      <c r="N144" s="303"/>
      <c r="O144" s="303"/>
      <c r="P144" s="303"/>
      <c r="Q144" s="303"/>
      <c r="R144" s="303"/>
      <c r="S144" s="303"/>
      <c r="T144" s="303"/>
      <c r="U144" s="303"/>
      <c r="V144" s="303"/>
      <c r="W144" s="303"/>
      <c r="X144" s="303"/>
    </row>
    <row r="145" spans="1:24" ht="16.5" hidden="1" customHeight="1" x14ac:dyDescent="0.25">
      <c r="A145" s="640" t="s">
        <v>143</v>
      </c>
      <c r="B145" s="641"/>
      <c r="C145" s="641"/>
      <c r="D145" s="641"/>
      <c r="E145" s="641"/>
      <c r="F145" s="641"/>
      <c r="G145" s="641"/>
      <c r="I145" s="303"/>
      <c r="J145" s="303"/>
      <c r="K145" s="303"/>
      <c r="L145" s="303"/>
      <c r="M145" s="303"/>
      <c r="N145" s="303"/>
      <c r="O145" s="303"/>
      <c r="P145" s="303"/>
      <c r="Q145" s="303"/>
      <c r="R145" s="303"/>
      <c r="S145" s="303"/>
      <c r="T145" s="303"/>
      <c r="U145" s="303"/>
      <c r="V145" s="303"/>
      <c r="W145" s="303"/>
      <c r="X145" s="303"/>
    </row>
    <row r="146" spans="1:24" ht="16.5" hidden="1" customHeight="1" thickBot="1" x14ac:dyDescent="0.3">
      <c r="A146" s="640" t="s">
        <v>144</v>
      </c>
      <c r="B146" s="641"/>
      <c r="C146" s="641"/>
      <c r="D146" s="641"/>
      <c r="E146" s="641"/>
      <c r="F146" s="641"/>
      <c r="G146" s="641"/>
      <c r="I146" s="303"/>
      <c r="J146" s="303"/>
      <c r="K146" s="303"/>
      <c r="L146" s="303"/>
      <c r="M146" s="303"/>
      <c r="N146" s="303"/>
      <c r="O146" s="303"/>
      <c r="P146" s="303"/>
      <c r="Q146" s="303"/>
      <c r="R146" s="303"/>
      <c r="S146" s="303"/>
      <c r="T146" s="303"/>
      <c r="U146" s="303"/>
      <c r="V146" s="303"/>
      <c r="W146" s="303"/>
      <c r="X146" s="303"/>
    </row>
    <row r="147" spans="1:24" ht="157.5" x14ac:dyDescent="0.25">
      <c r="A147" s="640" t="s">
        <v>132</v>
      </c>
      <c r="B147" s="1177" t="s">
        <v>398</v>
      </c>
      <c r="C147" s="652" t="s">
        <v>401</v>
      </c>
      <c r="D147" s="462">
        <v>2729118190</v>
      </c>
      <c r="E147" s="462">
        <v>61765000</v>
      </c>
      <c r="F147" s="463" t="s">
        <v>402</v>
      </c>
      <c r="G147" s="641"/>
      <c r="I147" s="303"/>
      <c r="J147" s="303"/>
      <c r="K147" s="303"/>
      <c r="L147" s="303"/>
      <c r="M147" s="303"/>
      <c r="N147" s="303"/>
      <c r="O147" s="303"/>
      <c r="P147" s="303"/>
      <c r="Q147" s="303"/>
      <c r="R147" s="303"/>
      <c r="S147" s="303"/>
      <c r="T147" s="303"/>
      <c r="U147" s="303"/>
      <c r="V147" s="303"/>
      <c r="W147" s="303"/>
      <c r="X147" s="303"/>
    </row>
    <row r="148" spans="1:24" ht="157.5" x14ac:dyDescent="0.25">
      <c r="A148" s="640"/>
      <c r="B148" s="1178"/>
      <c r="C148" s="652" t="s">
        <v>403</v>
      </c>
      <c r="D148" s="462">
        <v>200000000</v>
      </c>
      <c r="E148" s="462">
        <v>0</v>
      </c>
      <c r="F148" s="463" t="s">
        <v>402</v>
      </c>
      <c r="G148" s="641"/>
      <c r="I148" s="303"/>
      <c r="J148" s="303"/>
      <c r="K148" s="303"/>
      <c r="L148" s="303"/>
      <c r="M148" s="303"/>
      <c r="N148" s="303"/>
      <c r="O148" s="303"/>
      <c r="P148" s="303"/>
      <c r="Q148" s="303"/>
      <c r="R148" s="303"/>
      <c r="S148" s="303"/>
      <c r="T148" s="303"/>
      <c r="U148" s="303"/>
      <c r="V148" s="303"/>
      <c r="W148" s="303"/>
      <c r="X148" s="303"/>
    </row>
    <row r="149" spans="1:24" ht="87" thickBot="1" x14ac:dyDescent="0.3">
      <c r="A149" s="640"/>
      <c r="B149" s="1179"/>
      <c r="C149" s="652" t="s">
        <v>404</v>
      </c>
      <c r="D149" s="462">
        <v>171232872</v>
      </c>
      <c r="E149" s="462">
        <v>0</v>
      </c>
      <c r="F149" s="463" t="s">
        <v>402</v>
      </c>
      <c r="G149" s="641"/>
      <c r="I149" s="303"/>
      <c r="J149" s="303"/>
      <c r="K149" s="303"/>
      <c r="L149" s="303"/>
      <c r="M149" s="303"/>
      <c r="N149" s="303"/>
      <c r="O149" s="303"/>
      <c r="P149" s="303"/>
      <c r="Q149" s="303"/>
      <c r="R149" s="303"/>
      <c r="S149" s="303"/>
      <c r="T149" s="303"/>
      <c r="U149" s="303"/>
      <c r="V149" s="303"/>
      <c r="W149" s="303"/>
      <c r="X149" s="303"/>
    </row>
    <row r="150" spans="1:24" ht="138.6" customHeight="1" x14ac:dyDescent="0.25">
      <c r="A150" s="640" t="s">
        <v>133</v>
      </c>
      <c r="B150" s="1177" t="s">
        <v>398</v>
      </c>
      <c r="C150" s="652" t="s">
        <v>401</v>
      </c>
      <c r="D150" s="462">
        <v>2729118190</v>
      </c>
      <c r="E150" s="462">
        <v>1624576000</v>
      </c>
      <c r="F150" s="463" t="s">
        <v>402</v>
      </c>
      <c r="G150" s="641"/>
      <c r="I150" s="303"/>
      <c r="J150" s="303"/>
      <c r="K150" s="303"/>
      <c r="L150" s="303"/>
      <c r="M150" s="303"/>
      <c r="N150" s="303"/>
      <c r="O150" s="303"/>
      <c r="P150" s="303"/>
      <c r="Q150" s="303"/>
      <c r="R150" s="303"/>
      <c r="S150" s="303"/>
      <c r="T150" s="303"/>
      <c r="U150" s="303"/>
      <c r="V150" s="303"/>
      <c r="W150" s="303"/>
      <c r="X150" s="303"/>
    </row>
    <row r="151" spans="1:24" ht="138.6" customHeight="1" x14ac:dyDescent="0.25">
      <c r="A151" s="640"/>
      <c r="B151" s="1178"/>
      <c r="C151" s="652" t="s">
        <v>403</v>
      </c>
      <c r="D151" s="462">
        <v>200000000</v>
      </c>
      <c r="E151" s="462">
        <v>114652000</v>
      </c>
      <c r="F151" s="463" t="s">
        <v>402</v>
      </c>
      <c r="G151" s="641"/>
      <c r="I151" s="303"/>
      <c r="J151" s="303"/>
      <c r="K151" s="303"/>
      <c r="L151" s="303"/>
      <c r="M151" s="303"/>
      <c r="N151" s="303"/>
      <c r="O151" s="303"/>
      <c r="P151" s="303"/>
      <c r="Q151" s="303"/>
      <c r="R151" s="303"/>
      <c r="S151" s="303"/>
      <c r="T151" s="303"/>
      <c r="U151" s="303"/>
      <c r="V151" s="303"/>
      <c r="W151" s="303"/>
      <c r="X151" s="303"/>
    </row>
    <row r="152" spans="1:24" ht="138.6" customHeight="1" thickBot="1" x14ac:dyDescent="0.3">
      <c r="A152" s="640"/>
      <c r="B152" s="1179"/>
      <c r="C152" s="652" t="s">
        <v>404</v>
      </c>
      <c r="D152" s="462">
        <v>171232872</v>
      </c>
      <c r="E152" s="462">
        <v>94940000</v>
      </c>
      <c r="F152" s="463" t="s">
        <v>402</v>
      </c>
      <c r="G152" s="641"/>
      <c r="I152" s="303"/>
      <c r="J152" s="303"/>
      <c r="K152" s="303"/>
      <c r="L152" s="303"/>
      <c r="M152" s="303"/>
      <c r="N152" s="303"/>
      <c r="O152" s="303"/>
      <c r="P152" s="303"/>
      <c r="Q152" s="303"/>
      <c r="R152" s="303"/>
      <c r="S152" s="303"/>
      <c r="T152" s="303"/>
      <c r="U152" s="303"/>
      <c r="V152" s="303"/>
      <c r="W152" s="303"/>
      <c r="X152" s="303"/>
    </row>
    <row r="153" spans="1:24" ht="157.5" x14ac:dyDescent="0.25">
      <c r="A153" s="39" t="s">
        <v>134</v>
      </c>
      <c r="B153" s="1173" t="s">
        <v>398</v>
      </c>
      <c r="C153" s="298" t="s">
        <v>401</v>
      </c>
      <c r="D153" s="299">
        <v>2729118190</v>
      </c>
      <c r="E153" s="299">
        <v>1781560000</v>
      </c>
      <c r="F153" s="268" t="s">
        <v>402</v>
      </c>
      <c r="G153" s="641"/>
      <c r="I153" s="303"/>
      <c r="J153" s="303"/>
      <c r="K153" s="303"/>
      <c r="L153" s="303"/>
      <c r="M153" s="303"/>
      <c r="N153" s="303"/>
      <c r="O153" s="303"/>
      <c r="P153" s="303"/>
      <c r="Q153" s="303"/>
      <c r="R153" s="303"/>
      <c r="S153" s="303"/>
      <c r="T153" s="303"/>
      <c r="U153" s="303"/>
      <c r="V153" s="303"/>
      <c r="W153" s="303"/>
      <c r="X153" s="303"/>
    </row>
    <row r="154" spans="1:24" ht="157.5" x14ac:dyDescent="0.25">
      <c r="A154" s="39"/>
      <c r="B154" s="1174"/>
      <c r="C154" s="298" t="s">
        <v>403</v>
      </c>
      <c r="D154" s="299">
        <v>200000000</v>
      </c>
      <c r="E154" s="299">
        <v>143692000</v>
      </c>
      <c r="F154" s="268" t="s">
        <v>402</v>
      </c>
      <c r="G154" s="641"/>
      <c r="I154" s="303"/>
      <c r="J154" s="303"/>
      <c r="K154" s="303"/>
      <c r="L154" s="303"/>
      <c r="M154" s="303"/>
      <c r="N154" s="303"/>
      <c r="O154" s="303"/>
      <c r="P154" s="303"/>
      <c r="Q154" s="303"/>
      <c r="R154" s="303"/>
      <c r="S154" s="303"/>
      <c r="T154" s="303"/>
      <c r="U154" s="303"/>
      <c r="V154" s="303"/>
      <c r="W154" s="303"/>
      <c r="X154" s="303"/>
    </row>
    <row r="155" spans="1:24" ht="87" thickBot="1" x14ac:dyDescent="0.3">
      <c r="A155" s="39"/>
      <c r="B155" s="1176"/>
      <c r="C155" s="298" t="s">
        <v>404</v>
      </c>
      <c r="D155" s="299">
        <v>171232872</v>
      </c>
      <c r="E155" s="299">
        <v>94940000</v>
      </c>
      <c r="F155" s="268" t="s">
        <v>402</v>
      </c>
      <c r="G155" s="641"/>
      <c r="I155" s="303"/>
      <c r="J155" s="303"/>
      <c r="K155" s="303"/>
      <c r="L155" s="303"/>
      <c r="M155" s="303"/>
      <c r="N155" s="303"/>
      <c r="O155" s="303"/>
      <c r="P155" s="303"/>
      <c r="Q155" s="303"/>
      <c r="R155" s="303"/>
      <c r="S155" s="303"/>
      <c r="T155" s="303"/>
      <c r="U155" s="303"/>
      <c r="V155" s="303"/>
      <c r="W155" s="303"/>
      <c r="X155" s="303"/>
    </row>
    <row r="156" spans="1:24" ht="157.5" x14ac:dyDescent="0.25">
      <c r="A156" s="1182" t="s">
        <v>135</v>
      </c>
      <c r="B156" s="1173" t="s">
        <v>398</v>
      </c>
      <c r="C156" s="298" t="s">
        <v>401</v>
      </c>
      <c r="D156" s="299">
        <v>2729118190</v>
      </c>
      <c r="E156" s="299">
        <v>1796256255</v>
      </c>
      <c r="F156" s="268" t="s">
        <v>402</v>
      </c>
      <c r="G156" s="641"/>
      <c r="I156" s="303"/>
      <c r="J156" s="303"/>
      <c r="K156" s="303"/>
      <c r="L156" s="303"/>
      <c r="M156" s="303"/>
      <c r="N156" s="303"/>
      <c r="O156" s="303"/>
      <c r="P156" s="303"/>
      <c r="Q156" s="303"/>
      <c r="R156" s="303"/>
      <c r="S156" s="303"/>
      <c r="T156" s="303"/>
      <c r="U156" s="303"/>
      <c r="V156" s="303"/>
      <c r="W156" s="303"/>
      <c r="X156" s="303"/>
    </row>
    <row r="157" spans="1:24" ht="157.5" x14ac:dyDescent="0.25">
      <c r="A157" s="1183"/>
      <c r="B157" s="1174"/>
      <c r="C157" s="298" t="s">
        <v>403</v>
      </c>
      <c r="D157" s="299">
        <v>200000000</v>
      </c>
      <c r="E157" s="299">
        <v>143692000</v>
      </c>
      <c r="F157" s="268" t="s">
        <v>402</v>
      </c>
      <c r="G157" s="641"/>
      <c r="I157" s="303"/>
      <c r="J157" s="303"/>
      <c r="K157" s="303"/>
      <c r="L157" s="303"/>
      <c r="M157" s="303"/>
      <c r="N157" s="303"/>
      <c r="O157" s="303"/>
      <c r="P157" s="303"/>
      <c r="Q157" s="303"/>
      <c r="R157" s="303"/>
      <c r="S157" s="303"/>
      <c r="T157" s="303"/>
      <c r="U157" s="303"/>
      <c r="V157" s="303"/>
      <c r="W157" s="303"/>
      <c r="X157" s="303"/>
    </row>
    <row r="158" spans="1:24" ht="87" thickBot="1" x14ac:dyDescent="0.3">
      <c r="A158" s="1184"/>
      <c r="B158" s="1176"/>
      <c r="C158" s="298" t="s">
        <v>404</v>
      </c>
      <c r="D158" s="299">
        <v>171232872</v>
      </c>
      <c r="E158" s="299">
        <v>94940000</v>
      </c>
      <c r="F158" s="268" t="s">
        <v>402</v>
      </c>
      <c r="G158" s="641"/>
      <c r="I158" s="303"/>
      <c r="J158" s="303"/>
      <c r="K158" s="303"/>
      <c r="L158" s="303"/>
      <c r="M158" s="303"/>
      <c r="N158" s="303"/>
      <c r="O158" s="303"/>
      <c r="P158" s="303"/>
      <c r="Q158" s="303"/>
      <c r="R158" s="303"/>
      <c r="S158" s="303"/>
      <c r="T158" s="303"/>
      <c r="U158" s="303"/>
      <c r="V158" s="303"/>
      <c r="W158" s="303"/>
      <c r="X158" s="303"/>
    </row>
    <row r="159" spans="1:24" ht="157.5" x14ac:dyDescent="0.25">
      <c r="A159" s="1182" t="s">
        <v>136</v>
      </c>
      <c r="B159" s="1173" t="s">
        <v>398</v>
      </c>
      <c r="C159" s="298" t="s">
        <v>401</v>
      </c>
      <c r="D159" s="299">
        <v>2729118190</v>
      </c>
      <c r="E159" s="299">
        <v>2025564031</v>
      </c>
      <c r="F159" s="268" t="s">
        <v>402</v>
      </c>
      <c r="G159" s="641"/>
      <c r="I159" s="303"/>
      <c r="J159" s="303"/>
      <c r="K159" s="303"/>
      <c r="L159" s="303"/>
      <c r="M159" s="303"/>
      <c r="N159" s="303"/>
      <c r="O159" s="303"/>
      <c r="P159" s="303"/>
      <c r="Q159" s="303"/>
      <c r="R159" s="303"/>
      <c r="S159" s="303"/>
      <c r="T159" s="303"/>
      <c r="U159" s="303"/>
      <c r="V159" s="303"/>
      <c r="W159" s="303"/>
      <c r="X159" s="303"/>
    </row>
    <row r="160" spans="1:24" ht="157.5" x14ac:dyDescent="0.25">
      <c r="A160" s="1183"/>
      <c r="B160" s="1174"/>
      <c r="C160" s="298" t="s">
        <v>403</v>
      </c>
      <c r="D160" s="299">
        <v>200000000</v>
      </c>
      <c r="E160" s="299">
        <v>143692000</v>
      </c>
      <c r="F160" s="268" t="s">
        <v>402</v>
      </c>
      <c r="G160" s="653"/>
      <c r="I160" s="303"/>
      <c r="J160" s="303"/>
      <c r="K160" s="303"/>
      <c r="L160" s="303"/>
      <c r="M160" s="303"/>
      <c r="N160" s="303"/>
      <c r="O160" s="303"/>
      <c r="P160" s="303"/>
      <c r="Q160" s="303"/>
      <c r="R160" s="303"/>
      <c r="S160" s="303"/>
      <c r="T160" s="303"/>
      <c r="U160" s="303"/>
      <c r="V160" s="303"/>
      <c r="W160" s="303"/>
      <c r="X160" s="303"/>
    </row>
    <row r="161" spans="1:24" ht="87" thickBot="1" x14ac:dyDescent="0.3">
      <c r="A161" s="1184"/>
      <c r="B161" s="1176"/>
      <c r="C161" s="298" t="s">
        <v>404</v>
      </c>
      <c r="D161" s="299">
        <v>171232872</v>
      </c>
      <c r="E161" s="299">
        <v>94940000</v>
      </c>
      <c r="F161" s="268" t="s">
        <v>402</v>
      </c>
      <c r="G161" s="653"/>
      <c r="I161" s="303"/>
      <c r="J161" s="303"/>
      <c r="K161" s="303"/>
      <c r="L161" s="303"/>
      <c r="M161" s="303"/>
      <c r="N161" s="303"/>
      <c r="O161" s="303"/>
      <c r="P161" s="303"/>
      <c r="Q161" s="303"/>
      <c r="R161" s="303"/>
      <c r="S161" s="303"/>
      <c r="T161" s="303"/>
      <c r="U161" s="303"/>
      <c r="V161" s="303"/>
      <c r="W161" s="303"/>
      <c r="X161" s="303"/>
    </row>
    <row r="162" spans="1:24" ht="138.6" customHeight="1" x14ac:dyDescent="0.25">
      <c r="A162" s="1180" t="s">
        <v>137</v>
      </c>
      <c r="B162" s="1173" t="s">
        <v>398</v>
      </c>
      <c r="C162" s="298" t="s">
        <v>401</v>
      </c>
      <c r="D162" s="299">
        <v>2729118190</v>
      </c>
      <c r="E162" s="299">
        <v>2693651241</v>
      </c>
      <c r="F162" s="268" t="s">
        <v>402</v>
      </c>
      <c r="G162" s="654" t="s">
        <v>693</v>
      </c>
      <c r="I162" s="303"/>
      <c r="J162" s="303"/>
      <c r="K162" s="303"/>
      <c r="L162" s="303"/>
      <c r="M162" s="303"/>
      <c r="N162" s="303"/>
      <c r="O162" s="303"/>
      <c r="P162" s="303"/>
      <c r="Q162" s="303"/>
      <c r="R162" s="303"/>
      <c r="S162" s="303"/>
      <c r="T162" s="303"/>
      <c r="U162" s="303"/>
      <c r="V162" s="303"/>
      <c r="W162" s="303"/>
      <c r="X162" s="303"/>
    </row>
    <row r="163" spans="1:24" ht="409.5" x14ac:dyDescent="0.25">
      <c r="A163" s="1181"/>
      <c r="B163" s="1174"/>
      <c r="C163" s="298" t="s">
        <v>403</v>
      </c>
      <c r="D163" s="299">
        <v>200000000</v>
      </c>
      <c r="E163" s="299">
        <v>198796000</v>
      </c>
      <c r="F163" s="268" t="s">
        <v>402</v>
      </c>
      <c r="G163" s="636" t="s">
        <v>694</v>
      </c>
      <c r="I163" s="303"/>
      <c r="J163" s="303"/>
      <c r="K163" s="303"/>
      <c r="L163" s="303"/>
      <c r="M163" s="303"/>
      <c r="N163" s="303"/>
      <c r="O163" s="303"/>
      <c r="P163" s="303"/>
      <c r="Q163" s="303"/>
      <c r="R163" s="303"/>
      <c r="S163" s="303"/>
      <c r="T163" s="303"/>
      <c r="U163" s="303"/>
      <c r="V163" s="303"/>
      <c r="W163" s="303"/>
      <c r="X163" s="303"/>
    </row>
    <row r="164" spans="1:24" ht="409.6" thickBot="1" x14ac:dyDescent="0.3">
      <c r="A164" s="1181"/>
      <c r="B164" s="1176"/>
      <c r="C164" s="298" t="s">
        <v>404</v>
      </c>
      <c r="D164" s="299">
        <v>171232872</v>
      </c>
      <c r="E164" s="299">
        <v>164967872</v>
      </c>
      <c r="F164" s="268" t="s">
        <v>402</v>
      </c>
      <c r="G164" s="636" t="s">
        <v>695</v>
      </c>
    </row>
    <row r="165" spans="1:24" x14ac:dyDescent="0.25">
      <c r="A165" s="623"/>
      <c r="B165" s="624"/>
      <c r="C165" s="624"/>
      <c r="D165" s="624"/>
      <c r="E165" s="624"/>
      <c r="F165" s="624"/>
      <c r="G165" s="624"/>
    </row>
    <row r="166" spans="1:24" x14ac:dyDescent="0.25">
      <c r="A166" s="623"/>
      <c r="B166" s="624"/>
      <c r="C166" s="624"/>
      <c r="D166" s="624"/>
      <c r="E166" s="624"/>
      <c r="F166" s="624"/>
      <c r="G166" s="624"/>
    </row>
    <row r="167" spans="1:24" ht="15.75" thickBot="1" x14ac:dyDescent="0.3"/>
    <row r="168" spans="1:24" ht="50.25" customHeight="1" x14ac:dyDescent="0.25">
      <c r="A168" s="1163" t="s">
        <v>186</v>
      </c>
      <c r="B168" s="1164"/>
      <c r="C168" s="1164"/>
      <c r="D168" s="1164"/>
      <c r="E168" s="1164"/>
      <c r="F168" s="1164"/>
      <c r="G168" s="1165"/>
    </row>
    <row r="169" spans="1:24" ht="50.25" customHeight="1" thickBot="1" x14ac:dyDescent="0.3">
      <c r="A169" s="32" t="s">
        <v>50</v>
      </c>
      <c r="B169" s="43" t="s">
        <v>149</v>
      </c>
      <c r="C169" s="43" t="s">
        <v>150</v>
      </c>
      <c r="D169" s="43" t="s">
        <v>182</v>
      </c>
      <c r="E169" s="43" t="s">
        <v>187</v>
      </c>
      <c r="F169" s="43" t="s">
        <v>188</v>
      </c>
      <c r="G169" s="44" t="s">
        <v>185</v>
      </c>
    </row>
    <row r="170" spans="1:24" ht="86.25" x14ac:dyDescent="0.25">
      <c r="A170" s="1170" t="s">
        <v>139</v>
      </c>
      <c r="B170" s="1173" t="s">
        <v>397</v>
      </c>
      <c r="C170" s="1173" t="s">
        <v>398</v>
      </c>
      <c r="D170" s="298" t="s">
        <v>401</v>
      </c>
      <c r="E170" s="299">
        <v>3647631000</v>
      </c>
      <c r="F170" s="299">
        <v>0</v>
      </c>
      <c r="G170" s="268" t="s">
        <v>402</v>
      </c>
    </row>
    <row r="171" spans="1:24" ht="86.25" x14ac:dyDescent="0.25">
      <c r="A171" s="1171"/>
      <c r="B171" s="1174"/>
      <c r="C171" s="1174"/>
      <c r="D171" s="298" t="s">
        <v>403</v>
      </c>
      <c r="E171" s="299">
        <v>254951000</v>
      </c>
      <c r="F171" s="299">
        <v>0</v>
      </c>
      <c r="G171" s="268" t="s">
        <v>402</v>
      </c>
    </row>
    <row r="172" spans="1:24" ht="58.5" thickBot="1" x14ac:dyDescent="0.3">
      <c r="A172" s="1172"/>
      <c r="B172" s="1176"/>
      <c r="C172" s="1176"/>
      <c r="D172" s="298" t="s">
        <v>404</v>
      </c>
      <c r="E172" s="299">
        <v>364061000</v>
      </c>
      <c r="F172" s="299">
        <v>0</v>
      </c>
      <c r="G172" s="268" t="s">
        <v>402</v>
      </c>
    </row>
    <row r="173" spans="1:24" ht="409.5" x14ac:dyDescent="0.25">
      <c r="A173" s="1170" t="s">
        <v>140</v>
      </c>
      <c r="B173" s="1173" t="s">
        <v>397</v>
      </c>
      <c r="C173" s="1173" t="s">
        <v>398</v>
      </c>
      <c r="D173" s="298" t="s">
        <v>401</v>
      </c>
      <c r="E173" s="299">
        <v>3647631000</v>
      </c>
      <c r="F173" s="299">
        <v>0</v>
      </c>
      <c r="G173" s="268" t="s">
        <v>576</v>
      </c>
      <c r="H173" s="310"/>
    </row>
    <row r="174" spans="1:24" ht="86.25" customHeight="1" x14ac:dyDescent="0.25">
      <c r="A174" s="1171"/>
      <c r="B174" s="1174"/>
      <c r="C174" s="1174"/>
      <c r="D174" s="298" t="s">
        <v>403</v>
      </c>
      <c r="E174" s="299">
        <v>254951000</v>
      </c>
      <c r="F174" s="299">
        <v>0</v>
      </c>
      <c r="G174" s="268" t="s">
        <v>577</v>
      </c>
    </row>
    <row r="175" spans="1:24" ht="409.6" thickBot="1" x14ac:dyDescent="0.3">
      <c r="A175" s="1172"/>
      <c r="B175" s="1175"/>
      <c r="C175" s="1175"/>
      <c r="D175" s="298" t="s">
        <v>404</v>
      </c>
      <c r="E175" s="299">
        <v>364061000</v>
      </c>
      <c r="F175" s="299">
        <v>0</v>
      </c>
      <c r="G175" s="268" t="s">
        <v>578</v>
      </c>
    </row>
    <row r="176" spans="1:24" ht="409.5" x14ac:dyDescent="0.25">
      <c r="A176" s="1170" t="s">
        <v>141</v>
      </c>
      <c r="B176" s="1173" t="s">
        <v>397</v>
      </c>
      <c r="C176" s="1173" t="s">
        <v>398</v>
      </c>
      <c r="D176" s="298" t="s">
        <v>401</v>
      </c>
      <c r="E176" s="299">
        <v>3647631000</v>
      </c>
      <c r="F176" s="299">
        <v>8038933</v>
      </c>
      <c r="G176" s="268" t="s">
        <v>579</v>
      </c>
    </row>
    <row r="177" spans="1:53" ht="409.5" x14ac:dyDescent="0.25">
      <c r="A177" s="1171"/>
      <c r="B177" s="1174"/>
      <c r="C177" s="1174"/>
      <c r="D177" s="298" t="s">
        <v>403</v>
      </c>
      <c r="E177" s="299">
        <v>254951000</v>
      </c>
      <c r="F177" s="299">
        <v>2538667</v>
      </c>
      <c r="G177" s="268" t="s">
        <v>580</v>
      </c>
    </row>
    <row r="178" spans="1:53" s="303" customFormat="1" ht="409.6" thickBot="1" x14ac:dyDescent="0.3">
      <c r="A178" s="1172"/>
      <c r="B178" s="1175"/>
      <c r="C178" s="1175"/>
      <c r="D178" s="298" t="s">
        <v>404</v>
      </c>
      <c r="E178" s="299">
        <v>364061000</v>
      </c>
      <c r="F178" s="299">
        <v>0</v>
      </c>
      <c r="G178" s="268" t="s">
        <v>581</v>
      </c>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row>
    <row r="179" spans="1:53" s="303" customFormat="1" ht="409.5" x14ac:dyDescent="0.25">
      <c r="A179" s="1170" t="s">
        <v>142</v>
      </c>
      <c r="B179" s="1173" t="s">
        <v>397</v>
      </c>
      <c r="C179" s="1173" t="s">
        <v>398</v>
      </c>
      <c r="D179" s="298" t="s">
        <v>401</v>
      </c>
      <c r="E179" s="299">
        <v>3647631000</v>
      </c>
      <c r="F179" s="299">
        <v>212974000</v>
      </c>
      <c r="G179" s="268" t="s">
        <v>582</v>
      </c>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row>
    <row r="180" spans="1:53" s="303" customFormat="1" ht="86.25" customHeight="1" x14ac:dyDescent="0.25">
      <c r="A180" s="1171"/>
      <c r="B180" s="1174"/>
      <c r="C180" s="1174"/>
      <c r="D180" s="298" t="s">
        <v>403</v>
      </c>
      <c r="E180" s="299">
        <v>254951000</v>
      </c>
      <c r="F180" s="299">
        <v>27400334</v>
      </c>
      <c r="G180" s="268" t="s">
        <v>583</v>
      </c>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row>
    <row r="181" spans="1:53" s="303" customFormat="1" ht="409.6" thickBot="1" x14ac:dyDescent="0.3">
      <c r="A181" s="1172"/>
      <c r="B181" s="1175"/>
      <c r="C181" s="1175"/>
      <c r="D181" s="298" t="s">
        <v>404</v>
      </c>
      <c r="E181" s="299">
        <v>364061000</v>
      </c>
      <c r="F181" s="299">
        <v>21245000</v>
      </c>
      <c r="G181" s="268" t="s">
        <v>584</v>
      </c>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row>
    <row r="182" spans="1:53" s="303" customFormat="1" ht="185.25" x14ac:dyDescent="0.25">
      <c r="A182" s="1170" t="s">
        <v>143</v>
      </c>
      <c r="B182" s="1173" t="s">
        <v>397</v>
      </c>
      <c r="C182" s="1173" t="s">
        <v>398</v>
      </c>
      <c r="D182" s="298" t="s">
        <v>401</v>
      </c>
      <c r="E182" s="299">
        <v>3647631000</v>
      </c>
      <c r="F182" s="299">
        <v>559910434</v>
      </c>
      <c r="G182" s="268" t="s">
        <v>408</v>
      </c>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row>
    <row r="183" spans="1:53" s="303" customFormat="1" ht="99.75" x14ac:dyDescent="0.25">
      <c r="A183" s="1171"/>
      <c r="B183" s="1174"/>
      <c r="C183" s="1174"/>
      <c r="D183" s="298" t="s">
        <v>403</v>
      </c>
      <c r="E183" s="299">
        <v>254951000</v>
      </c>
      <c r="F183" s="299">
        <v>48053334</v>
      </c>
      <c r="G183" s="268" t="s">
        <v>409</v>
      </c>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row>
    <row r="184" spans="1:53" s="303" customFormat="1" ht="58.5" thickBot="1" x14ac:dyDescent="0.3">
      <c r="A184" s="1172"/>
      <c r="B184" s="1175"/>
      <c r="C184" s="1175"/>
      <c r="D184" s="298" t="s">
        <v>404</v>
      </c>
      <c r="E184" s="299">
        <v>364061000</v>
      </c>
      <c r="F184" s="299">
        <v>55308867</v>
      </c>
      <c r="G184" s="268" t="s">
        <v>410</v>
      </c>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row>
    <row r="185" spans="1:53" s="303" customFormat="1" ht="199.5" x14ac:dyDescent="0.25">
      <c r="A185" s="1170" t="s">
        <v>144</v>
      </c>
      <c r="B185" s="1173" t="s">
        <v>397</v>
      </c>
      <c r="C185" s="1173" t="s">
        <v>398</v>
      </c>
      <c r="D185" s="298" t="s">
        <v>401</v>
      </c>
      <c r="E185" s="299">
        <v>3647631000</v>
      </c>
      <c r="F185" s="299">
        <v>953087141</v>
      </c>
      <c r="G185" s="268" t="s">
        <v>413</v>
      </c>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row>
    <row r="186" spans="1:53" s="303" customFormat="1" ht="99.75" x14ac:dyDescent="0.25">
      <c r="A186" s="1171"/>
      <c r="B186" s="1174"/>
      <c r="C186" s="1174"/>
      <c r="D186" s="298" t="s">
        <v>403</v>
      </c>
      <c r="E186" s="299">
        <v>254951000</v>
      </c>
      <c r="F186" s="299">
        <v>68706334</v>
      </c>
      <c r="G186" s="268" t="s">
        <v>414</v>
      </c>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row>
    <row r="187" spans="1:53" s="303" customFormat="1" ht="58.5" thickBot="1" x14ac:dyDescent="0.3">
      <c r="A187" s="1172"/>
      <c r="B187" s="1175"/>
      <c r="C187" s="1175"/>
      <c r="D187" s="298" t="s">
        <v>404</v>
      </c>
      <c r="E187" s="299">
        <v>364061000</v>
      </c>
      <c r="F187" s="299">
        <v>98469867</v>
      </c>
      <c r="G187" s="268" t="s">
        <v>415</v>
      </c>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row>
    <row r="188" spans="1:53" s="303" customFormat="1" ht="409.5" x14ac:dyDescent="0.25">
      <c r="A188" s="1170" t="s">
        <v>132</v>
      </c>
      <c r="B188" s="1173" t="s">
        <v>397</v>
      </c>
      <c r="C188" s="1173" t="s">
        <v>398</v>
      </c>
      <c r="D188" s="298" t="s">
        <v>401</v>
      </c>
      <c r="E188" s="299">
        <v>3647631000</v>
      </c>
      <c r="F188" s="299">
        <v>1335877375</v>
      </c>
      <c r="G188" s="268" t="s">
        <v>416</v>
      </c>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row>
    <row r="189" spans="1:53" s="303" customFormat="1" ht="186" customHeight="1" x14ac:dyDescent="0.25">
      <c r="A189" s="1171"/>
      <c r="B189" s="1174"/>
      <c r="C189" s="1174"/>
      <c r="D189" s="298" t="s">
        <v>403</v>
      </c>
      <c r="E189" s="299">
        <v>254951000</v>
      </c>
      <c r="F189" s="299">
        <v>107098134</v>
      </c>
      <c r="G189" s="268" t="s">
        <v>417</v>
      </c>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row>
    <row r="190" spans="1:53" s="303" customFormat="1" ht="409.5" x14ac:dyDescent="0.25">
      <c r="A190" s="1172"/>
      <c r="B190" s="1175"/>
      <c r="C190" s="1175"/>
      <c r="D190" s="298" t="s">
        <v>404</v>
      </c>
      <c r="E190" s="299">
        <v>364061000</v>
      </c>
      <c r="F190" s="299">
        <v>134690867</v>
      </c>
      <c r="G190" s="268" t="s">
        <v>418</v>
      </c>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row>
    <row r="191" spans="1:53" s="303" customFormat="1" ht="409.5" x14ac:dyDescent="0.25">
      <c r="A191" s="1170" t="s">
        <v>133</v>
      </c>
      <c r="B191" s="1185" t="s">
        <v>397</v>
      </c>
      <c r="C191" s="1185" t="s">
        <v>398</v>
      </c>
      <c r="D191" s="359" t="s">
        <v>401</v>
      </c>
      <c r="E191" s="299">
        <v>3647631000</v>
      </c>
      <c r="F191" s="299">
        <v>0</v>
      </c>
      <c r="G191" s="268" t="s">
        <v>585</v>
      </c>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row>
    <row r="192" spans="1:53" s="303" customFormat="1" ht="409.5" x14ac:dyDescent="0.25">
      <c r="A192" s="1171"/>
      <c r="B192" s="1174"/>
      <c r="C192" s="1174"/>
      <c r="D192" s="298" t="s">
        <v>403</v>
      </c>
      <c r="E192" s="299">
        <v>254951000</v>
      </c>
      <c r="F192" s="299">
        <v>0</v>
      </c>
      <c r="G192" s="268" t="s">
        <v>586</v>
      </c>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row>
    <row r="193" spans="1:53" s="303" customFormat="1" ht="409.5" x14ac:dyDescent="0.25">
      <c r="A193" s="1172"/>
      <c r="B193" s="1175"/>
      <c r="C193" s="1175"/>
      <c r="D193" s="298" t="s">
        <v>404</v>
      </c>
      <c r="E193" s="299">
        <v>364061000</v>
      </c>
      <c r="F193" s="299">
        <v>0</v>
      </c>
      <c r="G193" s="268" t="s">
        <v>587</v>
      </c>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row>
    <row r="194" spans="1:53" ht="409.5" x14ac:dyDescent="0.25">
      <c r="A194" s="1170" t="s">
        <v>134</v>
      </c>
      <c r="B194" s="1185" t="s">
        <v>397</v>
      </c>
      <c r="C194" s="1185" t="s">
        <v>398</v>
      </c>
      <c r="D194" s="298" t="s">
        <v>401</v>
      </c>
      <c r="E194" s="299">
        <v>3782244731</v>
      </c>
      <c r="F194" s="299">
        <v>2144158452</v>
      </c>
      <c r="G194" s="268" t="s">
        <v>420</v>
      </c>
    </row>
    <row r="195" spans="1:53" ht="299.25" x14ac:dyDescent="0.25">
      <c r="A195" s="1171"/>
      <c r="B195" s="1174"/>
      <c r="C195" s="1174"/>
      <c r="D195" s="298" t="s">
        <v>403</v>
      </c>
      <c r="E195" s="299">
        <v>285882269</v>
      </c>
      <c r="F195" s="299">
        <v>174576134</v>
      </c>
      <c r="G195" s="268" t="s">
        <v>421</v>
      </c>
    </row>
    <row r="196" spans="1:53" ht="100.5" customHeight="1" x14ac:dyDescent="0.25">
      <c r="A196" s="1172"/>
      <c r="B196" s="1175"/>
      <c r="C196" s="1175"/>
      <c r="D196" s="298" t="s">
        <v>404</v>
      </c>
      <c r="E196" s="299">
        <v>339715000</v>
      </c>
      <c r="F196" s="299">
        <v>207132867</v>
      </c>
      <c r="G196" s="268" t="s">
        <v>419</v>
      </c>
    </row>
    <row r="197" spans="1:53" ht="409.5" x14ac:dyDescent="0.25">
      <c r="A197" s="1170" t="s">
        <v>135</v>
      </c>
      <c r="B197" s="1185" t="s">
        <v>397</v>
      </c>
      <c r="C197" s="1185" t="s">
        <v>398</v>
      </c>
      <c r="D197" s="298" t="s">
        <v>401</v>
      </c>
      <c r="E197" s="299">
        <v>3647631000</v>
      </c>
      <c r="F197" s="299"/>
      <c r="G197" s="268" t="s">
        <v>588</v>
      </c>
    </row>
    <row r="198" spans="1:53" ht="384.75" x14ac:dyDescent="0.25">
      <c r="A198" s="1171"/>
      <c r="B198" s="1174"/>
      <c r="C198" s="1174"/>
      <c r="D198" s="298" t="s">
        <v>403</v>
      </c>
      <c r="E198" s="299">
        <v>254951000</v>
      </c>
      <c r="F198" s="299"/>
      <c r="G198" s="268" t="s">
        <v>589</v>
      </c>
    </row>
    <row r="199" spans="1:53" ht="409.5" x14ac:dyDescent="0.25">
      <c r="A199" s="1172"/>
      <c r="B199" s="1175"/>
      <c r="C199" s="1175"/>
      <c r="D199" s="298" t="s">
        <v>404</v>
      </c>
      <c r="E199" s="299">
        <v>364061000</v>
      </c>
      <c r="F199" s="299"/>
      <c r="G199" s="268" t="s">
        <v>590</v>
      </c>
    </row>
    <row r="200" spans="1:53" ht="93.75" customHeight="1" x14ac:dyDescent="0.25">
      <c r="A200" s="1170" t="s">
        <v>136</v>
      </c>
      <c r="B200" s="1185" t="s">
        <v>397</v>
      </c>
      <c r="C200" s="1185" t="s">
        <v>398</v>
      </c>
      <c r="D200" s="359" t="s">
        <v>401</v>
      </c>
      <c r="E200" s="299">
        <v>3782244731</v>
      </c>
      <c r="F200" s="299">
        <v>3716403098</v>
      </c>
      <c r="G200" s="268" t="s">
        <v>425</v>
      </c>
    </row>
    <row r="201" spans="1:53" ht="313.5" x14ac:dyDescent="0.25">
      <c r="A201" s="1171"/>
      <c r="B201" s="1174"/>
      <c r="C201" s="1174"/>
      <c r="D201" s="298" t="s">
        <v>403</v>
      </c>
      <c r="E201" s="299">
        <v>285882269</v>
      </c>
      <c r="F201" s="299">
        <v>283441733</v>
      </c>
      <c r="G201" s="268" t="s">
        <v>424</v>
      </c>
    </row>
    <row r="202" spans="1:53" ht="409.5" x14ac:dyDescent="0.25">
      <c r="A202" s="1172"/>
      <c r="B202" s="1175"/>
      <c r="C202" s="1175"/>
      <c r="D202" s="298" t="s">
        <v>404</v>
      </c>
      <c r="E202" s="299">
        <v>339715000</v>
      </c>
      <c r="F202" s="299">
        <v>339715000</v>
      </c>
      <c r="G202" s="268" t="s">
        <v>423</v>
      </c>
    </row>
    <row r="203" spans="1:53" ht="409.5" x14ac:dyDescent="0.25">
      <c r="A203" s="1170" t="s">
        <v>137</v>
      </c>
      <c r="B203" s="1185" t="s">
        <v>397</v>
      </c>
      <c r="C203" s="1187" t="s">
        <v>398</v>
      </c>
      <c r="D203" s="298" t="s">
        <v>401</v>
      </c>
      <c r="E203" s="299">
        <v>3647631000</v>
      </c>
      <c r="F203" s="299"/>
      <c r="G203" s="268" t="s">
        <v>591</v>
      </c>
      <c r="H203" s="310"/>
    </row>
    <row r="204" spans="1:53" ht="327.75" x14ac:dyDescent="0.25">
      <c r="A204" s="1171"/>
      <c r="B204" s="1174"/>
      <c r="C204" s="1188"/>
      <c r="D204" s="298" t="s">
        <v>403</v>
      </c>
      <c r="E204" s="299">
        <v>254951000</v>
      </c>
      <c r="F204" s="299"/>
      <c r="G204" s="268" t="s">
        <v>592</v>
      </c>
      <c r="H204" s="310"/>
    </row>
    <row r="205" spans="1:53" ht="272.25" customHeight="1" thickBot="1" x14ac:dyDescent="0.3">
      <c r="A205" s="1186"/>
      <c r="B205" s="1176"/>
      <c r="C205" s="1189"/>
      <c r="D205" s="298" t="s">
        <v>404</v>
      </c>
      <c r="E205" s="299">
        <v>364061000</v>
      </c>
      <c r="F205" s="299"/>
      <c r="G205" s="268" t="s">
        <v>593</v>
      </c>
      <c r="H205" s="310"/>
    </row>
    <row r="207" spans="1:53" ht="15.75" thickBot="1" x14ac:dyDescent="0.3">
      <c r="A207" s="51"/>
      <c r="G207" s="52"/>
    </row>
    <row r="208" spans="1:53" ht="26.25" customHeight="1" x14ac:dyDescent="0.3">
      <c r="A208" s="1190" t="s">
        <v>405</v>
      </c>
      <c r="B208" s="1191"/>
      <c r="C208" s="1191"/>
      <c r="D208" s="1191"/>
      <c r="E208" s="1191"/>
      <c r="F208" s="1191"/>
      <c r="G208" s="1192"/>
    </row>
    <row r="209" spans="1:8" ht="57.75" customHeight="1" thickBot="1" x14ac:dyDescent="0.3">
      <c r="A209" s="32" t="s">
        <v>62</v>
      </c>
      <c r="B209" s="43" t="s">
        <v>149</v>
      </c>
      <c r="C209" s="43" t="s">
        <v>150</v>
      </c>
      <c r="D209" s="43" t="s">
        <v>182</v>
      </c>
      <c r="E209" s="43" t="s">
        <v>406</v>
      </c>
      <c r="F209" s="43" t="s">
        <v>407</v>
      </c>
      <c r="G209" s="44" t="s">
        <v>185</v>
      </c>
    </row>
    <row r="210" spans="1:8" ht="128.25" x14ac:dyDescent="0.25">
      <c r="A210" s="1170" t="s">
        <v>139</v>
      </c>
      <c r="B210" s="1173" t="s">
        <v>397</v>
      </c>
      <c r="C210" s="1173" t="s">
        <v>398</v>
      </c>
      <c r="D210" s="298" t="s">
        <v>401</v>
      </c>
      <c r="E210" s="299">
        <v>5896434000</v>
      </c>
      <c r="F210" s="299">
        <v>0</v>
      </c>
      <c r="G210" s="268" t="s">
        <v>460</v>
      </c>
    </row>
    <row r="211" spans="1:8" ht="99.75" x14ac:dyDescent="0.25">
      <c r="A211" s="1171"/>
      <c r="B211" s="1174"/>
      <c r="C211" s="1174"/>
      <c r="D211" s="298" t="s">
        <v>403</v>
      </c>
      <c r="E211" s="299">
        <v>414984000</v>
      </c>
      <c r="F211" s="299">
        <v>0</v>
      </c>
      <c r="G211" s="268" t="s">
        <v>461</v>
      </c>
    </row>
    <row r="212" spans="1:8" ht="86.25" thickBot="1" x14ac:dyDescent="0.3">
      <c r="A212" s="1172"/>
      <c r="B212" s="1175"/>
      <c r="C212" s="1175"/>
      <c r="D212" s="298" t="s">
        <v>404</v>
      </c>
      <c r="E212" s="299">
        <v>287337000</v>
      </c>
      <c r="F212" s="299">
        <v>0</v>
      </c>
      <c r="G212" s="268" t="s">
        <v>462</v>
      </c>
    </row>
    <row r="213" spans="1:8" ht="409.5" x14ac:dyDescent="0.25">
      <c r="A213" s="1170" t="s">
        <v>140</v>
      </c>
      <c r="B213" s="1173" t="s">
        <v>397</v>
      </c>
      <c r="C213" s="1173" t="s">
        <v>398</v>
      </c>
      <c r="D213" s="298" t="s">
        <v>401</v>
      </c>
      <c r="E213" s="299">
        <v>5896434000</v>
      </c>
      <c r="F213" s="299">
        <v>48250334</v>
      </c>
      <c r="G213" s="268" t="s">
        <v>463</v>
      </c>
      <c r="H213" s="310"/>
    </row>
    <row r="214" spans="1:8" ht="171" x14ac:dyDescent="0.25">
      <c r="A214" s="1171"/>
      <c r="B214" s="1174"/>
      <c r="C214" s="1174"/>
      <c r="D214" s="298" t="s">
        <v>403</v>
      </c>
      <c r="E214" s="299">
        <v>414984000</v>
      </c>
      <c r="F214" s="299">
        <v>1895300</v>
      </c>
      <c r="G214" s="268" t="s">
        <v>464</v>
      </c>
    </row>
    <row r="215" spans="1:8" ht="72" thickBot="1" x14ac:dyDescent="0.3">
      <c r="A215" s="1172"/>
      <c r="B215" s="1175"/>
      <c r="C215" s="1175"/>
      <c r="D215" s="298" t="s">
        <v>404</v>
      </c>
      <c r="E215" s="299">
        <v>287337000</v>
      </c>
      <c r="F215" s="299">
        <v>3177267</v>
      </c>
      <c r="G215" s="268" t="s">
        <v>467</v>
      </c>
    </row>
    <row r="216" spans="1:8" ht="409.5" x14ac:dyDescent="0.25">
      <c r="A216" s="1170" t="s">
        <v>141</v>
      </c>
      <c r="B216" s="1173" t="s">
        <v>397</v>
      </c>
      <c r="C216" s="1173" t="s">
        <v>398</v>
      </c>
      <c r="D216" s="298" t="s">
        <v>401</v>
      </c>
      <c r="E216" s="299">
        <v>5896434000</v>
      </c>
      <c r="F216" s="299">
        <v>506733768</v>
      </c>
      <c r="G216" s="268" t="s">
        <v>465</v>
      </c>
    </row>
    <row r="217" spans="1:8" ht="114" x14ac:dyDescent="0.25">
      <c r="A217" s="1171"/>
      <c r="B217" s="1174"/>
      <c r="C217" s="1174"/>
      <c r="D217" s="298" t="s">
        <v>403</v>
      </c>
      <c r="E217" s="299">
        <v>414984000</v>
      </c>
      <c r="F217" s="299">
        <v>38916700</v>
      </c>
      <c r="G217" s="268" t="s">
        <v>466</v>
      </c>
    </row>
    <row r="218" spans="1:8" ht="409.6" thickBot="1" x14ac:dyDescent="0.3">
      <c r="A218" s="1172"/>
      <c r="B218" s="1175"/>
      <c r="C218" s="1175"/>
      <c r="D218" s="298" t="s">
        <v>404</v>
      </c>
      <c r="E218" s="299">
        <v>287337000</v>
      </c>
      <c r="F218" s="299">
        <v>25820267</v>
      </c>
      <c r="G218" s="268" t="s">
        <v>455</v>
      </c>
    </row>
    <row r="219" spans="1:8" s="2" customFormat="1" ht="235.5" customHeight="1" x14ac:dyDescent="0.25">
      <c r="A219" s="1170" t="s">
        <v>142</v>
      </c>
      <c r="B219" s="1173" t="s">
        <v>397</v>
      </c>
      <c r="C219" s="1173" t="s">
        <v>398</v>
      </c>
      <c r="D219" s="298" t="s">
        <v>401</v>
      </c>
      <c r="E219" s="299">
        <v>5896434000</v>
      </c>
      <c r="F219" s="299">
        <v>1036702034</v>
      </c>
      <c r="G219" s="268" t="s">
        <v>475</v>
      </c>
      <c r="H219" s="311"/>
    </row>
    <row r="220" spans="1:8" s="2" customFormat="1" ht="129" customHeight="1" x14ac:dyDescent="0.25">
      <c r="A220" s="1171"/>
      <c r="B220" s="1174"/>
      <c r="C220" s="1174"/>
      <c r="D220" s="298" t="s">
        <v>403</v>
      </c>
      <c r="E220" s="299">
        <v>414984000</v>
      </c>
      <c r="F220" s="299">
        <v>71787700</v>
      </c>
      <c r="G220" s="268" t="s">
        <v>479</v>
      </c>
      <c r="H220" s="311"/>
    </row>
    <row r="221" spans="1:8" s="2" customFormat="1" ht="129" customHeight="1" thickBot="1" x14ac:dyDescent="0.3">
      <c r="A221" s="1172"/>
      <c r="B221" s="1175"/>
      <c r="C221" s="1175"/>
      <c r="D221" s="298" t="s">
        <v>404</v>
      </c>
      <c r="E221" s="299">
        <v>287337000</v>
      </c>
      <c r="F221" s="299">
        <v>58708267</v>
      </c>
      <c r="G221" s="268" t="s">
        <v>478</v>
      </c>
      <c r="H221" s="311"/>
    </row>
    <row r="222" spans="1:8" s="2" customFormat="1" ht="213.75" x14ac:dyDescent="0.25">
      <c r="A222" s="1170" t="s">
        <v>143</v>
      </c>
      <c r="B222" s="1173" t="s">
        <v>397</v>
      </c>
      <c r="C222" s="1173" t="s">
        <v>398</v>
      </c>
      <c r="D222" s="298" t="s">
        <v>401</v>
      </c>
      <c r="E222" s="299">
        <v>5896434000</v>
      </c>
      <c r="F222" s="299">
        <v>1614869916</v>
      </c>
      <c r="G222" s="268" t="s">
        <v>474</v>
      </c>
      <c r="H222" s="311"/>
    </row>
    <row r="223" spans="1:8" s="2" customFormat="1" ht="99.75" x14ac:dyDescent="0.25">
      <c r="A223" s="1171"/>
      <c r="B223" s="1174"/>
      <c r="C223" s="1174"/>
      <c r="D223" s="298" t="s">
        <v>403</v>
      </c>
      <c r="E223" s="299">
        <v>414984000</v>
      </c>
      <c r="F223" s="299">
        <v>118816700</v>
      </c>
      <c r="G223" s="268" t="s">
        <v>476</v>
      </c>
      <c r="H223" s="311"/>
    </row>
    <row r="224" spans="1:8" s="2" customFormat="1" ht="72" thickBot="1" x14ac:dyDescent="0.3">
      <c r="A224" s="1172"/>
      <c r="B224" s="1175"/>
      <c r="C224" s="1175"/>
      <c r="D224" s="298" t="s">
        <v>404</v>
      </c>
      <c r="E224" s="299">
        <v>287337000</v>
      </c>
      <c r="F224" s="299">
        <v>92343267</v>
      </c>
      <c r="G224" s="268" t="s">
        <v>477</v>
      </c>
      <c r="H224" s="311"/>
    </row>
    <row r="225" spans="1:8" s="2" customFormat="1" ht="186" customHeight="1" x14ac:dyDescent="0.25">
      <c r="A225" s="1170" t="s">
        <v>144</v>
      </c>
      <c r="B225" s="1173" t="s">
        <v>397</v>
      </c>
      <c r="C225" s="1173" t="s">
        <v>398</v>
      </c>
      <c r="D225" s="298" t="s">
        <v>401</v>
      </c>
      <c r="E225" s="299">
        <v>5896434000</v>
      </c>
      <c r="F225" s="299">
        <v>1614869916</v>
      </c>
      <c r="G225" s="268" t="s">
        <v>471</v>
      </c>
      <c r="H225" s="311">
        <f t="shared" ref="H225:H236" si="15">LEN(G225)</f>
        <v>586</v>
      </c>
    </row>
    <row r="226" spans="1:8" s="2" customFormat="1" ht="86.25" x14ac:dyDescent="0.25">
      <c r="A226" s="1171"/>
      <c r="B226" s="1174"/>
      <c r="C226" s="1174"/>
      <c r="D226" s="298" t="s">
        <v>403</v>
      </c>
      <c r="E226" s="299">
        <v>414984000</v>
      </c>
      <c r="F226" s="299">
        <v>158766700</v>
      </c>
      <c r="G226" s="268" t="s">
        <v>472</v>
      </c>
      <c r="H226" s="311">
        <f t="shared" si="15"/>
        <v>274</v>
      </c>
    </row>
    <row r="227" spans="1:8" s="2" customFormat="1" ht="72" thickBot="1" x14ac:dyDescent="0.3">
      <c r="A227" s="1172"/>
      <c r="B227" s="1175"/>
      <c r="C227" s="1175"/>
      <c r="D227" s="298" t="s">
        <v>404</v>
      </c>
      <c r="E227" s="299">
        <v>287337000</v>
      </c>
      <c r="F227" s="299">
        <v>92343267</v>
      </c>
      <c r="G227" s="268" t="s">
        <v>473</v>
      </c>
      <c r="H227" s="311">
        <f t="shared" si="15"/>
        <v>225</v>
      </c>
    </row>
    <row r="228" spans="1:8" s="2" customFormat="1" ht="166.5" customHeight="1" x14ac:dyDescent="0.25">
      <c r="A228" s="1170" t="s">
        <v>132</v>
      </c>
      <c r="B228" s="1173" t="s">
        <v>397</v>
      </c>
      <c r="C228" s="1173" t="s">
        <v>398</v>
      </c>
      <c r="D228" s="298" t="s">
        <v>401</v>
      </c>
      <c r="E228" s="299">
        <v>5896434000</v>
      </c>
      <c r="F228" s="299">
        <v>2771024816</v>
      </c>
      <c r="G228" s="268" t="s">
        <v>468</v>
      </c>
      <c r="H228" s="312">
        <f t="shared" si="15"/>
        <v>490</v>
      </c>
    </row>
    <row r="229" spans="1:8" s="2" customFormat="1" ht="186" customHeight="1" x14ac:dyDescent="0.25">
      <c r="A229" s="1171"/>
      <c r="B229" s="1174"/>
      <c r="C229" s="1174"/>
      <c r="D229" s="298" t="s">
        <v>403</v>
      </c>
      <c r="E229" s="299">
        <v>414984000</v>
      </c>
      <c r="F229" s="299">
        <v>198716700</v>
      </c>
      <c r="G229" s="268" t="s">
        <v>469</v>
      </c>
      <c r="H229" s="312">
        <f t="shared" si="15"/>
        <v>345</v>
      </c>
    </row>
    <row r="230" spans="1:8" s="2" customFormat="1" ht="97.5" customHeight="1" x14ac:dyDescent="0.25">
      <c r="A230" s="1172"/>
      <c r="B230" s="1175"/>
      <c r="C230" s="1175"/>
      <c r="D230" s="298" t="s">
        <v>404</v>
      </c>
      <c r="E230" s="299">
        <v>287337000</v>
      </c>
      <c r="F230" s="299">
        <v>151787267</v>
      </c>
      <c r="G230" s="268" t="s">
        <v>470</v>
      </c>
      <c r="H230" s="312">
        <f t="shared" si="15"/>
        <v>225</v>
      </c>
    </row>
    <row r="231" spans="1:8" s="2" customFormat="1" ht="147.75" customHeight="1" x14ac:dyDescent="0.25">
      <c r="A231" s="1170" t="s">
        <v>133</v>
      </c>
      <c r="B231" s="1185" t="s">
        <v>397</v>
      </c>
      <c r="C231" s="1185" t="s">
        <v>398</v>
      </c>
      <c r="D231" s="359" t="s">
        <v>401</v>
      </c>
      <c r="E231" s="299">
        <v>5896434000</v>
      </c>
      <c r="F231" s="299">
        <v>3311790185</v>
      </c>
      <c r="G231" s="268" t="s">
        <v>480</v>
      </c>
      <c r="H231" s="311">
        <f t="shared" si="15"/>
        <v>934</v>
      </c>
    </row>
    <row r="232" spans="1:8" s="2" customFormat="1" ht="123.75" customHeight="1" x14ac:dyDescent="0.25">
      <c r="A232" s="1171"/>
      <c r="B232" s="1174"/>
      <c r="C232" s="1174"/>
      <c r="D232" s="298" t="s">
        <v>403</v>
      </c>
      <c r="E232" s="299">
        <v>414984000</v>
      </c>
      <c r="F232" s="299">
        <v>228356700</v>
      </c>
      <c r="G232" s="268" t="s">
        <v>481</v>
      </c>
      <c r="H232" s="311">
        <f t="shared" si="15"/>
        <v>360</v>
      </c>
    </row>
    <row r="233" spans="1:8" s="2" customFormat="1" ht="409.5" x14ac:dyDescent="0.25">
      <c r="A233" s="1172"/>
      <c r="B233" s="1175"/>
      <c r="C233" s="1175"/>
      <c r="D233" s="298" t="s">
        <v>404</v>
      </c>
      <c r="E233" s="299">
        <v>287337000</v>
      </c>
      <c r="F233" s="299">
        <v>181509267</v>
      </c>
      <c r="G233" s="268" t="s">
        <v>482</v>
      </c>
      <c r="H233" s="311">
        <f t="shared" si="15"/>
        <v>1684</v>
      </c>
    </row>
    <row r="234" spans="1:8" s="2" customFormat="1" ht="409.5" x14ac:dyDescent="0.25">
      <c r="A234" s="1170" t="s">
        <v>134</v>
      </c>
      <c r="B234" s="1185" t="s">
        <v>397</v>
      </c>
      <c r="C234" s="1185" t="s">
        <v>398</v>
      </c>
      <c r="D234" s="298" t="s">
        <v>401</v>
      </c>
      <c r="E234" s="299">
        <v>5896434000</v>
      </c>
      <c r="F234" s="299">
        <v>3908608241</v>
      </c>
      <c r="G234" s="268" t="s">
        <v>488</v>
      </c>
      <c r="H234" s="311">
        <f t="shared" si="15"/>
        <v>1481</v>
      </c>
    </row>
    <row r="235" spans="1:8" s="2" customFormat="1" ht="171" x14ac:dyDescent="0.25">
      <c r="A235" s="1171"/>
      <c r="B235" s="1174"/>
      <c r="C235" s="1174"/>
      <c r="D235" s="298" t="s">
        <v>403</v>
      </c>
      <c r="E235" s="299">
        <v>414984000</v>
      </c>
      <c r="F235" s="299">
        <v>269239700</v>
      </c>
      <c r="G235" s="268" t="s">
        <v>489</v>
      </c>
      <c r="H235" s="311">
        <f t="shared" si="15"/>
        <v>550</v>
      </c>
    </row>
    <row r="236" spans="1:8" s="2" customFormat="1" ht="100.5" customHeight="1" x14ac:dyDescent="0.25">
      <c r="A236" s="1172"/>
      <c r="B236" s="1175"/>
      <c r="C236" s="1175"/>
      <c r="D236" s="298" t="s">
        <v>404</v>
      </c>
      <c r="E236" s="299">
        <v>287337000</v>
      </c>
      <c r="F236" s="299">
        <v>211231267</v>
      </c>
      <c r="G236" s="268" t="s">
        <v>490</v>
      </c>
      <c r="H236" s="311">
        <f t="shared" si="15"/>
        <v>1864</v>
      </c>
    </row>
    <row r="237" spans="1:8" s="2" customFormat="1" ht="409.5" x14ac:dyDescent="0.25">
      <c r="A237" s="1170" t="s">
        <v>135</v>
      </c>
      <c r="B237" s="1185" t="s">
        <v>397</v>
      </c>
      <c r="C237" s="1185" t="s">
        <v>398</v>
      </c>
      <c r="D237" s="360" t="s">
        <v>401</v>
      </c>
      <c r="E237" s="299">
        <v>6391008066</v>
      </c>
      <c r="F237" s="299">
        <v>4563448723</v>
      </c>
      <c r="G237" s="268" t="s">
        <v>494</v>
      </c>
      <c r="H237" s="311"/>
    </row>
    <row r="238" spans="1:8" s="2" customFormat="1" ht="185.25" x14ac:dyDescent="0.25">
      <c r="A238" s="1171"/>
      <c r="B238" s="1174"/>
      <c r="C238" s="1174"/>
      <c r="D238" s="360" t="s">
        <v>403</v>
      </c>
      <c r="E238" s="299">
        <v>420430000</v>
      </c>
      <c r="F238" s="299">
        <v>287820700</v>
      </c>
      <c r="G238" s="268" t="s">
        <v>492</v>
      </c>
      <c r="H238" s="311"/>
    </row>
    <row r="239" spans="1:8" s="2" customFormat="1" ht="409.5" x14ac:dyDescent="0.25">
      <c r="A239" s="1172"/>
      <c r="B239" s="1175"/>
      <c r="C239" s="1175"/>
      <c r="D239" s="360" t="s">
        <v>404</v>
      </c>
      <c r="E239" s="299">
        <v>322316934</v>
      </c>
      <c r="F239" s="299">
        <v>237064967</v>
      </c>
      <c r="G239" s="268" t="s">
        <v>493</v>
      </c>
      <c r="H239" s="311"/>
    </row>
    <row r="240" spans="1:8" s="2" customFormat="1" ht="93.75" customHeight="1" x14ac:dyDescent="0.25">
      <c r="A240" s="1170" t="s">
        <v>136</v>
      </c>
      <c r="B240" s="1185" t="s">
        <v>397</v>
      </c>
      <c r="C240" s="1185" t="s">
        <v>398</v>
      </c>
      <c r="D240" s="359" t="s">
        <v>401</v>
      </c>
      <c r="E240" s="299">
        <v>6391008066</v>
      </c>
      <c r="F240" s="299">
        <v>5118584720</v>
      </c>
      <c r="G240" s="268" t="s">
        <v>519</v>
      </c>
      <c r="H240" s="311"/>
    </row>
    <row r="241" spans="1:8" s="2" customFormat="1" ht="185.25" x14ac:dyDescent="0.25">
      <c r="A241" s="1171"/>
      <c r="B241" s="1174"/>
      <c r="C241" s="1174"/>
      <c r="D241" s="298" t="s">
        <v>403</v>
      </c>
      <c r="E241" s="299">
        <v>420430000</v>
      </c>
      <c r="F241" s="299">
        <v>335149000</v>
      </c>
      <c r="G241" s="268" t="s">
        <v>518</v>
      </c>
      <c r="H241" s="311"/>
    </row>
    <row r="242" spans="1:8" s="2" customFormat="1" ht="409.5" x14ac:dyDescent="0.25">
      <c r="A242" s="1172"/>
      <c r="B242" s="1175"/>
      <c r="C242" s="1175"/>
      <c r="D242" s="298" t="s">
        <v>404</v>
      </c>
      <c r="E242" s="299">
        <v>322316934</v>
      </c>
      <c r="F242" s="299">
        <v>270102100</v>
      </c>
      <c r="G242" s="268" t="s">
        <v>517</v>
      </c>
      <c r="H242" s="311"/>
    </row>
    <row r="243" spans="1:8" s="2" customFormat="1" ht="409.5" x14ac:dyDescent="0.25">
      <c r="A243" s="1170" t="s">
        <v>137</v>
      </c>
      <c r="B243" s="1185" t="s">
        <v>397</v>
      </c>
      <c r="C243" s="1187" t="s">
        <v>398</v>
      </c>
      <c r="D243" s="360" t="s">
        <v>401</v>
      </c>
      <c r="E243" s="299">
        <v>6391008066</v>
      </c>
      <c r="F243" s="299">
        <v>5925368922</v>
      </c>
      <c r="G243" s="268" t="s">
        <v>594</v>
      </c>
      <c r="H243" s="313"/>
    </row>
    <row r="244" spans="1:8" s="2" customFormat="1" ht="199.5" x14ac:dyDescent="0.25">
      <c r="A244" s="1171"/>
      <c r="B244" s="1174"/>
      <c r="C244" s="1188"/>
      <c r="D244" s="360" t="s">
        <v>403</v>
      </c>
      <c r="E244" s="299">
        <v>420430000</v>
      </c>
      <c r="F244" s="299">
        <v>377630500</v>
      </c>
      <c r="G244" s="268" t="s">
        <v>595</v>
      </c>
      <c r="H244" s="313"/>
    </row>
    <row r="245" spans="1:8" s="2" customFormat="1" ht="228" customHeight="1" thickBot="1" x14ac:dyDescent="0.3">
      <c r="A245" s="1186"/>
      <c r="B245" s="1176"/>
      <c r="C245" s="1189"/>
      <c r="D245" s="360" t="s">
        <v>404</v>
      </c>
      <c r="E245" s="299">
        <v>322316934</v>
      </c>
      <c r="F245" s="299">
        <v>301930333</v>
      </c>
      <c r="G245" s="268" t="s">
        <v>596</v>
      </c>
      <c r="H245" s="313"/>
    </row>
    <row r="246" spans="1:8" x14ac:dyDescent="0.25">
      <c r="A246" s="2"/>
      <c r="B246" s="2"/>
      <c r="C246" s="2"/>
      <c r="D246" s="2"/>
      <c r="E246" s="2"/>
      <c r="F246" s="2"/>
      <c r="G246" s="2"/>
      <c r="H246" s="311"/>
    </row>
    <row r="247" spans="1:8" ht="15.75" thickBot="1" x14ac:dyDescent="0.3"/>
    <row r="248" spans="1:8" ht="36.75" customHeight="1" x14ac:dyDescent="0.3">
      <c r="A248" s="1190" t="s">
        <v>189</v>
      </c>
      <c r="B248" s="1191"/>
      <c r="C248" s="1191"/>
      <c r="D248" s="1191"/>
      <c r="E248" s="1191"/>
      <c r="F248" s="1191"/>
      <c r="G248" s="1192"/>
    </row>
    <row r="249" spans="1:8" ht="66.75" customHeight="1" thickBot="1" x14ac:dyDescent="0.3">
      <c r="A249" s="32" t="s">
        <v>63</v>
      </c>
      <c r="B249" s="43" t="s">
        <v>149</v>
      </c>
      <c r="C249" s="43" t="s">
        <v>150</v>
      </c>
      <c r="D249" s="43" t="s">
        <v>182</v>
      </c>
      <c r="E249" s="43" t="s">
        <v>190</v>
      </c>
      <c r="F249" s="43" t="s">
        <v>191</v>
      </c>
      <c r="G249" s="44" t="s">
        <v>185</v>
      </c>
    </row>
    <row r="250" spans="1:8" ht="409.5" x14ac:dyDescent="0.25">
      <c r="A250" s="1196" t="s">
        <v>139</v>
      </c>
      <c r="B250" s="1199" t="s">
        <v>397</v>
      </c>
      <c r="C250" s="1199" t="s">
        <v>398</v>
      </c>
      <c r="D250" s="461" t="s">
        <v>401</v>
      </c>
      <c r="E250" s="462">
        <v>4481764000</v>
      </c>
      <c r="F250" s="462">
        <v>0</v>
      </c>
      <c r="G250" s="463" t="s">
        <v>552</v>
      </c>
    </row>
    <row r="251" spans="1:8" ht="199.5" x14ac:dyDescent="0.25">
      <c r="A251" s="1197"/>
      <c r="B251" s="1200"/>
      <c r="C251" s="1200"/>
      <c r="D251" s="464" t="s">
        <v>403</v>
      </c>
      <c r="E251" s="462">
        <v>335366000</v>
      </c>
      <c r="F251" s="462">
        <v>0</v>
      </c>
      <c r="G251" s="463" t="s">
        <v>548</v>
      </c>
    </row>
    <row r="252" spans="1:8" ht="87.75" customHeight="1" thickBot="1" x14ac:dyDescent="0.3">
      <c r="A252" s="1198"/>
      <c r="B252" s="1201"/>
      <c r="C252" s="1201"/>
      <c r="D252" s="464" t="s">
        <v>404</v>
      </c>
      <c r="E252" s="462">
        <v>244532000</v>
      </c>
      <c r="F252" s="462">
        <v>0</v>
      </c>
      <c r="G252" s="463" t="s">
        <v>550</v>
      </c>
    </row>
    <row r="253" spans="1:8" ht="343.5" customHeight="1" x14ac:dyDescent="0.25">
      <c r="A253" s="1196" t="s">
        <v>140</v>
      </c>
      <c r="B253" s="1199" t="s">
        <v>397</v>
      </c>
      <c r="C253" s="1199" t="s">
        <v>398</v>
      </c>
      <c r="D253" s="464" t="s">
        <v>401</v>
      </c>
      <c r="E253" s="462">
        <v>4481764000</v>
      </c>
      <c r="F253" s="462">
        <v>5613267</v>
      </c>
      <c r="G253" s="463" t="s">
        <v>567</v>
      </c>
      <c r="H253" s="310"/>
    </row>
    <row r="254" spans="1:8" ht="108.75" customHeight="1" x14ac:dyDescent="0.25">
      <c r="A254" s="1197"/>
      <c r="B254" s="1200"/>
      <c r="C254" s="1200"/>
      <c r="D254" s="464" t="s">
        <v>403</v>
      </c>
      <c r="E254" s="462">
        <v>335366000</v>
      </c>
      <c r="F254" s="462">
        <v>0</v>
      </c>
      <c r="G254" s="463" t="s">
        <v>566</v>
      </c>
    </row>
    <row r="255" spans="1:8" ht="85.5" customHeight="1" thickBot="1" x14ac:dyDescent="0.3">
      <c r="A255" s="1198"/>
      <c r="B255" s="1201"/>
      <c r="C255" s="1201"/>
      <c r="D255" s="464" t="s">
        <v>404</v>
      </c>
      <c r="E255" s="462">
        <v>244532000</v>
      </c>
      <c r="F255" s="462">
        <v>0</v>
      </c>
      <c r="G255" s="463" t="s">
        <v>565</v>
      </c>
    </row>
    <row r="256" spans="1:8" ht="409.5" x14ac:dyDescent="0.25">
      <c r="A256" s="1196" t="s">
        <v>141</v>
      </c>
      <c r="B256" s="1199" t="s">
        <v>397</v>
      </c>
      <c r="C256" s="1199" t="s">
        <v>398</v>
      </c>
      <c r="D256" s="465" t="s">
        <v>401</v>
      </c>
      <c r="E256" s="462">
        <v>4481764000</v>
      </c>
      <c r="F256" s="462">
        <v>124833601</v>
      </c>
      <c r="G256" s="463" t="s">
        <v>564</v>
      </c>
      <c r="H256" s="303">
        <v>119220334</v>
      </c>
    </row>
    <row r="257" spans="1:10" ht="185.25" x14ac:dyDescent="0.25">
      <c r="A257" s="1197"/>
      <c r="B257" s="1200"/>
      <c r="C257" s="1200"/>
      <c r="D257" s="465" t="s">
        <v>403</v>
      </c>
      <c r="E257" s="462">
        <v>335366000</v>
      </c>
      <c r="F257" s="462">
        <v>7121633</v>
      </c>
      <c r="G257" s="463" t="s">
        <v>563</v>
      </c>
    </row>
    <row r="258" spans="1:10" ht="409.6" thickBot="1" x14ac:dyDescent="0.3">
      <c r="A258" s="1198"/>
      <c r="B258" s="1201"/>
      <c r="C258" s="1201"/>
      <c r="D258" s="465" t="s">
        <v>404</v>
      </c>
      <c r="E258" s="462">
        <v>244532000</v>
      </c>
      <c r="F258" s="462">
        <v>4738867</v>
      </c>
      <c r="G258" s="463" t="s">
        <v>562</v>
      </c>
    </row>
    <row r="259" spans="1:10" s="2" customFormat="1" ht="296.25" customHeight="1" x14ac:dyDescent="0.25">
      <c r="A259" s="1196" t="s">
        <v>142</v>
      </c>
      <c r="B259" s="1199" t="s">
        <v>397</v>
      </c>
      <c r="C259" s="1199" t="s">
        <v>398</v>
      </c>
      <c r="D259" s="465" t="s">
        <v>401</v>
      </c>
      <c r="E259" s="462">
        <v>4481764000</v>
      </c>
      <c r="F259" s="462">
        <v>464183667</v>
      </c>
      <c r="G259" s="463" t="s">
        <v>561</v>
      </c>
      <c r="H259" s="311"/>
    </row>
    <row r="260" spans="1:10" s="2" customFormat="1" ht="129" customHeight="1" x14ac:dyDescent="0.25">
      <c r="A260" s="1197"/>
      <c r="B260" s="1200"/>
      <c r="C260" s="1200"/>
      <c r="D260" s="465" t="s">
        <v>403</v>
      </c>
      <c r="E260" s="462">
        <v>335366000</v>
      </c>
      <c r="F260" s="462">
        <v>34310700</v>
      </c>
      <c r="G260" s="463" t="s">
        <v>557</v>
      </c>
      <c r="H260" s="311"/>
    </row>
    <row r="261" spans="1:10" s="2" customFormat="1" ht="252" customHeight="1" thickBot="1" x14ac:dyDescent="0.3">
      <c r="A261" s="1198"/>
      <c r="B261" s="1201"/>
      <c r="C261" s="1201"/>
      <c r="D261" s="465" t="s">
        <v>404</v>
      </c>
      <c r="E261" s="462">
        <v>244532000</v>
      </c>
      <c r="F261" s="462">
        <v>28549967</v>
      </c>
      <c r="G261" s="463" t="s">
        <v>556</v>
      </c>
      <c r="H261" s="311"/>
    </row>
    <row r="262" spans="1:10" s="2" customFormat="1" ht="149.25" customHeight="1" x14ac:dyDescent="0.25">
      <c r="A262" s="1196" t="s">
        <v>143</v>
      </c>
      <c r="B262" s="1199" t="s">
        <v>397</v>
      </c>
      <c r="C262" s="1199" t="s">
        <v>398</v>
      </c>
      <c r="D262" s="461" t="s">
        <v>401</v>
      </c>
      <c r="E262" s="544">
        <v>4481764000</v>
      </c>
      <c r="F262" s="544">
        <v>876810068</v>
      </c>
      <c r="G262" s="545" t="s">
        <v>607</v>
      </c>
      <c r="H262" s="311"/>
    </row>
    <row r="263" spans="1:10" s="2" customFormat="1" ht="149.25" customHeight="1" x14ac:dyDescent="0.25">
      <c r="A263" s="1197"/>
      <c r="B263" s="1200"/>
      <c r="C263" s="1200"/>
      <c r="D263" s="461" t="s">
        <v>403</v>
      </c>
      <c r="E263" s="544">
        <v>335366000</v>
      </c>
      <c r="F263" s="544">
        <v>63775700</v>
      </c>
      <c r="G263" s="545" t="s">
        <v>604</v>
      </c>
      <c r="H263" s="311"/>
    </row>
    <row r="264" spans="1:10" s="2" customFormat="1" ht="149.25" customHeight="1" thickBot="1" x14ac:dyDescent="0.3">
      <c r="A264" s="1198"/>
      <c r="B264" s="1201"/>
      <c r="C264" s="1201"/>
      <c r="D264" s="461" t="s">
        <v>404</v>
      </c>
      <c r="E264" s="544">
        <v>244532000</v>
      </c>
      <c r="F264" s="544">
        <v>52583967</v>
      </c>
      <c r="G264" s="545" t="s">
        <v>603</v>
      </c>
      <c r="H264" s="311"/>
    </row>
    <row r="265" spans="1:10" s="2" customFormat="1" ht="186" customHeight="1" x14ac:dyDescent="0.25">
      <c r="A265" s="1196" t="s">
        <v>144</v>
      </c>
      <c r="B265" s="1193" t="s">
        <v>397</v>
      </c>
      <c r="C265" s="1193" t="s">
        <v>398</v>
      </c>
      <c r="D265" s="461" t="s">
        <v>401</v>
      </c>
      <c r="E265" s="462">
        <v>4481764000</v>
      </c>
      <c r="F265" s="462">
        <v>1312090443</v>
      </c>
      <c r="G265" s="463" t="s">
        <v>612</v>
      </c>
      <c r="H265" s="311">
        <f t="shared" ref="H265:H276" si="16">LEN(G265)</f>
        <v>1584</v>
      </c>
    </row>
    <row r="266" spans="1:10" s="2" customFormat="1" ht="242.25" x14ac:dyDescent="0.25">
      <c r="A266" s="1197"/>
      <c r="B266" s="1194"/>
      <c r="C266" s="1194"/>
      <c r="D266" s="461" t="s">
        <v>403</v>
      </c>
      <c r="E266" s="462">
        <v>335366000</v>
      </c>
      <c r="F266" s="462">
        <v>93240700</v>
      </c>
      <c r="G266" s="463" t="s">
        <v>613</v>
      </c>
      <c r="H266" s="311">
        <f t="shared" si="16"/>
        <v>744</v>
      </c>
    </row>
    <row r="267" spans="1:10" s="2" customFormat="1" ht="409.6" thickBot="1" x14ac:dyDescent="0.3">
      <c r="A267" s="1198"/>
      <c r="B267" s="1195"/>
      <c r="C267" s="1195"/>
      <c r="D267" s="461" t="s">
        <v>404</v>
      </c>
      <c r="E267" s="462">
        <v>244532000</v>
      </c>
      <c r="F267" s="462">
        <v>76617967</v>
      </c>
      <c r="G267" s="463" t="s">
        <v>609</v>
      </c>
      <c r="H267" s="311">
        <f t="shared" si="16"/>
        <v>1748</v>
      </c>
    </row>
    <row r="268" spans="1:10" s="2" customFormat="1" ht="166.5" customHeight="1" x14ac:dyDescent="0.25">
      <c r="A268" s="1196" t="s">
        <v>132</v>
      </c>
      <c r="B268" s="1199" t="s">
        <v>397</v>
      </c>
      <c r="C268" s="1199" t="s">
        <v>398</v>
      </c>
      <c r="D268" s="465" t="s">
        <v>401</v>
      </c>
      <c r="E268" s="462">
        <v>4481764000</v>
      </c>
      <c r="F268" s="462">
        <v>1776927877</v>
      </c>
      <c r="G268" s="463" t="s">
        <v>619</v>
      </c>
      <c r="H268" s="312">
        <f t="shared" si="16"/>
        <v>1865</v>
      </c>
    </row>
    <row r="269" spans="1:10" s="2" customFormat="1" ht="186" customHeight="1" x14ac:dyDescent="0.25">
      <c r="A269" s="1197"/>
      <c r="B269" s="1200"/>
      <c r="C269" s="1200"/>
      <c r="D269" s="465" t="s">
        <v>403</v>
      </c>
      <c r="E269" s="462">
        <v>335366000</v>
      </c>
      <c r="F269" s="462">
        <v>137294067</v>
      </c>
      <c r="G269" s="463" t="s">
        <v>616</v>
      </c>
      <c r="H269" s="312"/>
    </row>
    <row r="270" spans="1:10" s="2" customFormat="1" ht="97.5" customHeight="1" x14ac:dyDescent="0.25">
      <c r="A270" s="1198"/>
      <c r="B270" s="1201"/>
      <c r="C270" s="1201"/>
      <c r="D270" s="465" t="s">
        <v>404</v>
      </c>
      <c r="E270" s="462">
        <v>244532000</v>
      </c>
      <c r="F270" s="462">
        <v>100651967</v>
      </c>
      <c r="G270" s="463" t="s">
        <v>617</v>
      </c>
      <c r="H270" s="538"/>
      <c r="I270" s="538"/>
    </row>
    <row r="271" spans="1:10" s="2" customFormat="1" ht="147.75" customHeight="1" x14ac:dyDescent="0.25">
      <c r="A271" s="1196" t="s">
        <v>133</v>
      </c>
      <c r="B271" s="1202" t="s">
        <v>397</v>
      </c>
      <c r="C271" s="1202" t="s">
        <v>398</v>
      </c>
      <c r="D271" s="466" t="s">
        <v>401</v>
      </c>
      <c r="E271" s="462">
        <v>4481764000</v>
      </c>
      <c r="F271" s="462">
        <v>2234812812</v>
      </c>
      <c r="G271" s="463" t="s">
        <v>623</v>
      </c>
      <c r="H271" s="539"/>
      <c r="I271" s="540"/>
      <c r="J271" s="540"/>
    </row>
    <row r="272" spans="1:10" s="2" customFormat="1" ht="123.75" customHeight="1" x14ac:dyDescent="0.25">
      <c r="A272" s="1197"/>
      <c r="B272" s="1200"/>
      <c r="C272" s="1200"/>
      <c r="D272" s="465" t="s">
        <v>403</v>
      </c>
      <c r="E272" s="462">
        <v>335366000</v>
      </c>
      <c r="F272" s="462">
        <v>166024234</v>
      </c>
      <c r="G272" s="463" t="s">
        <v>621</v>
      </c>
      <c r="H272" s="539"/>
    </row>
    <row r="273" spans="1:8" s="2" customFormat="1" ht="409.5" x14ac:dyDescent="0.25">
      <c r="A273" s="1198"/>
      <c r="B273" s="1201"/>
      <c r="C273" s="1201"/>
      <c r="D273" s="465" t="s">
        <v>404</v>
      </c>
      <c r="E273" s="462">
        <v>244532000</v>
      </c>
      <c r="F273" s="462">
        <v>124685967</v>
      </c>
      <c r="G273" s="463" t="s">
        <v>620</v>
      </c>
      <c r="H273" s="311" t="e">
        <f>70+A271</f>
        <v>#VALUE!</v>
      </c>
    </row>
    <row r="274" spans="1:8" s="2" customFormat="1" ht="409.5" x14ac:dyDescent="0.25">
      <c r="A274" s="1196" t="s">
        <v>134</v>
      </c>
      <c r="B274" s="1202" t="s">
        <v>397</v>
      </c>
      <c r="C274" s="1202" t="s">
        <v>398</v>
      </c>
      <c r="D274" s="465" t="s">
        <v>401</v>
      </c>
      <c r="E274" s="462">
        <v>4481764000</v>
      </c>
      <c r="F274" s="462">
        <v>2694002944</v>
      </c>
      <c r="G274" s="463" t="s">
        <v>628</v>
      </c>
      <c r="H274" s="311"/>
    </row>
    <row r="275" spans="1:8" s="2" customFormat="1" ht="242.25" x14ac:dyDescent="0.25">
      <c r="A275" s="1197"/>
      <c r="B275" s="1200"/>
      <c r="C275" s="1200"/>
      <c r="D275" s="465" t="s">
        <v>403</v>
      </c>
      <c r="E275" s="462">
        <v>335366000</v>
      </c>
      <c r="F275" s="462">
        <v>205645234</v>
      </c>
      <c r="G275" s="463" t="s">
        <v>627</v>
      </c>
      <c r="H275" s="311">
        <f t="shared" si="16"/>
        <v>749</v>
      </c>
    </row>
    <row r="276" spans="1:8" s="2" customFormat="1" ht="100.5" customHeight="1" x14ac:dyDescent="0.25">
      <c r="A276" s="1198"/>
      <c r="B276" s="1201"/>
      <c r="C276" s="1201"/>
      <c r="D276" s="465" t="s">
        <v>404</v>
      </c>
      <c r="E276" s="462">
        <v>244532000</v>
      </c>
      <c r="F276" s="462">
        <v>148719967</v>
      </c>
      <c r="G276" s="463" t="s">
        <v>629</v>
      </c>
      <c r="H276" s="311">
        <f t="shared" si="16"/>
        <v>1694</v>
      </c>
    </row>
    <row r="277" spans="1:8" s="2" customFormat="1" ht="409.5" x14ac:dyDescent="0.25">
      <c r="A277" s="1196" t="s">
        <v>135</v>
      </c>
      <c r="B277" s="1202" t="s">
        <v>397</v>
      </c>
      <c r="C277" s="1202" t="s">
        <v>398</v>
      </c>
      <c r="D277" s="461" t="s">
        <v>401</v>
      </c>
      <c r="E277" s="462">
        <v>4486227999</v>
      </c>
      <c r="F277" s="462">
        <v>3176179633</v>
      </c>
      <c r="G277" s="463" t="s">
        <v>639</v>
      </c>
      <c r="H277" s="311"/>
    </row>
    <row r="278" spans="1:8" s="2" customFormat="1" ht="242.25" x14ac:dyDescent="0.25">
      <c r="A278" s="1197"/>
      <c r="B278" s="1200"/>
      <c r="C278" s="1200"/>
      <c r="D278" s="461" t="s">
        <v>403</v>
      </c>
      <c r="E278" s="462">
        <v>330902000</v>
      </c>
      <c r="F278" s="462">
        <v>235779234</v>
      </c>
      <c r="G278" s="463" t="s">
        <v>635</v>
      </c>
      <c r="H278" s="311"/>
    </row>
    <row r="279" spans="1:8" s="2" customFormat="1" ht="409.5" x14ac:dyDescent="0.25">
      <c r="A279" s="1198"/>
      <c r="B279" s="1201"/>
      <c r="C279" s="1201"/>
      <c r="D279" s="461" t="s">
        <v>404</v>
      </c>
      <c r="E279" s="462">
        <v>244532000</v>
      </c>
      <c r="F279" s="462">
        <v>172753967</v>
      </c>
      <c r="G279" s="463" t="s">
        <v>636</v>
      </c>
      <c r="H279" s="311"/>
    </row>
    <row r="280" spans="1:8" s="2" customFormat="1" ht="93.75" customHeight="1" x14ac:dyDescent="0.25">
      <c r="A280" s="1196" t="s">
        <v>136</v>
      </c>
      <c r="B280" s="1202" t="s">
        <v>397</v>
      </c>
      <c r="C280" s="1202" t="s">
        <v>398</v>
      </c>
      <c r="D280" s="466" t="s">
        <v>401</v>
      </c>
      <c r="E280" s="462">
        <v>4680510000</v>
      </c>
      <c r="F280" s="462">
        <v>3639755484</v>
      </c>
      <c r="G280" s="463" t="s">
        <v>642</v>
      </c>
      <c r="H280" s="311"/>
    </row>
    <row r="281" spans="1:8" s="2" customFormat="1" ht="242.25" x14ac:dyDescent="0.25">
      <c r="A281" s="1197"/>
      <c r="B281" s="1200"/>
      <c r="C281" s="1200"/>
      <c r="D281" s="465" t="s">
        <v>403</v>
      </c>
      <c r="E281" s="570">
        <v>330902000</v>
      </c>
      <c r="F281" s="462">
        <v>265913234</v>
      </c>
      <c r="G281" s="463" t="s">
        <v>643</v>
      </c>
      <c r="H281" s="311"/>
    </row>
    <row r="282" spans="1:8" s="2" customFormat="1" ht="409.5" x14ac:dyDescent="0.25">
      <c r="A282" s="1198"/>
      <c r="B282" s="1201"/>
      <c r="C282" s="1201"/>
      <c r="D282" s="465" t="s">
        <v>404</v>
      </c>
      <c r="E282" s="570">
        <v>268679000.00000006</v>
      </c>
      <c r="F282" s="462">
        <v>196787967</v>
      </c>
      <c r="G282" s="463" t="s">
        <v>641</v>
      </c>
      <c r="H282" s="311"/>
    </row>
    <row r="283" spans="1:8" s="2" customFormat="1" ht="409.5" x14ac:dyDescent="0.25">
      <c r="A283" s="1196" t="s">
        <v>137</v>
      </c>
      <c r="B283" s="1202" t="s">
        <v>397</v>
      </c>
      <c r="C283" s="1205" t="s">
        <v>398</v>
      </c>
      <c r="D283" s="465" t="s">
        <v>401</v>
      </c>
      <c r="E283" s="462">
        <v>4780510000</v>
      </c>
      <c r="F283" s="462">
        <v>4300576624</v>
      </c>
      <c r="G283" s="463" t="s">
        <v>646</v>
      </c>
      <c r="H283" s="313"/>
    </row>
    <row r="284" spans="1:8" s="2" customFormat="1" ht="242.25" x14ac:dyDescent="0.25">
      <c r="A284" s="1197"/>
      <c r="B284" s="1200"/>
      <c r="C284" s="1206"/>
      <c r="D284" s="465" t="s">
        <v>403</v>
      </c>
      <c r="E284" s="462">
        <v>330902000</v>
      </c>
      <c r="F284" s="462">
        <v>311642667</v>
      </c>
      <c r="G284" s="463" t="s">
        <v>648</v>
      </c>
      <c r="H284" s="313"/>
    </row>
    <row r="285" spans="1:8" s="2" customFormat="1" ht="409.6" thickBot="1" x14ac:dyDescent="0.3">
      <c r="A285" s="1203"/>
      <c r="B285" s="1204"/>
      <c r="C285" s="1207"/>
      <c r="D285" s="465" t="s">
        <v>404</v>
      </c>
      <c r="E285" s="462">
        <v>268679000.00000006</v>
      </c>
      <c r="F285" s="462">
        <v>226273967</v>
      </c>
      <c r="G285" s="463" t="s">
        <v>647</v>
      </c>
      <c r="H285" s="313"/>
    </row>
    <row r="286" spans="1:8" s="2" customFormat="1" ht="15.75" thickBot="1" x14ac:dyDescent="0.3">
      <c r="A286" s="618"/>
      <c r="B286" s="619"/>
      <c r="C286" s="156"/>
      <c r="D286" s="620"/>
      <c r="E286" s="621"/>
      <c r="F286" s="621"/>
      <c r="G286" s="622"/>
      <c r="H286" s="313"/>
    </row>
    <row r="287" spans="1:8" s="2" customFormat="1" ht="20.25" x14ac:dyDescent="0.3">
      <c r="A287" s="1190" t="s">
        <v>192</v>
      </c>
      <c r="B287" s="1191"/>
      <c r="C287" s="1191"/>
      <c r="D287" s="1191"/>
      <c r="E287" s="1191"/>
      <c r="F287" s="1191"/>
      <c r="G287" s="1192"/>
      <c r="H287" s="313"/>
    </row>
    <row r="288" spans="1:8" s="2" customFormat="1" ht="25.5" x14ac:dyDescent="0.25">
      <c r="A288" s="62" t="s">
        <v>64</v>
      </c>
      <c r="B288" s="63" t="s">
        <v>149</v>
      </c>
      <c r="C288" s="63" t="s">
        <v>150</v>
      </c>
      <c r="D288" s="63" t="s">
        <v>182</v>
      </c>
      <c r="E288" s="63" t="s">
        <v>193</v>
      </c>
      <c r="F288" s="63" t="s">
        <v>407</v>
      </c>
      <c r="G288" s="64" t="s">
        <v>185</v>
      </c>
      <c r="H288" s="313"/>
    </row>
    <row r="289" spans="1:8" s="2" customFormat="1" ht="119.25" customHeight="1" x14ac:dyDescent="0.25">
      <c r="A289" s="1212" t="s">
        <v>139</v>
      </c>
      <c r="B289" s="1208" t="s">
        <v>397</v>
      </c>
      <c r="C289" s="1209" t="s">
        <v>398</v>
      </c>
      <c r="D289" s="652" t="s">
        <v>401</v>
      </c>
      <c r="E289" s="462">
        <v>6162383000</v>
      </c>
      <c r="F289" s="462">
        <v>500122466</v>
      </c>
      <c r="G289" s="463" t="s">
        <v>667</v>
      </c>
      <c r="H289" s="313"/>
    </row>
    <row r="290" spans="1:8" s="2" customFormat="1" ht="119.25" customHeight="1" x14ac:dyDescent="0.25">
      <c r="A290" s="1213"/>
      <c r="B290" s="1178"/>
      <c r="C290" s="1210"/>
      <c r="D290" s="652" t="s">
        <v>403</v>
      </c>
      <c r="E290" s="462">
        <v>418836000</v>
      </c>
      <c r="F290" s="462">
        <v>0</v>
      </c>
      <c r="G290" s="463" t="s">
        <v>664</v>
      </c>
      <c r="H290" s="313"/>
    </row>
    <row r="291" spans="1:8" s="2" customFormat="1" ht="119.25" customHeight="1" thickBot="1" x14ac:dyDescent="0.3">
      <c r="A291" s="1214"/>
      <c r="B291" s="1179"/>
      <c r="C291" s="1211"/>
      <c r="D291" s="655" t="s">
        <v>404</v>
      </c>
      <c r="E291" s="462">
        <v>340219000</v>
      </c>
      <c r="F291" s="462">
        <v>0</v>
      </c>
      <c r="G291" s="463" t="s">
        <v>665</v>
      </c>
      <c r="H291" s="313"/>
    </row>
    <row r="292" spans="1:8" s="2" customFormat="1" ht="119.25" customHeight="1" x14ac:dyDescent="0.25">
      <c r="A292" s="1212" t="s">
        <v>140</v>
      </c>
      <c r="B292" s="1208" t="s">
        <v>397</v>
      </c>
      <c r="C292" s="1209" t="s">
        <v>398</v>
      </c>
      <c r="D292" s="655" t="s">
        <v>401</v>
      </c>
      <c r="E292" s="462">
        <v>6162383000</v>
      </c>
      <c r="F292" s="462">
        <v>1013434400</v>
      </c>
      <c r="G292" s="463" t="s">
        <v>670</v>
      </c>
      <c r="H292" s="638"/>
    </row>
    <row r="293" spans="1:8" s="2" customFormat="1" ht="119.25" customHeight="1" x14ac:dyDescent="0.25">
      <c r="A293" s="1213"/>
      <c r="B293" s="1178"/>
      <c r="C293" s="1210"/>
      <c r="D293" s="652" t="s">
        <v>403</v>
      </c>
      <c r="E293" s="462">
        <v>418836000</v>
      </c>
      <c r="F293" s="462">
        <v>59030000</v>
      </c>
      <c r="G293" s="463" t="s">
        <v>690</v>
      </c>
      <c r="H293" s="638"/>
    </row>
    <row r="294" spans="1:8" s="2" customFormat="1" ht="119.25" customHeight="1" thickBot="1" x14ac:dyDescent="0.3">
      <c r="A294" s="1214"/>
      <c r="B294" s="1179"/>
      <c r="C294" s="1211"/>
      <c r="D294" s="652" t="s">
        <v>404</v>
      </c>
      <c r="E294" s="462">
        <v>340219000</v>
      </c>
      <c r="F294" s="462">
        <v>102231000</v>
      </c>
      <c r="G294" s="463" t="s">
        <v>671</v>
      </c>
      <c r="H294" s="638"/>
    </row>
    <row r="295" spans="1:8" s="2" customFormat="1" ht="119.25" customHeight="1" x14ac:dyDescent="0.25">
      <c r="A295" s="1212" t="s">
        <v>141</v>
      </c>
      <c r="B295" s="1208" t="s">
        <v>397</v>
      </c>
      <c r="C295" s="1209" t="s">
        <v>398</v>
      </c>
      <c r="D295" s="655" t="s">
        <v>401</v>
      </c>
      <c r="E295" s="462">
        <v>6162383000</v>
      </c>
      <c r="F295" s="462">
        <v>1604851400</v>
      </c>
      <c r="G295" s="463" t="s">
        <v>711</v>
      </c>
      <c r="H295" s="313"/>
    </row>
    <row r="296" spans="1:8" s="2" customFormat="1" ht="119.25" customHeight="1" x14ac:dyDescent="0.25">
      <c r="A296" s="1213"/>
      <c r="B296" s="1178"/>
      <c r="C296" s="1210"/>
      <c r="D296" s="652" t="s">
        <v>403</v>
      </c>
      <c r="E296" s="462">
        <v>418836000</v>
      </c>
      <c r="F296" s="462">
        <v>72302000</v>
      </c>
      <c r="G296" s="463" t="s">
        <v>757</v>
      </c>
      <c r="H296" s="313"/>
    </row>
    <row r="297" spans="1:8" s="2" customFormat="1" ht="119.25" customHeight="1" thickBot="1" x14ac:dyDescent="0.3">
      <c r="A297" s="1214"/>
      <c r="B297" s="1179"/>
      <c r="C297" s="1211"/>
      <c r="D297" s="652" t="s">
        <v>404</v>
      </c>
      <c r="E297" s="462">
        <v>340219000</v>
      </c>
      <c r="F297" s="462">
        <v>115503000</v>
      </c>
      <c r="G297" s="463" t="s">
        <v>758</v>
      </c>
      <c r="H297" s="313"/>
    </row>
    <row r="298" spans="1:8" s="2" customFormat="1" x14ac:dyDescent="0.25">
      <c r="A298" s="625" t="s">
        <v>143</v>
      </c>
      <c r="B298" s="626"/>
      <c r="C298" s="627"/>
      <c r="D298" s="628"/>
      <c r="E298" s="629"/>
      <c r="F298" s="629"/>
      <c r="G298" s="630"/>
      <c r="H298" s="313"/>
    </row>
    <row r="299" spans="1:8" s="2" customFormat="1" x14ac:dyDescent="0.25">
      <c r="A299" s="625" t="s">
        <v>144</v>
      </c>
      <c r="B299" s="626"/>
      <c r="C299" s="627"/>
      <c r="D299" s="628"/>
      <c r="E299" s="629"/>
      <c r="F299" s="629"/>
      <c r="G299" s="630"/>
      <c r="H299" s="313"/>
    </row>
    <row r="300" spans="1:8" s="2" customFormat="1" x14ac:dyDescent="0.25">
      <c r="A300" s="625" t="s">
        <v>132</v>
      </c>
      <c r="B300" s="626"/>
      <c r="C300" s="627"/>
      <c r="D300" s="628"/>
      <c r="E300" s="629"/>
      <c r="F300" s="629"/>
      <c r="G300" s="630"/>
      <c r="H300" s="313"/>
    </row>
    <row r="301" spans="1:8" s="2" customFormat="1" x14ac:dyDescent="0.25">
      <c r="A301" s="625" t="s">
        <v>133</v>
      </c>
      <c r="B301" s="626"/>
      <c r="C301" s="627"/>
      <c r="D301" s="628"/>
      <c r="E301" s="629"/>
      <c r="F301" s="629"/>
      <c r="G301" s="630"/>
      <c r="H301" s="313"/>
    </row>
    <row r="302" spans="1:8" s="2" customFormat="1" x14ac:dyDescent="0.25">
      <c r="A302" s="625" t="s">
        <v>134</v>
      </c>
      <c r="B302" s="626"/>
      <c r="C302" s="626"/>
      <c r="D302" s="626"/>
      <c r="E302" s="626"/>
      <c r="F302" s="626"/>
      <c r="G302" s="626"/>
      <c r="H302" s="313"/>
    </row>
    <row r="303" spans="1:8" s="2" customFormat="1" x14ac:dyDescent="0.25">
      <c r="A303" s="625" t="s">
        <v>135</v>
      </c>
      <c r="B303" s="626"/>
      <c r="C303" s="626"/>
      <c r="D303" s="626"/>
      <c r="E303" s="626"/>
      <c r="F303" s="626"/>
      <c r="G303" s="626"/>
      <c r="H303" s="313"/>
    </row>
    <row r="304" spans="1:8" s="2" customFormat="1" x14ac:dyDescent="0.25">
      <c r="A304" s="625" t="s">
        <v>136</v>
      </c>
      <c r="B304" s="626"/>
      <c r="C304" s="626"/>
      <c r="D304" s="626"/>
      <c r="E304" s="626"/>
      <c r="F304" s="626"/>
      <c r="G304" s="626"/>
      <c r="H304" s="313"/>
    </row>
    <row r="305" spans="1:8" s="2" customFormat="1" x14ac:dyDescent="0.25">
      <c r="A305" s="625" t="s">
        <v>137</v>
      </c>
      <c r="B305" s="626"/>
      <c r="C305" s="626"/>
      <c r="D305" s="626"/>
      <c r="E305" s="626"/>
      <c r="F305" s="626"/>
      <c r="G305" s="626"/>
      <c r="H305" s="313"/>
    </row>
    <row r="306" spans="1:8" s="2" customFormat="1" ht="15.75" thickBot="1" x14ac:dyDescent="0.3">
      <c r="A306" s="418"/>
      <c r="B306" s="419"/>
      <c r="C306" s="420"/>
      <c r="D306" s="421"/>
      <c r="E306" s="422"/>
      <c r="F306" s="422"/>
      <c r="G306" s="423"/>
      <c r="H306" s="313"/>
    </row>
    <row r="307" spans="1:8" ht="24.75" customHeight="1" x14ac:dyDescent="0.3">
      <c r="A307" s="1190" t="s">
        <v>268</v>
      </c>
      <c r="B307" s="1191"/>
      <c r="C307" s="1191"/>
      <c r="D307" s="1191"/>
      <c r="E307" s="1191"/>
      <c r="F307" s="1191"/>
      <c r="G307" s="1191"/>
      <c r="H307" s="1192"/>
    </row>
    <row r="308" spans="1:8" ht="54.75" customHeight="1" x14ac:dyDescent="0.25">
      <c r="A308" s="32" t="s">
        <v>50</v>
      </c>
      <c r="B308" s="33" t="s">
        <v>196</v>
      </c>
      <c r="C308" s="53" t="s">
        <v>152</v>
      </c>
      <c r="D308" s="53" t="s">
        <v>153</v>
      </c>
      <c r="E308" s="53" t="s">
        <v>284</v>
      </c>
      <c r="F308" s="53" t="s">
        <v>285</v>
      </c>
      <c r="G308" s="53" t="s">
        <v>286</v>
      </c>
      <c r="H308" s="449" t="s">
        <v>185</v>
      </c>
    </row>
    <row r="309" spans="1:8" ht="75.75" customHeight="1" x14ac:dyDescent="0.25">
      <c r="A309" s="424" t="s">
        <v>139</v>
      </c>
      <c r="B309" s="425" t="s">
        <v>365</v>
      </c>
      <c r="C309" s="403" t="s">
        <v>367</v>
      </c>
      <c r="D309" s="366">
        <v>100</v>
      </c>
      <c r="E309" s="426">
        <v>10500000</v>
      </c>
      <c r="F309" s="426">
        <v>0</v>
      </c>
      <c r="G309" s="427">
        <f t="shared" ref="G309:G320" si="17">F309/E309</f>
        <v>0</v>
      </c>
      <c r="H309" s="428"/>
    </row>
    <row r="310" spans="1:8" ht="54.75" customHeight="1" x14ac:dyDescent="0.25">
      <c r="A310" s="424" t="s">
        <v>140</v>
      </c>
      <c r="B310" s="425" t="s">
        <v>365</v>
      </c>
      <c r="C310" s="403" t="s">
        <v>367</v>
      </c>
      <c r="D310" s="366">
        <v>100</v>
      </c>
      <c r="E310" s="426">
        <v>10500000</v>
      </c>
      <c r="F310" s="426">
        <v>1723674.2</v>
      </c>
      <c r="G310" s="427">
        <f t="shared" si="17"/>
        <v>0.1641594476190476</v>
      </c>
      <c r="H310" s="429"/>
    </row>
    <row r="311" spans="1:8" ht="54.75" customHeight="1" x14ac:dyDescent="0.25">
      <c r="A311" s="424" t="s">
        <v>141</v>
      </c>
      <c r="B311" s="425" t="s">
        <v>365</v>
      </c>
      <c r="C311" s="403" t="s">
        <v>367</v>
      </c>
      <c r="D311" s="366">
        <v>100</v>
      </c>
      <c r="E311" s="426">
        <v>10500000</v>
      </c>
      <c r="F311" s="426">
        <v>2209018.7600000002</v>
      </c>
      <c r="G311" s="427">
        <f t="shared" si="17"/>
        <v>0.21038273904761906</v>
      </c>
      <c r="H311" s="428"/>
    </row>
    <row r="312" spans="1:8" ht="54.75" customHeight="1" x14ac:dyDescent="0.25">
      <c r="A312" s="424" t="s">
        <v>142</v>
      </c>
      <c r="B312" s="425" t="s">
        <v>365</v>
      </c>
      <c r="C312" s="403" t="s">
        <v>367</v>
      </c>
      <c r="D312" s="366">
        <v>100</v>
      </c>
      <c r="E312" s="426">
        <v>10500000</v>
      </c>
      <c r="F312" s="426">
        <v>2991816.0700000003</v>
      </c>
      <c r="G312" s="427">
        <f t="shared" si="17"/>
        <v>0.28493486380952382</v>
      </c>
      <c r="H312" s="428"/>
    </row>
    <row r="313" spans="1:8" ht="54.75" customHeight="1" x14ac:dyDescent="0.25">
      <c r="A313" s="424" t="s">
        <v>143</v>
      </c>
      <c r="B313" s="425" t="s">
        <v>365</v>
      </c>
      <c r="C313" s="403" t="s">
        <v>367</v>
      </c>
      <c r="D313" s="366">
        <v>100</v>
      </c>
      <c r="E313" s="426">
        <v>10500000</v>
      </c>
      <c r="F313" s="426">
        <v>4255298.9497200008</v>
      </c>
      <c r="G313" s="427">
        <f t="shared" si="17"/>
        <v>0.4052665666400001</v>
      </c>
      <c r="H313" s="428"/>
    </row>
    <row r="314" spans="1:8" ht="54.75" customHeight="1" x14ac:dyDescent="0.25">
      <c r="A314" s="424" t="s">
        <v>144</v>
      </c>
      <c r="B314" s="425" t="s">
        <v>365</v>
      </c>
      <c r="C314" s="403" t="s">
        <v>367</v>
      </c>
      <c r="D314" s="366">
        <v>100</v>
      </c>
      <c r="E314" s="426">
        <v>10500000</v>
      </c>
      <c r="F314" s="426">
        <v>5210475.21</v>
      </c>
      <c r="G314" s="427">
        <f t="shared" si="17"/>
        <v>0.49623573428571427</v>
      </c>
      <c r="H314" s="428"/>
    </row>
    <row r="315" spans="1:8" s="2" customFormat="1" ht="54.75" customHeight="1" x14ac:dyDescent="0.25">
      <c r="A315" s="424" t="s">
        <v>132</v>
      </c>
      <c r="B315" s="425" t="s">
        <v>365</v>
      </c>
      <c r="C315" s="403" t="s">
        <v>367</v>
      </c>
      <c r="D315" s="366">
        <v>100</v>
      </c>
      <c r="E315" s="426">
        <v>10500000</v>
      </c>
      <c r="F315" s="426">
        <v>5968884.54</v>
      </c>
      <c r="G315" s="427">
        <f t="shared" si="17"/>
        <v>0.56846519428571429</v>
      </c>
      <c r="H315" s="428"/>
    </row>
    <row r="316" spans="1:8" s="2" customFormat="1" ht="54.75" customHeight="1" x14ac:dyDescent="0.25">
      <c r="A316" s="424" t="s">
        <v>133</v>
      </c>
      <c r="B316" s="425" t="s">
        <v>365</v>
      </c>
      <c r="C316" s="403" t="s">
        <v>367</v>
      </c>
      <c r="D316" s="366">
        <v>100</v>
      </c>
      <c r="E316" s="426">
        <v>10500000</v>
      </c>
      <c r="F316" s="426">
        <v>6825273.4299999997</v>
      </c>
      <c r="G316" s="427">
        <f t="shared" si="17"/>
        <v>0.65002604095238092</v>
      </c>
      <c r="H316" s="428"/>
    </row>
    <row r="317" spans="1:8" s="2" customFormat="1" ht="54.75" customHeight="1" x14ac:dyDescent="0.25">
      <c r="A317" s="424" t="s">
        <v>134</v>
      </c>
      <c r="B317" s="425" t="s">
        <v>365</v>
      </c>
      <c r="C317" s="403" t="s">
        <v>367</v>
      </c>
      <c r="D317" s="366">
        <v>100</v>
      </c>
      <c r="E317" s="426">
        <v>10500000</v>
      </c>
      <c r="F317" s="426">
        <v>8062489.4500000002</v>
      </c>
      <c r="G317" s="427">
        <f t="shared" si="17"/>
        <v>0.76785613809523812</v>
      </c>
      <c r="H317" s="428"/>
    </row>
    <row r="318" spans="1:8" s="2" customFormat="1" ht="54.75" customHeight="1" x14ac:dyDescent="0.25">
      <c r="A318" s="424" t="s">
        <v>135</v>
      </c>
      <c r="B318" s="425" t="s">
        <v>365</v>
      </c>
      <c r="C318" s="403" t="s">
        <v>367</v>
      </c>
      <c r="D318" s="366">
        <v>100</v>
      </c>
      <c r="E318" s="426">
        <v>10500000</v>
      </c>
      <c r="F318" s="426">
        <v>8840589.1099999994</v>
      </c>
      <c r="G318" s="427">
        <f t="shared" si="17"/>
        <v>0.84196086761904754</v>
      </c>
      <c r="H318" s="428"/>
    </row>
    <row r="319" spans="1:8" s="2" customFormat="1" ht="54.75" customHeight="1" x14ac:dyDescent="0.25">
      <c r="A319" s="424" t="s">
        <v>136</v>
      </c>
      <c r="B319" s="425" t="s">
        <v>365</v>
      </c>
      <c r="C319" s="403" t="s">
        <v>367</v>
      </c>
      <c r="D319" s="366">
        <v>100</v>
      </c>
      <c r="E319" s="426">
        <v>10500000</v>
      </c>
      <c r="F319" s="426">
        <v>9914205.6500000004</v>
      </c>
      <c r="G319" s="427">
        <f t="shared" si="17"/>
        <v>0.94421006190476198</v>
      </c>
      <c r="H319" s="428"/>
    </row>
    <row r="320" spans="1:8" ht="54.75" customHeight="1" thickBot="1" x14ac:dyDescent="0.3">
      <c r="A320" s="430" t="s">
        <v>137</v>
      </c>
      <c r="B320" s="431" t="s">
        <v>365</v>
      </c>
      <c r="C320" s="432" t="s">
        <v>367</v>
      </c>
      <c r="D320" s="433">
        <v>100</v>
      </c>
      <c r="E320" s="434">
        <v>10500000</v>
      </c>
      <c r="F320" s="434">
        <v>10602822.16</v>
      </c>
      <c r="G320" s="435">
        <f t="shared" si="17"/>
        <v>1.0097925866666666</v>
      </c>
      <c r="H320" s="436"/>
    </row>
    <row r="322" spans="1:9" ht="39.75" customHeight="1" x14ac:dyDescent="0.25"/>
    <row r="323" spans="1:9" ht="39.75" customHeight="1" thickBot="1" x14ac:dyDescent="0.3"/>
    <row r="324" spans="1:9" ht="20.25" x14ac:dyDescent="0.3">
      <c r="A324" s="1190" t="s">
        <v>200</v>
      </c>
      <c r="B324" s="1191"/>
      <c r="C324" s="1191"/>
      <c r="D324" s="1191"/>
      <c r="E324" s="1191"/>
      <c r="F324" s="1191"/>
      <c r="G324" s="1191"/>
      <c r="H324" s="1192"/>
    </row>
    <row r="325" spans="1:9" ht="54.75" customHeight="1" x14ac:dyDescent="0.25">
      <c r="A325" s="32" t="s">
        <v>62</v>
      </c>
      <c r="B325" s="33" t="s">
        <v>196</v>
      </c>
      <c r="C325" s="53" t="s">
        <v>152</v>
      </c>
      <c r="D325" s="53" t="s">
        <v>167</v>
      </c>
      <c r="E325" s="53" t="s">
        <v>201</v>
      </c>
      <c r="F325" s="53" t="s">
        <v>202</v>
      </c>
      <c r="G325" s="53" t="s">
        <v>203</v>
      </c>
      <c r="H325" s="449" t="s">
        <v>185</v>
      </c>
    </row>
    <row r="326" spans="1:9" ht="145.5" customHeight="1" x14ac:dyDescent="0.25">
      <c r="A326" s="390" t="s">
        <v>139</v>
      </c>
      <c r="B326" s="425" t="s">
        <v>365</v>
      </c>
      <c r="C326" s="403" t="s">
        <v>367</v>
      </c>
      <c r="D326" s="366">
        <v>100</v>
      </c>
      <c r="E326" s="437">
        <v>16364428.039999999</v>
      </c>
      <c r="F326" s="437">
        <v>0</v>
      </c>
      <c r="G326" s="427">
        <f t="shared" ref="G326:G337" si="18">F326/E326</f>
        <v>0</v>
      </c>
      <c r="H326" s="438"/>
    </row>
    <row r="327" spans="1:9" ht="145.5" customHeight="1" x14ac:dyDescent="0.25">
      <c r="A327" s="390" t="s">
        <v>140</v>
      </c>
      <c r="B327" s="425" t="s">
        <v>365</v>
      </c>
      <c r="C327" s="403" t="s">
        <v>367</v>
      </c>
      <c r="D327" s="366">
        <v>100</v>
      </c>
      <c r="E327" s="437">
        <v>16364428.039999999</v>
      </c>
      <c r="F327" s="437">
        <v>721758.44</v>
      </c>
      <c r="G327" s="427">
        <f t="shared" si="18"/>
        <v>4.4105326396729962E-2</v>
      </c>
      <c r="H327" s="439" t="s">
        <v>457</v>
      </c>
    </row>
    <row r="328" spans="1:9" s="3" customFormat="1" ht="145.5" customHeight="1" x14ac:dyDescent="0.25">
      <c r="A328" s="390" t="s">
        <v>141</v>
      </c>
      <c r="B328" s="425" t="s">
        <v>365</v>
      </c>
      <c r="C328" s="403" t="s">
        <v>456</v>
      </c>
      <c r="D328" s="366">
        <v>100</v>
      </c>
      <c r="E328" s="437">
        <v>16364428.039999999</v>
      </c>
      <c r="F328" s="437">
        <v>2524276.92</v>
      </c>
      <c r="G328" s="427">
        <f t="shared" si="18"/>
        <v>0.15425390449515522</v>
      </c>
      <c r="H328" s="439" t="s">
        <v>458</v>
      </c>
      <c r="I328"/>
    </row>
    <row r="329" spans="1:9" ht="145.5" customHeight="1" x14ac:dyDescent="0.25">
      <c r="A329" s="390" t="s">
        <v>142</v>
      </c>
      <c r="B329" s="425" t="s">
        <v>365</v>
      </c>
      <c r="C329" s="403" t="s">
        <v>456</v>
      </c>
      <c r="D329" s="366">
        <v>100</v>
      </c>
      <c r="E329" s="437">
        <v>16364428.039999999</v>
      </c>
      <c r="F329" s="437">
        <f>SUM(F327:F328)</f>
        <v>3246035.36</v>
      </c>
      <c r="G329" s="427">
        <f t="shared" si="18"/>
        <v>0.19835923089188517</v>
      </c>
      <c r="H329" s="438"/>
    </row>
    <row r="330" spans="1:9" ht="145.5" customHeight="1" x14ac:dyDescent="0.25">
      <c r="A330" s="390" t="s">
        <v>143</v>
      </c>
      <c r="B330" s="425" t="s">
        <v>365</v>
      </c>
      <c r="C330" s="403" t="s">
        <v>456</v>
      </c>
      <c r="D330" s="366">
        <v>100</v>
      </c>
      <c r="E330" s="437">
        <v>16364428.039999999</v>
      </c>
      <c r="F330" s="437">
        <v>6000938.2580000004</v>
      </c>
      <c r="G330" s="427">
        <f t="shared" si="18"/>
        <v>0.36670626332504563</v>
      </c>
      <c r="H330" s="438"/>
    </row>
    <row r="331" spans="1:9" ht="145.5" customHeight="1" x14ac:dyDescent="0.25">
      <c r="A331" s="403" t="s">
        <v>144</v>
      </c>
      <c r="B331" s="425" t="s">
        <v>365</v>
      </c>
      <c r="C331" s="403" t="s">
        <v>456</v>
      </c>
      <c r="D331" s="366">
        <v>100</v>
      </c>
      <c r="E331" s="437">
        <v>16364428.039999999</v>
      </c>
      <c r="F331" s="437">
        <v>7681227.2000000002</v>
      </c>
      <c r="G331" s="440">
        <f t="shared" si="18"/>
        <v>0.46938561990828986</v>
      </c>
      <c r="H331" s="410" t="s">
        <v>484</v>
      </c>
    </row>
    <row r="332" spans="1:9" ht="145.5" customHeight="1" x14ac:dyDescent="0.25">
      <c r="A332" s="390" t="s">
        <v>132</v>
      </c>
      <c r="B332" s="425" t="s">
        <v>365</v>
      </c>
      <c r="C332" s="403" t="s">
        <v>456</v>
      </c>
      <c r="D332" s="366">
        <v>100</v>
      </c>
      <c r="E332" s="437">
        <v>16364428.039999999</v>
      </c>
      <c r="F332" s="437">
        <v>9365682.8000000007</v>
      </c>
      <c r="G332" s="440">
        <f t="shared" si="18"/>
        <v>0.57231959327311765</v>
      </c>
      <c r="H332" s="410" t="s">
        <v>483</v>
      </c>
    </row>
    <row r="333" spans="1:9" s="71" customFormat="1" ht="145.5" customHeight="1" x14ac:dyDescent="0.25">
      <c r="A333" s="390" t="s">
        <v>133</v>
      </c>
      <c r="B333" s="425" t="s">
        <v>365</v>
      </c>
      <c r="C333" s="403" t="s">
        <v>456</v>
      </c>
      <c r="D333" s="366">
        <v>100</v>
      </c>
      <c r="E333" s="437">
        <v>16364428.039999999</v>
      </c>
      <c r="F333" s="437">
        <v>10995310.424000001</v>
      </c>
      <c r="G333" s="440">
        <f t="shared" si="18"/>
        <v>0.67190313019947145</v>
      </c>
      <c r="H333" s="410" t="s">
        <v>485</v>
      </c>
    </row>
    <row r="334" spans="1:9" ht="145.5" customHeight="1" x14ac:dyDescent="0.25">
      <c r="A334" s="390" t="s">
        <v>134</v>
      </c>
      <c r="B334" s="425" t="s">
        <v>365</v>
      </c>
      <c r="C334" s="403" t="s">
        <v>456</v>
      </c>
      <c r="D334" s="366">
        <v>100</v>
      </c>
      <c r="E334" s="437">
        <v>16364428.039999999</v>
      </c>
      <c r="F334" s="437">
        <v>12670715.43155</v>
      </c>
      <c r="G334" s="440">
        <f t="shared" si="18"/>
        <v>0.77428403856087358</v>
      </c>
      <c r="H334" s="410" t="s">
        <v>491</v>
      </c>
    </row>
    <row r="335" spans="1:9" ht="145.5" customHeight="1" x14ac:dyDescent="0.25">
      <c r="A335" s="390" t="s">
        <v>135</v>
      </c>
      <c r="B335" s="425" t="s">
        <v>365</v>
      </c>
      <c r="C335" s="403" t="s">
        <v>456</v>
      </c>
      <c r="D335" s="366">
        <v>100</v>
      </c>
      <c r="E335" s="437">
        <v>16364428.039999999</v>
      </c>
      <c r="F335" s="437">
        <v>14491999.902000001</v>
      </c>
      <c r="G335" s="440">
        <f t="shared" si="18"/>
        <v>0.88557937170653489</v>
      </c>
      <c r="H335" s="441" t="s">
        <v>495</v>
      </c>
    </row>
    <row r="336" spans="1:9" ht="145.5" customHeight="1" x14ac:dyDescent="0.25">
      <c r="A336" s="390" t="s">
        <v>136</v>
      </c>
      <c r="B336" s="425" t="s">
        <v>365</v>
      </c>
      <c r="C336" s="403" t="s">
        <v>456</v>
      </c>
      <c r="D336" s="366">
        <v>100</v>
      </c>
      <c r="E336" s="437">
        <v>16364428.039999999</v>
      </c>
      <c r="F336" s="437">
        <v>15825105.0866</v>
      </c>
      <c r="G336" s="440">
        <f t="shared" si="18"/>
        <v>0.96704296953845759</v>
      </c>
      <c r="H336" s="441" t="s">
        <v>520</v>
      </c>
    </row>
    <row r="337" spans="1:8" ht="105" customHeight="1" thickBot="1" x14ac:dyDescent="0.3">
      <c r="A337" s="417" t="s">
        <v>137</v>
      </c>
      <c r="B337" s="425" t="s">
        <v>365</v>
      </c>
      <c r="C337" s="403" t="s">
        <v>456</v>
      </c>
      <c r="D337" s="366">
        <v>100</v>
      </c>
      <c r="E337" s="437">
        <v>16364428.039999999</v>
      </c>
      <c r="F337" s="437">
        <v>16760475.970000001</v>
      </c>
      <c r="G337" s="442">
        <f t="shared" si="18"/>
        <v>1.0242017581691172</v>
      </c>
      <c r="H337" s="441" t="s">
        <v>597</v>
      </c>
    </row>
    <row r="338" spans="1:8" ht="15.75" thickBot="1" x14ac:dyDescent="0.3"/>
    <row r="339" spans="1:8" ht="20.25" x14ac:dyDescent="0.3">
      <c r="A339" s="1190" t="s">
        <v>204</v>
      </c>
      <c r="B339" s="1191"/>
      <c r="C339" s="1191"/>
      <c r="D339" s="1191"/>
      <c r="E339" s="1191"/>
      <c r="F339" s="1191"/>
      <c r="G339" s="1191"/>
      <c r="H339" s="1192"/>
    </row>
    <row r="340" spans="1:8" ht="52.5" customHeight="1" x14ac:dyDescent="0.25">
      <c r="A340" s="32" t="s">
        <v>63</v>
      </c>
      <c r="B340" s="33" t="s">
        <v>196</v>
      </c>
      <c r="C340" s="53" t="s">
        <v>152</v>
      </c>
      <c r="D340" s="53" t="s">
        <v>172</v>
      </c>
      <c r="E340" s="53" t="s">
        <v>205</v>
      </c>
      <c r="F340" s="53" t="s">
        <v>206</v>
      </c>
      <c r="G340" s="53" t="s">
        <v>207</v>
      </c>
      <c r="H340" s="449" t="s">
        <v>185</v>
      </c>
    </row>
    <row r="341" spans="1:8" ht="109.35" customHeight="1" x14ac:dyDescent="0.25">
      <c r="A341" s="458" t="s">
        <v>139</v>
      </c>
      <c r="B341" s="36"/>
      <c r="C341" s="467" t="s">
        <v>456</v>
      </c>
      <c r="D341" s="468"/>
      <c r="E341" s="469">
        <v>15500000</v>
      </c>
      <c r="F341" s="469">
        <v>16410</v>
      </c>
      <c r="G341" s="529">
        <f t="shared" ref="G341:G349" si="19">F341/E341</f>
        <v>1.0587096774193549E-3</v>
      </c>
      <c r="H341" s="470" t="s">
        <v>551</v>
      </c>
    </row>
    <row r="342" spans="1:8" ht="91.5" customHeight="1" x14ac:dyDescent="0.25">
      <c r="A342" s="458" t="s">
        <v>140</v>
      </c>
      <c r="B342" s="36"/>
      <c r="C342" s="467" t="s">
        <v>456</v>
      </c>
      <c r="D342" s="468"/>
      <c r="E342" s="469">
        <v>15500000</v>
      </c>
      <c r="F342" s="469">
        <v>532209.06499999994</v>
      </c>
      <c r="G342" s="529">
        <f t="shared" si="19"/>
        <v>3.4336068709677418E-2</v>
      </c>
      <c r="H342" s="470" t="s">
        <v>560</v>
      </c>
    </row>
    <row r="343" spans="1:8" ht="91.5" customHeight="1" x14ac:dyDescent="0.25">
      <c r="A343" s="458" t="s">
        <v>141</v>
      </c>
      <c r="B343" s="36"/>
      <c r="C343" s="467" t="s">
        <v>456</v>
      </c>
      <c r="D343" s="468"/>
      <c r="E343" s="469">
        <v>15500000</v>
      </c>
      <c r="F343" s="469">
        <v>1998520.13</v>
      </c>
      <c r="G343" s="529">
        <f t="shared" si="19"/>
        <v>0.12893678258064514</v>
      </c>
      <c r="H343" s="470" t="s">
        <v>559</v>
      </c>
    </row>
    <row r="344" spans="1:8" ht="91.5" customHeight="1" x14ac:dyDescent="0.25">
      <c r="A344" s="458" t="s">
        <v>142</v>
      </c>
      <c r="B344" s="36"/>
      <c r="C344" s="467" t="s">
        <v>456</v>
      </c>
      <c r="D344" s="468"/>
      <c r="E344" s="469">
        <v>15500000</v>
      </c>
      <c r="F344" s="469">
        <v>3564735.8930000002</v>
      </c>
      <c r="G344" s="529">
        <f t="shared" si="19"/>
        <v>0.2299829608387097</v>
      </c>
      <c r="H344" s="470" t="s">
        <v>558</v>
      </c>
    </row>
    <row r="345" spans="1:8" ht="107.25" customHeight="1" x14ac:dyDescent="0.25">
      <c r="A345" s="458" t="s">
        <v>143</v>
      </c>
      <c r="B345" s="542"/>
      <c r="C345" s="467" t="s">
        <v>456</v>
      </c>
      <c r="D345" s="468"/>
      <c r="E345" s="469">
        <v>15500000</v>
      </c>
      <c r="F345" s="469">
        <v>5021751</v>
      </c>
      <c r="G345" s="546">
        <f t="shared" si="19"/>
        <v>0.32398393548387094</v>
      </c>
      <c r="H345" s="470" t="s">
        <v>608</v>
      </c>
    </row>
    <row r="346" spans="1:8" ht="125.1" customHeight="1" x14ac:dyDescent="0.25">
      <c r="A346" s="458" t="s">
        <v>144</v>
      </c>
      <c r="B346" s="467"/>
      <c r="C346" s="467" t="s">
        <v>456</v>
      </c>
      <c r="D346" s="467"/>
      <c r="E346" s="469">
        <v>15500000</v>
      </c>
      <c r="F346" s="469">
        <v>6529960.3700000001</v>
      </c>
      <c r="G346" s="547">
        <f>F346/E346</f>
        <v>0.42128776580645161</v>
      </c>
      <c r="H346" s="470" t="s">
        <v>614</v>
      </c>
    </row>
    <row r="347" spans="1:8" ht="89.25" customHeight="1" x14ac:dyDescent="0.25">
      <c r="A347" s="458" t="s">
        <v>132</v>
      </c>
      <c r="B347" s="36"/>
      <c r="C347" s="467" t="s">
        <v>456</v>
      </c>
      <c r="D347" s="36"/>
      <c r="E347" s="469">
        <v>15500000</v>
      </c>
      <c r="F347" s="469">
        <v>8177649.7699999996</v>
      </c>
      <c r="G347" s="547">
        <f t="shared" si="19"/>
        <v>0.52759030774193549</v>
      </c>
      <c r="H347" s="470" t="s">
        <v>615</v>
      </c>
    </row>
    <row r="348" spans="1:8" ht="102" customHeight="1" x14ac:dyDescent="0.25">
      <c r="A348" s="458" t="s">
        <v>133</v>
      </c>
      <c r="B348" s="36"/>
      <c r="C348" s="467" t="s">
        <v>456</v>
      </c>
      <c r="D348" s="36"/>
      <c r="E348" s="469">
        <v>15500000</v>
      </c>
      <c r="F348" s="469">
        <v>9978452.0661999993</v>
      </c>
      <c r="G348" s="547">
        <f t="shared" ref="G348" si="20">F348/E348</f>
        <v>0.64377110104516122</v>
      </c>
      <c r="H348" s="470" t="s">
        <v>622</v>
      </c>
    </row>
    <row r="349" spans="1:8" ht="140.25" customHeight="1" x14ac:dyDescent="0.25">
      <c r="A349" s="458" t="s">
        <v>134</v>
      </c>
      <c r="B349" s="36"/>
      <c r="C349" s="467" t="s">
        <v>456</v>
      </c>
      <c r="D349" s="36"/>
      <c r="E349" s="469">
        <v>15500000</v>
      </c>
      <c r="F349" s="469">
        <v>11591508</v>
      </c>
      <c r="G349" s="547">
        <f t="shared" si="19"/>
        <v>0.74783922580645157</v>
      </c>
      <c r="H349" s="470" t="s">
        <v>630</v>
      </c>
    </row>
    <row r="350" spans="1:8" ht="126.75" customHeight="1" x14ac:dyDescent="0.25">
      <c r="A350" s="458" t="s">
        <v>135</v>
      </c>
      <c r="B350" s="36"/>
      <c r="C350" s="467" t="s">
        <v>456</v>
      </c>
      <c r="D350" s="36"/>
      <c r="E350" s="469">
        <v>15500000</v>
      </c>
      <c r="F350" s="469">
        <v>13028193.66</v>
      </c>
      <c r="G350" s="547">
        <f t="shared" ref="G350" si="21">F350/E350</f>
        <v>0.84052862322580646</v>
      </c>
      <c r="H350" s="470" t="s">
        <v>640</v>
      </c>
    </row>
    <row r="351" spans="1:8" ht="89.1" customHeight="1" x14ac:dyDescent="0.25">
      <c r="A351" s="458" t="s">
        <v>136</v>
      </c>
      <c r="B351" s="36"/>
      <c r="C351" s="467" t="s">
        <v>456</v>
      </c>
      <c r="D351" s="36"/>
      <c r="E351" s="469">
        <v>15500000</v>
      </c>
      <c r="F351" s="469">
        <v>14564710.060000001</v>
      </c>
      <c r="G351" s="547">
        <f t="shared" ref="G351" si="22">F351/E351</f>
        <v>0.93965871354838715</v>
      </c>
      <c r="H351" s="470" t="s">
        <v>644</v>
      </c>
    </row>
    <row r="352" spans="1:8" ht="144.75" customHeight="1" thickBot="1" x14ac:dyDescent="0.3">
      <c r="A352" s="568" t="s">
        <v>137</v>
      </c>
      <c r="B352" s="36"/>
      <c r="C352" s="467" t="s">
        <v>456</v>
      </c>
      <c r="D352" s="36"/>
      <c r="E352" s="469">
        <v>15500000</v>
      </c>
      <c r="F352" s="469">
        <v>15474822.3892</v>
      </c>
      <c r="G352" s="547">
        <f t="shared" ref="G352" si="23">F352/E352</f>
        <v>0.99837563801290319</v>
      </c>
      <c r="H352" s="470" t="s">
        <v>650</v>
      </c>
    </row>
    <row r="353" spans="1:44" ht="15.75" thickBot="1" x14ac:dyDescent="0.3"/>
    <row r="354" spans="1:44" ht="20.25" x14ac:dyDescent="0.3">
      <c r="A354" s="1190" t="s">
        <v>208</v>
      </c>
      <c r="B354" s="1191"/>
      <c r="C354" s="1191"/>
      <c r="D354" s="1191"/>
      <c r="E354" s="1191"/>
      <c r="F354" s="1191"/>
      <c r="G354" s="1191"/>
      <c r="H354" s="1192"/>
    </row>
    <row r="355" spans="1:44" ht="63.75" customHeight="1" x14ac:dyDescent="0.25">
      <c r="A355" s="32" t="s">
        <v>64</v>
      </c>
      <c r="B355" s="33" t="s">
        <v>196</v>
      </c>
      <c r="C355" s="53" t="s">
        <v>152</v>
      </c>
      <c r="D355" s="53" t="s">
        <v>177</v>
      </c>
      <c r="E355" s="53" t="s">
        <v>209</v>
      </c>
      <c r="F355" s="53" t="s">
        <v>210</v>
      </c>
      <c r="G355" s="53" t="s">
        <v>211</v>
      </c>
      <c r="H355" s="449" t="s">
        <v>185</v>
      </c>
    </row>
    <row r="356" spans="1:44" ht="96" customHeight="1" x14ac:dyDescent="0.25">
      <c r="A356" s="656" t="s">
        <v>139</v>
      </c>
      <c r="B356" s="657" t="s">
        <v>365</v>
      </c>
      <c r="C356" s="643" t="s">
        <v>456</v>
      </c>
      <c r="D356" s="641"/>
      <c r="E356" s="658">
        <v>5776307.5199999996</v>
      </c>
      <c r="F356" s="658">
        <v>694342.93</v>
      </c>
      <c r="G356" s="547">
        <f t="shared" ref="G356" si="24">F356/E356</f>
        <v>0.12020532625659101</v>
      </c>
      <c r="H356" s="659" t="s">
        <v>691</v>
      </c>
    </row>
    <row r="357" spans="1:44" ht="123" customHeight="1" x14ac:dyDescent="0.25">
      <c r="A357" s="656" t="s">
        <v>140</v>
      </c>
      <c r="B357" s="657" t="s">
        <v>365</v>
      </c>
      <c r="C357" s="643" t="s">
        <v>456</v>
      </c>
      <c r="D357" s="641"/>
      <c r="E357" s="658">
        <v>5776307.5199999996</v>
      </c>
      <c r="F357" s="658">
        <v>1304736.3389999999</v>
      </c>
      <c r="G357" s="547">
        <f t="shared" ref="G357" si="25">F357/E357</f>
        <v>0.22587722943808919</v>
      </c>
      <c r="H357" s="659" t="s">
        <v>692</v>
      </c>
    </row>
    <row r="358" spans="1:44" ht="90" x14ac:dyDescent="0.25">
      <c r="A358" s="656" t="s">
        <v>141</v>
      </c>
      <c r="B358" s="657" t="s">
        <v>365</v>
      </c>
      <c r="C358" s="643" t="s">
        <v>456</v>
      </c>
      <c r="D358" s="641"/>
      <c r="E358" s="658">
        <v>5776307.5199999996</v>
      </c>
      <c r="F358" s="658">
        <v>2098975.1230000001</v>
      </c>
      <c r="G358" s="547">
        <f t="shared" ref="G358" si="26">F358/E358</f>
        <v>0.36337662351467054</v>
      </c>
      <c r="H358" s="659" t="s">
        <v>760</v>
      </c>
    </row>
    <row r="359" spans="1:44" x14ac:dyDescent="0.25">
      <c r="A359" s="39" t="s">
        <v>142</v>
      </c>
      <c r="B359" s="36"/>
      <c r="C359" s="36"/>
      <c r="D359" s="36"/>
      <c r="E359" s="36"/>
      <c r="F359" s="36"/>
      <c r="G359" s="36" t="e">
        <f t="shared" ref="G359:G367" si="27">F359/E359</f>
        <v>#DIV/0!</v>
      </c>
      <c r="H359" s="304"/>
    </row>
    <row r="360" spans="1:44" x14ac:dyDescent="0.25">
      <c r="A360" s="39" t="s">
        <v>143</v>
      </c>
      <c r="B360" s="36"/>
      <c r="C360" s="36"/>
      <c r="D360" s="36"/>
      <c r="E360" s="36"/>
      <c r="F360" s="36"/>
      <c r="G360" s="36" t="e">
        <f t="shared" si="27"/>
        <v>#DIV/0!</v>
      </c>
      <c r="H360" s="304"/>
    </row>
    <row r="361" spans="1:44" x14ac:dyDescent="0.25">
      <c r="A361" s="39" t="s">
        <v>144</v>
      </c>
      <c r="B361" s="36"/>
      <c r="C361" s="36"/>
      <c r="D361" s="36"/>
      <c r="E361" s="36"/>
      <c r="F361" s="36"/>
      <c r="G361" s="36" t="e">
        <f t="shared" si="27"/>
        <v>#DIV/0!</v>
      </c>
      <c r="H361" s="304"/>
    </row>
    <row r="362" spans="1:44" x14ac:dyDescent="0.25">
      <c r="A362" s="39" t="s">
        <v>132</v>
      </c>
      <c r="B362" s="36"/>
      <c r="C362" s="36"/>
      <c r="D362" s="36"/>
      <c r="E362" s="36"/>
      <c r="F362" s="36"/>
      <c r="G362" s="36" t="e">
        <f t="shared" si="27"/>
        <v>#DIV/0!</v>
      </c>
      <c r="H362" s="304"/>
    </row>
    <row r="363" spans="1:44" x14ac:dyDescent="0.25">
      <c r="A363" s="39" t="s">
        <v>133</v>
      </c>
      <c r="B363" s="36"/>
      <c r="C363" s="36"/>
      <c r="D363" s="36"/>
      <c r="E363" s="36"/>
      <c r="F363" s="36"/>
      <c r="G363" s="36" t="e">
        <f t="shared" si="27"/>
        <v>#DIV/0!</v>
      </c>
      <c r="H363" s="304"/>
    </row>
    <row r="364" spans="1:44" x14ac:dyDescent="0.25">
      <c r="A364" s="39" t="s">
        <v>134</v>
      </c>
      <c r="B364" s="36"/>
      <c r="C364" s="36"/>
      <c r="D364" s="36"/>
      <c r="E364" s="36"/>
      <c r="F364" s="36"/>
      <c r="G364" s="36" t="e">
        <f t="shared" si="27"/>
        <v>#DIV/0!</v>
      </c>
      <c r="H364" s="304"/>
    </row>
    <row r="365" spans="1:44" x14ac:dyDescent="0.25">
      <c r="A365" s="39" t="s">
        <v>135</v>
      </c>
      <c r="B365" s="36"/>
      <c r="C365" s="36"/>
      <c r="D365" s="36"/>
      <c r="E365" s="36"/>
      <c r="F365" s="36"/>
      <c r="G365" s="36" t="e">
        <f t="shared" si="27"/>
        <v>#DIV/0!</v>
      </c>
      <c r="H365" s="304"/>
    </row>
    <row r="366" spans="1:44" x14ac:dyDescent="0.25">
      <c r="A366" s="39" t="s">
        <v>136</v>
      </c>
      <c r="B366" s="36"/>
      <c r="C366" s="36"/>
      <c r="D366" s="36"/>
      <c r="E366" s="36"/>
      <c r="F366" s="36"/>
      <c r="G366" s="36" t="e">
        <f t="shared" si="27"/>
        <v>#DIV/0!</v>
      </c>
      <c r="H366" s="304"/>
    </row>
    <row r="367" spans="1:44" ht="15.75" thickBot="1" x14ac:dyDescent="0.3">
      <c r="A367" s="40" t="s">
        <v>137</v>
      </c>
      <c r="B367" s="38"/>
      <c r="C367" s="38"/>
      <c r="D367" s="38"/>
      <c r="E367" s="38"/>
      <c r="F367" s="38"/>
      <c r="G367" s="38" t="e">
        <f t="shared" si="27"/>
        <v>#DIV/0!</v>
      </c>
      <c r="H367" s="314"/>
    </row>
    <row r="368" spans="1:44" ht="26.25" customHeight="1" x14ac:dyDescent="0.25">
      <c r="A368" s="26" t="s">
        <v>35</v>
      </c>
      <c r="B368" s="24"/>
      <c r="C368" s="24"/>
      <c r="D368" s="24"/>
      <c r="E368" s="25"/>
      <c r="F368" s="25"/>
      <c r="G368" s="25"/>
      <c r="H368" s="25"/>
      <c r="I368" s="25"/>
      <c r="J368" s="25"/>
      <c r="K368" s="25"/>
      <c r="L368" s="25"/>
      <c r="M368" s="25"/>
      <c r="N368" s="25"/>
      <c r="O368" s="25"/>
      <c r="P368" s="25"/>
      <c r="Q368" s="25"/>
      <c r="R368" s="25"/>
      <c r="S368" s="25"/>
      <c r="T368" s="25"/>
      <c r="U368" s="25"/>
      <c r="V368" s="25"/>
      <c r="W368" s="25"/>
      <c r="X368" s="24"/>
      <c r="Y368" s="24"/>
      <c r="Z368" s="24"/>
      <c r="AA368" s="24"/>
      <c r="AB368" s="24"/>
      <c r="AC368" s="24"/>
      <c r="AD368" s="27"/>
      <c r="AE368" s="27"/>
      <c r="AF368" s="27"/>
      <c r="AG368" s="27"/>
      <c r="AH368" s="27"/>
      <c r="AI368" s="27"/>
      <c r="AJ368" s="31"/>
      <c r="AK368" s="31"/>
      <c r="AL368" s="28"/>
      <c r="AM368" s="28"/>
      <c r="AN368" s="28"/>
      <c r="AO368" s="28"/>
      <c r="AP368" s="28"/>
      <c r="AQ368" s="28"/>
      <c r="AR368" s="28"/>
    </row>
    <row r="369" spans="1:44" ht="26.25" customHeight="1" x14ac:dyDescent="0.25">
      <c r="A369" s="29" t="s">
        <v>36</v>
      </c>
      <c r="B369" s="879" t="s">
        <v>37</v>
      </c>
      <c r="C369" s="880"/>
      <c r="D369" s="881"/>
      <c r="E369" s="882" t="s">
        <v>38</v>
      </c>
      <c r="F369" s="883"/>
      <c r="G369" s="883"/>
      <c r="H369" s="883"/>
      <c r="I369" s="883"/>
      <c r="J369" s="883"/>
      <c r="K369" s="883"/>
      <c r="L369" s="883"/>
      <c r="M369" s="883"/>
      <c r="N369" s="883"/>
      <c r="O369" s="24"/>
      <c r="P369" s="24"/>
      <c r="Q369" s="24"/>
      <c r="R369" s="24"/>
      <c r="S369" s="24"/>
      <c r="T369" s="24"/>
      <c r="U369" s="24"/>
      <c r="V369" s="24"/>
      <c r="W369" s="24"/>
      <c r="X369" s="24"/>
      <c r="Y369" s="24"/>
      <c r="Z369" s="24"/>
      <c r="AA369" s="24"/>
      <c r="AB369" s="24"/>
      <c r="AC369" s="24"/>
      <c r="AD369" s="27"/>
      <c r="AE369" s="27"/>
      <c r="AF369" s="27"/>
      <c r="AG369" s="27"/>
      <c r="AH369" s="27"/>
      <c r="AI369" s="27"/>
      <c r="AJ369" s="31"/>
      <c r="AK369" s="31"/>
      <c r="AL369" s="27"/>
      <c r="AM369" s="27"/>
      <c r="AN369" s="27"/>
      <c r="AO369" s="27"/>
      <c r="AP369" s="27"/>
      <c r="AQ369" s="27"/>
      <c r="AR369" s="31"/>
    </row>
    <row r="370" spans="1:44" ht="43.5" customHeight="1" x14ac:dyDescent="0.25">
      <c r="A370" s="101">
        <v>13</v>
      </c>
      <c r="B370" s="884" t="s">
        <v>95</v>
      </c>
      <c r="C370" s="885"/>
      <c r="D370" s="886"/>
      <c r="E370" s="887" t="s">
        <v>86</v>
      </c>
      <c r="F370" s="888"/>
      <c r="G370" s="888"/>
      <c r="H370" s="888"/>
      <c r="I370" s="888"/>
      <c r="J370" s="888"/>
      <c r="K370" s="888"/>
      <c r="L370" s="888"/>
      <c r="M370" s="888"/>
      <c r="N370" s="888"/>
      <c r="O370" s="24"/>
      <c r="P370" s="24"/>
      <c r="Q370" s="24"/>
      <c r="R370" s="24"/>
      <c r="S370" s="24"/>
      <c r="T370" s="24"/>
      <c r="U370" s="24"/>
      <c r="V370" s="24"/>
      <c r="W370" s="24"/>
      <c r="X370" s="24"/>
      <c r="Y370" s="24"/>
      <c r="Z370" s="24"/>
      <c r="AA370" s="24"/>
      <c r="AB370" s="24"/>
      <c r="AC370" s="24"/>
      <c r="AD370" s="24"/>
      <c r="AE370" s="24"/>
      <c r="AF370" s="24"/>
      <c r="AG370" s="24"/>
      <c r="AH370" s="24"/>
      <c r="AI370" s="24"/>
      <c r="AJ370" s="30"/>
      <c r="AK370" s="30"/>
      <c r="AL370" s="24"/>
      <c r="AM370" s="24"/>
      <c r="AN370" s="24"/>
      <c r="AO370" s="24"/>
      <c r="AP370" s="24"/>
      <c r="AQ370" s="24"/>
      <c r="AR370" s="30"/>
    </row>
    <row r="371" spans="1:44" ht="39.75" customHeight="1" x14ac:dyDescent="0.25">
      <c r="A371" s="101">
        <v>14</v>
      </c>
      <c r="B371" s="884" t="s">
        <v>598</v>
      </c>
      <c r="C371" s="885"/>
      <c r="D371" s="886"/>
      <c r="E371" s="887" t="s">
        <v>599</v>
      </c>
      <c r="F371" s="888"/>
      <c r="G371" s="888"/>
      <c r="H371" s="888"/>
      <c r="I371" s="888"/>
      <c r="J371" s="888"/>
      <c r="K371" s="888"/>
      <c r="L371" s="888"/>
      <c r="M371" s="888"/>
      <c r="N371" s="888"/>
    </row>
    <row r="372" spans="1:44" x14ac:dyDescent="0.25">
      <c r="F372" s="266"/>
    </row>
  </sheetData>
  <sheetProtection formatCells="0" formatColumns="0" formatRows="0" insertHyperlinks="0" sort="0" autoFilter="0" pivotTables="0"/>
  <mergeCells count="159">
    <mergeCell ref="A274:A276"/>
    <mergeCell ref="B274:B276"/>
    <mergeCell ref="C274:C276"/>
    <mergeCell ref="A277:A279"/>
    <mergeCell ref="B277:B279"/>
    <mergeCell ref="C277:C279"/>
    <mergeCell ref="A268:A270"/>
    <mergeCell ref="B268:B270"/>
    <mergeCell ref="C268:C270"/>
    <mergeCell ref="A271:A273"/>
    <mergeCell ref="B271:B273"/>
    <mergeCell ref="C271:C273"/>
    <mergeCell ref="A339:H339"/>
    <mergeCell ref="A354:H354"/>
    <mergeCell ref="A280:A282"/>
    <mergeCell ref="B280:B282"/>
    <mergeCell ref="C280:C282"/>
    <mergeCell ref="A283:A285"/>
    <mergeCell ref="B283:B285"/>
    <mergeCell ref="C283:C285"/>
    <mergeCell ref="A287:G287"/>
    <mergeCell ref="B289:B291"/>
    <mergeCell ref="C289:C291"/>
    <mergeCell ref="A289:A291"/>
    <mergeCell ref="B292:B294"/>
    <mergeCell ref="C292:C294"/>
    <mergeCell ref="A292:A294"/>
    <mergeCell ref="A295:A297"/>
    <mergeCell ref="B295:B297"/>
    <mergeCell ref="C295:C297"/>
    <mergeCell ref="A307:H307"/>
    <mergeCell ref="A324:H324"/>
    <mergeCell ref="C265:C267"/>
    <mergeCell ref="A256:A258"/>
    <mergeCell ref="B256:B258"/>
    <mergeCell ref="C256:C258"/>
    <mergeCell ref="A259:A261"/>
    <mergeCell ref="B259:B261"/>
    <mergeCell ref="C259:C261"/>
    <mergeCell ref="A248:G248"/>
    <mergeCell ref="A250:A252"/>
    <mergeCell ref="B250:B252"/>
    <mergeCell ref="C250:C252"/>
    <mergeCell ref="A253:A255"/>
    <mergeCell ref="B253:B255"/>
    <mergeCell ref="C253:C255"/>
    <mergeCell ref="A262:A264"/>
    <mergeCell ref="B262:B264"/>
    <mergeCell ref="C262:C264"/>
    <mergeCell ref="A265:A267"/>
    <mergeCell ref="B265:B267"/>
    <mergeCell ref="A240:A242"/>
    <mergeCell ref="B240:B242"/>
    <mergeCell ref="C240:C242"/>
    <mergeCell ref="A243:A245"/>
    <mergeCell ref="B243:B245"/>
    <mergeCell ref="C243:C245"/>
    <mergeCell ref="A234:A236"/>
    <mergeCell ref="B234:B236"/>
    <mergeCell ref="C234:C236"/>
    <mergeCell ref="A237:A239"/>
    <mergeCell ref="B237:B239"/>
    <mergeCell ref="C237:C239"/>
    <mergeCell ref="A228:A230"/>
    <mergeCell ref="B228:B230"/>
    <mergeCell ref="C228:C230"/>
    <mergeCell ref="A231:A233"/>
    <mergeCell ref="B231:B233"/>
    <mergeCell ref="C231:C233"/>
    <mergeCell ref="A222:A224"/>
    <mergeCell ref="B222:B224"/>
    <mergeCell ref="C222:C224"/>
    <mergeCell ref="A225:A227"/>
    <mergeCell ref="B225:B227"/>
    <mergeCell ref="C225:C227"/>
    <mergeCell ref="A216:A218"/>
    <mergeCell ref="B216:B218"/>
    <mergeCell ref="C216:C218"/>
    <mergeCell ref="A219:A221"/>
    <mergeCell ref="B219:B221"/>
    <mergeCell ref="C219:C221"/>
    <mergeCell ref="A208:G208"/>
    <mergeCell ref="A210:A212"/>
    <mergeCell ref="B210:B212"/>
    <mergeCell ref="C210:C212"/>
    <mergeCell ref="A213:A215"/>
    <mergeCell ref="B213:B215"/>
    <mergeCell ref="C213:C215"/>
    <mergeCell ref="A200:A202"/>
    <mergeCell ref="B200:B202"/>
    <mergeCell ref="C200:C202"/>
    <mergeCell ref="A203:A205"/>
    <mergeCell ref="B203:B205"/>
    <mergeCell ref="C203:C205"/>
    <mergeCell ref="A194:A196"/>
    <mergeCell ref="B194:B196"/>
    <mergeCell ref="C194:C196"/>
    <mergeCell ref="A197:A199"/>
    <mergeCell ref="B197:B199"/>
    <mergeCell ref="C197:C199"/>
    <mergeCell ref="A188:A190"/>
    <mergeCell ref="B188:B190"/>
    <mergeCell ref="C188:C190"/>
    <mergeCell ref="A191:A193"/>
    <mergeCell ref="B191:B193"/>
    <mergeCell ref="C191:C193"/>
    <mergeCell ref="A182:A184"/>
    <mergeCell ref="B182:B184"/>
    <mergeCell ref="C182:C184"/>
    <mergeCell ref="A185:A187"/>
    <mergeCell ref="B185:B187"/>
    <mergeCell ref="C185:C187"/>
    <mergeCell ref="A47:H47"/>
    <mergeCell ref="A176:A178"/>
    <mergeCell ref="B176:B178"/>
    <mergeCell ref="C176:C178"/>
    <mergeCell ref="A179:A181"/>
    <mergeCell ref="B179:B181"/>
    <mergeCell ref="C179:C181"/>
    <mergeCell ref="A170:A172"/>
    <mergeCell ref="B170:B172"/>
    <mergeCell ref="C170:C172"/>
    <mergeCell ref="A173:A175"/>
    <mergeCell ref="B173:B175"/>
    <mergeCell ref="C173:C175"/>
    <mergeCell ref="A139:G139"/>
    <mergeCell ref="B147:B149"/>
    <mergeCell ref="B150:B152"/>
    <mergeCell ref="B153:B155"/>
    <mergeCell ref="B156:B158"/>
    <mergeCell ref="B159:B161"/>
    <mergeCell ref="B162:B164"/>
    <mergeCell ref="A162:A164"/>
    <mergeCell ref="A159:A161"/>
    <mergeCell ref="A156:A158"/>
    <mergeCell ref="B369:D369"/>
    <mergeCell ref="E369:N369"/>
    <mergeCell ref="B370:D370"/>
    <mergeCell ref="E370:N370"/>
    <mergeCell ref="B371:D371"/>
    <mergeCell ref="E371:N371"/>
    <mergeCell ref="A1:B3"/>
    <mergeCell ref="C1:N1"/>
    <mergeCell ref="C2:N2"/>
    <mergeCell ref="C3:G3"/>
    <mergeCell ref="H3:N3"/>
    <mergeCell ref="A4:B4"/>
    <mergeCell ref="C4:N4"/>
    <mergeCell ref="A62:H62"/>
    <mergeCell ref="A77:N77"/>
    <mergeCell ref="A93:N93"/>
    <mergeCell ref="A109:N109"/>
    <mergeCell ref="A124:N124"/>
    <mergeCell ref="A168:G168"/>
    <mergeCell ref="A5:B5"/>
    <mergeCell ref="C5:N5"/>
    <mergeCell ref="A7:H7"/>
    <mergeCell ref="A16:H16"/>
    <mergeCell ref="A32:H32"/>
  </mergeCells>
  <phoneticPr fontId="92"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7109375" bestFit="1" customWidth="1"/>
    <col min="3" max="3" width="19.140625" customWidth="1"/>
    <col min="4" max="4" width="22.7109375" customWidth="1"/>
    <col min="5" max="5" width="24.71093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7109375" style="3"/>
  </cols>
  <sheetData>
    <row r="1" spans="1:14" ht="30" x14ac:dyDescent="0.25">
      <c r="A1" s="914"/>
      <c r="B1" s="916"/>
      <c r="C1" s="1144" t="s">
        <v>39</v>
      </c>
      <c r="D1" s="1145"/>
      <c r="E1" s="1145"/>
      <c r="F1" s="1145"/>
      <c r="G1" s="1145"/>
      <c r="H1" s="1145"/>
      <c r="I1" s="1145"/>
      <c r="J1" s="1145"/>
      <c r="K1" s="1145"/>
      <c r="L1" s="1145"/>
      <c r="M1" s="1145"/>
      <c r="N1" s="1146"/>
    </row>
    <row r="2" spans="1:14" ht="18.75" thickBot="1" x14ac:dyDescent="0.3">
      <c r="A2" s="917"/>
      <c r="B2" s="919"/>
      <c r="C2" s="1147" t="s">
        <v>123</v>
      </c>
      <c r="D2" s="1148"/>
      <c r="E2" s="1148"/>
      <c r="F2" s="1148"/>
      <c r="G2" s="1148"/>
      <c r="H2" s="1149"/>
      <c r="I2" s="1149"/>
      <c r="J2" s="1149"/>
      <c r="K2" s="1149"/>
      <c r="L2" s="1149"/>
      <c r="M2" s="1149"/>
      <c r="N2" s="1150"/>
    </row>
    <row r="3" spans="1:14" ht="27" thickBot="1" x14ac:dyDescent="0.45">
      <c r="A3" s="920"/>
      <c r="B3" s="922"/>
      <c r="C3" s="1151" t="s">
        <v>40</v>
      </c>
      <c r="D3" s="1152"/>
      <c r="E3" s="1152"/>
      <c r="F3" s="1152"/>
      <c r="G3" s="1152"/>
      <c r="H3" s="1289" t="s">
        <v>72</v>
      </c>
      <c r="I3" s="1290"/>
      <c r="J3" s="1290"/>
      <c r="K3" s="1290"/>
      <c r="L3" s="1290"/>
      <c r="M3" s="1290"/>
      <c r="N3" s="1291"/>
    </row>
    <row r="4" spans="1:14" ht="15.75" thickBot="1" x14ac:dyDescent="0.3">
      <c r="A4" s="1156" t="s">
        <v>0</v>
      </c>
      <c r="B4" s="1157"/>
      <c r="C4" s="1292" t="s">
        <v>69</v>
      </c>
      <c r="D4" s="1292"/>
      <c r="E4" s="1292"/>
      <c r="F4" s="1292"/>
      <c r="G4" s="1292"/>
      <c r="H4" s="1292"/>
      <c r="I4" s="1292"/>
      <c r="J4" s="1292"/>
      <c r="K4" s="1292"/>
      <c r="L4" s="1292"/>
      <c r="M4" s="1292"/>
      <c r="N4" s="1293"/>
    </row>
    <row r="5" spans="1:14" ht="15.75" thickBot="1" x14ac:dyDescent="0.3">
      <c r="A5" s="1166" t="s">
        <v>2</v>
      </c>
      <c r="B5" s="1167"/>
      <c r="C5" s="1281" t="s">
        <v>70</v>
      </c>
      <c r="D5" s="1281"/>
      <c r="E5" s="1281"/>
      <c r="F5" s="1281"/>
      <c r="G5" s="1281"/>
      <c r="H5" s="1281"/>
      <c r="I5" s="1281"/>
      <c r="J5" s="1281"/>
      <c r="K5" s="1281"/>
      <c r="L5" s="1281"/>
      <c r="M5" s="1281"/>
      <c r="N5" s="1282"/>
    </row>
    <row r="6" spans="1:14" ht="15.75" thickBot="1" x14ac:dyDescent="0.3"/>
    <row r="7" spans="1:14" ht="20.25" x14ac:dyDescent="0.25">
      <c r="A7" s="1160" t="s">
        <v>124</v>
      </c>
      <c r="B7" s="1161"/>
      <c r="C7" s="1161"/>
      <c r="D7" s="1161"/>
      <c r="E7" s="1161"/>
      <c r="F7" s="1161"/>
      <c r="G7" s="1161"/>
      <c r="H7" s="1162"/>
    </row>
    <row r="8" spans="1:14" ht="26.25" thickBot="1" x14ac:dyDescent="0.3">
      <c r="A8" s="62" t="s">
        <v>49</v>
      </c>
      <c r="B8" s="63" t="s">
        <v>125</v>
      </c>
      <c r="C8" s="63" t="s">
        <v>126</v>
      </c>
      <c r="D8" s="63" t="s">
        <v>127</v>
      </c>
      <c r="E8" s="63" t="s">
        <v>128</v>
      </c>
      <c r="F8" s="63" t="s">
        <v>129</v>
      </c>
      <c r="G8" s="63" t="s">
        <v>130</v>
      </c>
      <c r="H8" s="64" t="s">
        <v>131</v>
      </c>
    </row>
    <row r="9" spans="1:14" x14ac:dyDescent="0.25">
      <c r="A9" s="1257" t="s">
        <v>132</v>
      </c>
      <c r="B9" s="65" t="s">
        <v>212</v>
      </c>
      <c r="C9" s="66">
        <v>1709485448</v>
      </c>
      <c r="D9" s="66">
        <v>1709485448</v>
      </c>
      <c r="E9" s="1278">
        <f>+[2]INVERSIÓN!J36</f>
        <v>15250000</v>
      </c>
      <c r="F9" s="1283">
        <f>+E9</f>
        <v>15250000</v>
      </c>
      <c r="G9" s="1286"/>
      <c r="H9" s="1286"/>
    </row>
    <row r="10" spans="1:14" x14ac:dyDescent="0.25">
      <c r="A10" s="1197"/>
      <c r="B10" s="55" t="s">
        <v>213</v>
      </c>
      <c r="C10" s="56">
        <v>295362955</v>
      </c>
      <c r="D10" s="56">
        <v>295362955</v>
      </c>
      <c r="E10" s="1279"/>
      <c r="F10" s="1284"/>
      <c r="G10" s="1287"/>
      <c r="H10" s="1287"/>
    </row>
    <row r="11" spans="1:14" x14ac:dyDescent="0.25">
      <c r="A11" s="1197"/>
      <c r="B11" s="55" t="s">
        <v>214</v>
      </c>
      <c r="C11" s="56">
        <v>1241705000</v>
      </c>
      <c r="D11" s="56">
        <v>1241705000</v>
      </c>
      <c r="E11" s="1279"/>
      <c r="F11" s="1284"/>
      <c r="G11" s="1287"/>
      <c r="H11" s="1287"/>
    </row>
    <row r="12" spans="1:14" x14ac:dyDescent="0.25">
      <c r="A12" s="1197"/>
      <c r="B12" s="55" t="s">
        <v>215</v>
      </c>
      <c r="C12" s="56">
        <v>106931000</v>
      </c>
      <c r="D12" s="56">
        <v>106931000</v>
      </c>
      <c r="E12" s="1279"/>
      <c r="F12" s="1284"/>
      <c r="G12" s="1287"/>
      <c r="H12" s="1287"/>
    </row>
    <row r="13" spans="1:14" ht="15.75" thickBot="1" x14ac:dyDescent="0.3">
      <c r="A13" s="1203"/>
      <c r="B13" s="67" t="s">
        <v>216</v>
      </c>
      <c r="C13" s="68">
        <v>565789625</v>
      </c>
      <c r="D13" s="68">
        <v>565789625</v>
      </c>
      <c r="E13" s="1280"/>
      <c r="F13" s="1285"/>
      <c r="G13" s="1288"/>
      <c r="H13" s="1288"/>
    </row>
    <row r="14" spans="1:14" x14ac:dyDescent="0.25">
      <c r="A14" s="1257" t="s">
        <v>133</v>
      </c>
      <c r="B14" s="65" t="s">
        <v>212</v>
      </c>
      <c r="C14" s="66">
        <v>1709485448</v>
      </c>
      <c r="D14" s="66">
        <v>1709485448</v>
      </c>
      <c r="E14" s="1278">
        <f>+[2]INVERSIÓN!L36</f>
        <v>741070000</v>
      </c>
      <c r="F14" s="1278">
        <f>+E14</f>
        <v>741070000</v>
      </c>
      <c r="G14" s="1272"/>
      <c r="H14" s="1274"/>
    </row>
    <row r="15" spans="1:14" x14ac:dyDescent="0.25">
      <c r="A15" s="1197"/>
      <c r="B15" s="55" t="s">
        <v>213</v>
      </c>
      <c r="C15" s="56">
        <v>295362955</v>
      </c>
      <c r="D15" s="56">
        <v>295362955</v>
      </c>
      <c r="E15" s="1279"/>
      <c r="F15" s="1279"/>
      <c r="G15" s="1273"/>
      <c r="H15" s="1275"/>
    </row>
    <row r="16" spans="1:14" x14ac:dyDescent="0.25">
      <c r="A16" s="1197"/>
      <c r="B16" s="55" t="s">
        <v>214</v>
      </c>
      <c r="C16" s="56">
        <v>1241705000</v>
      </c>
      <c r="D16" s="56">
        <v>1241705000</v>
      </c>
      <c r="E16" s="1279"/>
      <c r="F16" s="1279"/>
      <c r="G16" s="1273"/>
      <c r="H16" s="1275"/>
    </row>
    <row r="17" spans="1:8" x14ac:dyDescent="0.25">
      <c r="A17" s="1197"/>
      <c r="B17" s="55" t="s">
        <v>215</v>
      </c>
      <c r="C17" s="56">
        <v>106931000</v>
      </c>
      <c r="D17" s="56">
        <v>106931000</v>
      </c>
      <c r="E17" s="1279"/>
      <c r="F17" s="1279"/>
      <c r="G17" s="1273"/>
      <c r="H17" s="1275"/>
    </row>
    <row r="18" spans="1:8" ht="15.75" thickBot="1" x14ac:dyDescent="0.3">
      <c r="A18" s="1203"/>
      <c r="B18" s="67" t="s">
        <v>216</v>
      </c>
      <c r="C18" s="68">
        <v>565789625</v>
      </c>
      <c r="D18" s="68">
        <v>565789625</v>
      </c>
      <c r="E18" s="1280"/>
      <c r="F18" s="1280"/>
      <c r="G18" s="1276"/>
      <c r="H18" s="1277"/>
    </row>
    <row r="19" spans="1:8" x14ac:dyDescent="0.25">
      <c r="A19" s="1257" t="s">
        <v>134</v>
      </c>
      <c r="B19" s="65" t="s">
        <v>212</v>
      </c>
      <c r="C19" s="66">
        <v>1709485448</v>
      </c>
      <c r="D19" s="66">
        <v>1709485448</v>
      </c>
      <c r="E19" s="1278">
        <f>+[2]INVERSIÓN!N36</f>
        <v>786690347</v>
      </c>
      <c r="F19" s="1278">
        <f>+E19</f>
        <v>786690347</v>
      </c>
      <c r="G19" s="1272"/>
      <c r="H19" s="1274"/>
    </row>
    <row r="20" spans="1:8" x14ac:dyDescent="0.25">
      <c r="A20" s="1197"/>
      <c r="B20" s="55" t="s">
        <v>213</v>
      </c>
      <c r="C20" s="56">
        <v>295362955</v>
      </c>
      <c r="D20" s="56">
        <v>295362955</v>
      </c>
      <c r="E20" s="1279"/>
      <c r="F20" s="1279"/>
      <c r="G20" s="1273"/>
      <c r="H20" s="1275"/>
    </row>
    <row r="21" spans="1:8" x14ac:dyDescent="0.25">
      <c r="A21" s="1197"/>
      <c r="B21" s="55" t="s">
        <v>214</v>
      </c>
      <c r="C21" s="56">
        <v>1241705000</v>
      </c>
      <c r="D21" s="56">
        <v>1241705000</v>
      </c>
      <c r="E21" s="1279"/>
      <c r="F21" s="1279"/>
      <c r="G21" s="1273"/>
      <c r="H21" s="1275"/>
    </row>
    <row r="22" spans="1:8" x14ac:dyDescent="0.25">
      <c r="A22" s="1197"/>
      <c r="B22" s="55" t="s">
        <v>215</v>
      </c>
      <c r="C22" s="56">
        <v>106931000</v>
      </c>
      <c r="D22" s="56">
        <v>106931000</v>
      </c>
      <c r="E22" s="1279"/>
      <c r="F22" s="1279"/>
      <c r="G22" s="1273"/>
      <c r="H22" s="1275"/>
    </row>
    <row r="23" spans="1:8" ht="15.75" thickBot="1" x14ac:dyDescent="0.3">
      <c r="A23" s="1203"/>
      <c r="B23" s="67" t="s">
        <v>216</v>
      </c>
      <c r="C23" s="68">
        <v>565789625</v>
      </c>
      <c r="D23" s="68">
        <v>565789625</v>
      </c>
      <c r="E23" s="1280"/>
      <c r="F23" s="1280"/>
      <c r="G23" s="1276"/>
      <c r="H23" s="1277"/>
    </row>
    <row r="24" spans="1:8" x14ac:dyDescent="0.25">
      <c r="A24" s="1257" t="s">
        <v>135</v>
      </c>
      <c r="B24" s="65" t="s">
        <v>212</v>
      </c>
      <c r="C24" s="66">
        <v>1709485448</v>
      </c>
      <c r="D24" s="66">
        <v>1709485448</v>
      </c>
      <c r="E24" s="1270">
        <f>+[2]INVERSIÓN!P36</f>
        <v>793469102</v>
      </c>
      <c r="F24" s="1270">
        <f>+[2]INVERSIÓN!P36</f>
        <v>793469102</v>
      </c>
      <c r="G24" s="1272"/>
      <c r="H24" s="1274"/>
    </row>
    <row r="25" spans="1:8" x14ac:dyDescent="0.25">
      <c r="A25" s="1197"/>
      <c r="B25" s="55" t="s">
        <v>213</v>
      </c>
      <c r="C25" s="56">
        <v>295362955</v>
      </c>
      <c r="D25" s="56">
        <v>295362955</v>
      </c>
      <c r="E25" s="1271"/>
      <c r="F25" s="1271"/>
      <c r="G25" s="1273"/>
      <c r="H25" s="1275"/>
    </row>
    <row r="26" spans="1:8" x14ac:dyDescent="0.25">
      <c r="A26" s="1197"/>
      <c r="B26" s="55" t="s">
        <v>214</v>
      </c>
      <c r="C26" s="56">
        <v>1241705000</v>
      </c>
      <c r="D26" s="56">
        <v>1241705000</v>
      </c>
      <c r="E26" s="1271"/>
      <c r="F26" s="1271"/>
      <c r="G26" s="1273"/>
      <c r="H26" s="1275"/>
    </row>
    <row r="27" spans="1:8" x14ac:dyDescent="0.25">
      <c r="A27" s="1197"/>
      <c r="B27" s="55" t="s">
        <v>215</v>
      </c>
      <c r="C27" s="56">
        <v>106931000</v>
      </c>
      <c r="D27" s="56">
        <v>106931000</v>
      </c>
      <c r="E27" s="1271"/>
      <c r="F27" s="1271"/>
      <c r="G27" s="1273"/>
      <c r="H27" s="1275"/>
    </row>
    <row r="28" spans="1:8" ht="15.75" thickBot="1" x14ac:dyDescent="0.3">
      <c r="A28" s="1197"/>
      <c r="B28" s="93" t="s">
        <v>216</v>
      </c>
      <c r="C28" s="92">
        <v>565789625</v>
      </c>
      <c r="D28" s="92">
        <v>565789625</v>
      </c>
      <c r="E28" s="1271"/>
      <c r="F28" s="1271"/>
      <c r="G28" s="1273"/>
      <c r="H28" s="1275"/>
    </row>
    <row r="29" spans="1:8" x14ac:dyDescent="0.25">
      <c r="A29" s="1257" t="s">
        <v>136</v>
      </c>
      <c r="B29" s="102" t="s">
        <v>212</v>
      </c>
      <c r="C29" s="66">
        <v>1709485448</v>
      </c>
      <c r="D29" s="66">
        <v>1709485448</v>
      </c>
      <c r="E29" s="1261">
        <v>874824904</v>
      </c>
      <c r="F29" s="1261">
        <v>874824904</v>
      </c>
      <c r="G29" s="1272"/>
      <c r="H29" s="1274"/>
    </row>
    <row r="30" spans="1:8" x14ac:dyDescent="0.25">
      <c r="A30" s="1197"/>
      <c r="B30" s="36" t="s">
        <v>213</v>
      </c>
      <c r="C30" s="56">
        <v>295362955</v>
      </c>
      <c r="D30" s="56">
        <v>295362955</v>
      </c>
      <c r="E30" s="1262"/>
      <c r="F30" s="1262"/>
      <c r="G30" s="1273"/>
      <c r="H30" s="1275"/>
    </row>
    <row r="31" spans="1:8" x14ac:dyDescent="0.25">
      <c r="A31" s="1197"/>
      <c r="B31" s="36" t="s">
        <v>214</v>
      </c>
      <c r="C31" s="56">
        <v>1241705000</v>
      </c>
      <c r="D31" s="56">
        <v>1241705000</v>
      </c>
      <c r="E31" s="1262"/>
      <c r="F31" s="1262"/>
      <c r="G31" s="1273"/>
      <c r="H31" s="1275"/>
    </row>
    <row r="32" spans="1:8" x14ac:dyDescent="0.25">
      <c r="A32" s="1197"/>
      <c r="B32" s="36" t="s">
        <v>215</v>
      </c>
      <c r="C32" s="56">
        <v>106931000</v>
      </c>
      <c r="D32" s="56">
        <v>106931000</v>
      </c>
      <c r="E32" s="1262"/>
      <c r="F32" s="1262"/>
      <c r="G32" s="1273"/>
      <c r="H32" s="1275"/>
    </row>
    <row r="33" spans="1:8" ht="15.75" thickBot="1" x14ac:dyDescent="0.3">
      <c r="A33" s="1203"/>
      <c r="B33" s="38" t="s">
        <v>216</v>
      </c>
      <c r="C33" s="68">
        <v>565789625</v>
      </c>
      <c r="D33" s="92">
        <v>565789625</v>
      </c>
      <c r="E33" s="1263"/>
      <c r="F33" s="1263"/>
      <c r="G33" s="1276"/>
      <c r="H33" s="1277"/>
    </row>
    <row r="34" spans="1:8" x14ac:dyDescent="0.25">
      <c r="A34" s="1257" t="s">
        <v>137</v>
      </c>
      <c r="B34" s="102" t="s">
        <v>212</v>
      </c>
      <c r="C34" s="140">
        <v>1709485448</v>
      </c>
      <c r="D34" s="141">
        <v>1369505401</v>
      </c>
      <c r="E34" s="1258">
        <f>E276+E285+E294+E303</f>
        <v>3537554981</v>
      </c>
      <c r="F34" s="1261">
        <v>675702343</v>
      </c>
      <c r="G34" s="1264">
        <f>+F34</f>
        <v>675702343</v>
      </c>
      <c r="H34" s="1267"/>
    </row>
    <row r="35" spans="1:8" x14ac:dyDescent="0.25">
      <c r="A35" s="1197"/>
      <c r="B35" s="36" t="s">
        <v>213</v>
      </c>
      <c r="C35" s="142">
        <v>295362955</v>
      </c>
      <c r="D35" s="143">
        <v>295362955</v>
      </c>
      <c r="E35" s="1259"/>
      <c r="F35" s="1262"/>
      <c r="G35" s="1265"/>
      <c r="H35" s="1268"/>
    </row>
    <row r="36" spans="1:8" x14ac:dyDescent="0.25">
      <c r="A36" s="1197"/>
      <c r="B36" s="36" t="s">
        <v>214</v>
      </c>
      <c r="C36" s="142">
        <v>1241705000</v>
      </c>
      <c r="D36" s="143">
        <v>1199966000</v>
      </c>
      <c r="E36" s="1259"/>
      <c r="F36" s="1262"/>
      <c r="G36" s="1265"/>
      <c r="H36" s="1268"/>
    </row>
    <row r="37" spans="1:8" x14ac:dyDescent="0.25">
      <c r="A37" s="1197"/>
      <c r="B37" s="36" t="s">
        <v>215</v>
      </c>
      <c r="C37" s="142">
        <v>106931000</v>
      </c>
      <c r="D37" s="143">
        <v>106931000</v>
      </c>
      <c r="E37" s="1259"/>
      <c r="F37" s="1262"/>
      <c r="G37" s="1265"/>
      <c r="H37" s="1268"/>
    </row>
    <row r="38" spans="1:8" ht="15.75" thickBot="1" x14ac:dyDescent="0.3">
      <c r="A38" s="1203"/>
      <c r="B38" s="38" t="s">
        <v>216</v>
      </c>
      <c r="C38" s="144">
        <v>565789625</v>
      </c>
      <c r="D38" s="145">
        <v>565789625</v>
      </c>
      <c r="E38" s="1260"/>
      <c r="F38" s="1263"/>
      <c r="G38" s="1266"/>
      <c r="H38" s="1269"/>
    </row>
    <row r="39" spans="1:8" ht="15.75" thickBot="1" x14ac:dyDescent="0.3"/>
    <row r="40" spans="1:8" ht="20.25" x14ac:dyDescent="0.25">
      <c r="A40" s="1160" t="s">
        <v>138</v>
      </c>
      <c r="B40" s="1161"/>
      <c r="C40" s="1161"/>
      <c r="D40" s="1161"/>
      <c r="E40" s="1161"/>
      <c r="F40" s="1161"/>
      <c r="G40" s="1161"/>
      <c r="H40" s="1162"/>
    </row>
    <row r="41" spans="1:8" ht="26.25" thickBot="1" x14ac:dyDescent="0.3">
      <c r="A41" s="62" t="s">
        <v>50</v>
      </c>
      <c r="B41" s="63" t="s">
        <v>125</v>
      </c>
      <c r="C41" s="63" t="s">
        <v>126</v>
      </c>
      <c r="D41" s="63" t="s">
        <v>127</v>
      </c>
      <c r="E41" s="63" t="s">
        <v>128</v>
      </c>
      <c r="F41" s="63" t="s">
        <v>129</v>
      </c>
      <c r="G41" s="63" t="s">
        <v>130</v>
      </c>
      <c r="H41" s="64" t="s">
        <v>131</v>
      </c>
    </row>
    <row r="42" spans="1:8" x14ac:dyDescent="0.25">
      <c r="A42" s="1218" t="s">
        <v>139</v>
      </c>
      <c r="B42" s="146" t="s">
        <v>270</v>
      </c>
      <c r="C42" s="138">
        <v>2373758000</v>
      </c>
      <c r="D42" s="138">
        <v>2373758000</v>
      </c>
      <c r="E42" s="1215">
        <v>0</v>
      </c>
      <c r="F42" s="1215">
        <v>0</v>
      </c>
      <c r="G42" s="1221"/>
      <c r="H42" s="1224"/>
    </row>
    <row r="43" spans="1:8" x14ac:dyDescent="0.25">
      <c r="A43" s="1219"/>
      <c r="B43" s="147" t="s">
        <v>271</v>
      </c>
      <c r="C43" s="137">
        <v>5500000000</v>
      </c>
      <c r="D43" s="137">
        <v>5500000000</v>
      </c>
      <c r="E43" s="1216"/>
      <c r="F43" s="1216"/>
      <c r="G43" s="1222"/>
      <c r="H43" s="1225"/>
    </row>
    <row r="44" spans="1:8" x14ac:dyDescent="0.25">
      <c r="A44" s="1219"/>
      <c r="B44" s="147" t="s">
        <v>272</v>
      </c>
      <c r="C44" s="137">
        <v>13435346000</v>
      </c>
      <c r="D44" s="137">
        <v>13435346000</v>
      </c>
      <c r="E44" s="1216"/>
      <c r="F44" s="1216"/>
      <c r="G44" s="1222"/>
      <c r="H44" s="1225"/>
    </row>
    <row r="45" spans="1:8" x14ac:dyDescent="0.25">
      <c r="A45" s="1219"/>
      <c r="B45" s="147" t="s">
        <v>273</v>
      </c>
      <c r="C45" s="137">
        <v>3186932000</v>
      </c>
      <c r="D45" s="137">
        <v>3186932000</v>
      </c>
      <c r="E45" s="1216"/>
      <c r="F45" s="1216"/>
      <c r="G45" s="1222"/>
      <c r="H45" s="1225"/>
    </row>
    <row r="46" spans="1:8" x14ac:dyDescent="0.25">
      <c r="A46" s="1219"/>
      <c r="B46" s="147" t="s">
        <v>274</v>
      </c>
      <c r="C46" s="137">
        <v>103930000</v>
      </c>
      <c r="D46" s="137">
        <v>103930000</v>
      </c>
      <c r="E46" s="1216"/>
      <c r="F46" s="1216"/>
      <c r="G46" s="1222"/>
      <c r="H46" s="1225"/>
    </row>
    <row r="47" spans="1:8" x14ac:dyDescent="0.25">
      <c r="A47" s="1219"/>
      <c r="B47" s="147" t="s">
        <v>275</v>
      </c>
      <c r="C47" s="137">
        <f>304104000+35002000</f>
        <v>339106000</v>
      </c>
      <c r="D47" s="137">
        <f>304104000+35002000</f>
        <v>339106000</v>
      </c>
      <c r="E47" s="1216"/>
      <c r="F47" s="1216"/>
      <c r="G47" s="1222"/>
      <c r="H47" s="1225"/>
    </row>
    <row r="48" spans="1:8" x14ac:dyDescent="0.25">
      <c r="A48" s="1219"/>
      <c r="B48" s="147" t="s">
        <v>276</v>
      </c>
      <c r="C48" s="137">
        <v>119254000</v>
      </c>
      <c r="D48" s="137">
        <v>119254000</v>
      </c>
      <c r="E48" s="1216"/>
      <c r="F48" s="1216"/>
      <c r="G48" s="1222"/>
      <c r="H48" s="1225"/>
    </row>
    <row r="49" spans="1:8" ht="15.75" thickBot="1" x14ac:dyDescent="0.3">
      <c r="A49" s="1220"/>
      <c r="B49" s="148" t="s">
        <v>277</v>
      </c>
      <c r="C49" s="139">
        <v>298778000</v>
      </c>
      <c r="D49" s="139">
        <v>298778000</v>
      </c>
      <c r="E49" s="1217"/>
      <c r="F49" s="1217"/>
      <c r="G49" s="1223"/>
      <c r="H49" s="1226"/>
    </row>
    <row r="50" spans="1:8" x14ac:dyDescent="0.25">
      <c r="A50" s="39" t="s">
        <v>140</v>
      </c>
      <c r="B50" s="36"/>
      <c r="C50" s="36"/>
      <c r="D50" s="36"/>
      <c r="E50" s="36"/>
      <c r="F50" s="36"/>
      <c r="G50" s="36"/>
      <c r="H50" s="37" t="e">
        <f t="shared" ref="H50:H60" si="0">G50/E50</f>
        <v>#DIV/0!</v>
      </c>
    </row>
    <row r="51" spans="1:8" x14ac:dyDescent="0.25">
      <c r="A51" s="39" t="s">
        <v>141</v>
      </c>
      <c r="B51" s="36"/>
      <c r="C51" s="36"/>
      <c r="D51" s="36"/>
      <c r="E51" s="36"/>
      <c r="F51" s="36"/>
      <c r="G51" s="36"/>
      <c r="H51" s="37" t="e">
        <f t="shared" si="0"/>
        <v>#DIV/0!</v>
      </c>
    </row>
    <row r="52" spans="1:8" x14ac:dyDescent="0.25">
      <c r="A52" s="39" t="s">
        <v>142</v>
      </c>
      <c r="B52" s="36"/>
      <c r="C52" s="36"/>
      <c r="D52" s="36"/>
      <c r="E52" s="36"/>
      <c r="F52" s="36"/>
      <c r="G52" s="36"/>
      <c r="H52" s="37" t="e">
        <f t="shared" si="0"/>
        <v>#DIV/0!</v>
      </c>
    </row>
    <row r="53" spans="1:8" x14ac:dyDescent="0.25">
      <c r="A53" s="39" t="s">
        <v>143</v>
      </c>
      <c r="B53" s="36"/>
      <c r="C53" s="36"/>
      <c r="D53" s="36"/>
      <c r="E53" s="36"/>
      <c r="F53" s="36"/>
      <c r="G53" s="36"/>
      <c r="H53" s="37" t="e">
        <f t="shared" si="0"/>
        <v>#DIV/0!</v>
      </c>
    </row>
    <row r="54" spans="1:8" x14ac:dyDescent="0.25">
      <c r="A54" s="39" t="s">
        <v>144</v>
      </c>
      <c r="B54" s="36"/>
      <c r="C54" s="36"/>
      <c r="D54" s="36"/>
      <c r="E54" s="36"/>
      <c r="F54" s="36"/>
      <c r="G54" s="36"/>
      <c r="H54" s="37" t="e">
        <f t="shared" si="0"/>
        <v>#DIV/0!</v>
      </c>
    </row>
    <row r="55" spans="1:8" x14ac:dyDescent="0.25">
      <c r="A55" s="39" t="s">
        <v>132</v>
      </c>
      <c r="B55" s="36"/>
      <c r="C55" s="36"/>
      <c r="D55" s="36"/>
      <c r="E55" s="36"/>
      <c r="F55" s="36"/>
      <c r="G55" s="36"/>
      <c r="H55" s="37" t="e">
        <f t="shared" si="0"/>
        <v>#DIV/0!</v>
      </c>
    </row>
    <row r="56" spans="1:8" x14ac:dyDescent="0.25">
      <c r="A56" s="39" t="s">
        <v>133</v>
      </c>
      <c r="B56" s="36"/>
      <c r="C56" s="36"/>
      <c r="D56" s="36"/>
      <c r="E56" s="36"/>
      <c r="F56" s="36"/>
      <c r="G56" s="36"/>
      <c r="H56" s="37" t="e">
        <f t="shared" si="0"/>
        <v>#DIV/0!</v>
      </c>
    </row>
    <row r="57" spans="1:8" x14ac:dyDescent="0.25">
      <c r="A57" s="39" t="s">
        <v>134</v>
      </c>
      <c r="B57" s="36"/>
      <c r="C57" s="36"/>
      <c r="D57" s="36"/>
      <c r="E57" s="36"/>
      <c r="F57" s="36"/>
      <c r="G57" s="36"/>
      <c r="H57" s="37" t="e">
        <f t="shared" si="0"/>
        <v>#DIV/0!</v>
      </c>
    </row>
    <row r="58" spans="1:8" x14ac:dyDescent="0.25">
      <c r="A58" s="39" t="s">
        <v>135</v>
      </c>
      <c r="B58" s="36"/>
      <c r="C58" s="36"/>
      <c r="D58" s="36"/>
      <c r="E58" s="36"/>
      <c r="F58" s="36"/>
      <c r="G58" s="36"/>
      <c r="H58" s="37" t="e">
        <f t="shared" si="0"/>
        <v>#DIV/0!</v>
      </c>
    </row>
    <row r="59" spans="1:8" x14ac:dyDescent="0.25">
      <c r="A59" s="39" t="s">
        <v>136</v>
      </c>
      <c r="B59" s="36"/>
      <c r="C59" s="36"/>
      <c r="D59" s="36"/>
      <c r="E59" s="36"/>
      <c r="F59" s="36"/>
      <c r="G59" s="36"/>
      <c r="H59" s="37" t="e">
        <f t="shared" si="0"/>
        <v>#DIV/0!</v>
      </c>
    </row>
    <row r="60" spans="1:8" ht="15.75" thickBot="1" x14ac:dyDescent="0.3">
      <c r="A60" s="40" t="s">
        <v>137</v>
      </c>
      <c r="B60" s="38"/>
      <c r="C60" s="38"/>
      <c r="D60" s="38"/>
      <c r="E60" s="38"/>
      <c r="F60" s="38"/>
      <c r="G60" s="38"/>
      <c r="H60" s="37" t="e">
        <f t="shared" si="0"/>
        <v>#DIV/0!</v>
      </c>
    </row>
    <row r="62" spans="1:8" ht="20.25" hidden="1" x14ac:dyDescent="0.25">
      <c r="A62" s="1160" t="s">
        <v>145</v>
      </c>
      <c r="B62" s="1161"/>
      <c r="C62" s="1161"/>
      <c r="D62" s="1161"/>
      <c r="E62" s="1161"/>
      <c r="F62" s="1161"/>
      <c r="G62" s="1161"/>
      <c r="H62" s="1162"/>
    </row>
    <row r="63" spans="1:8" ht="25.5" hidden="1" x14ac:dyDescent="0.25">
      <c r="A63" s="32" t="s">
        <v>62</v>
      </c>
      <c r="B63" s="33" t="s">
        <v>125</v>
      </c>
      <c r="C63" s="33" t="s">
        <v>126</v>
      </c>
      <c r="D63" s="33" t="s">
        <v>127</v>
      </c>
      <c r="E63" s="33" t="s">
        <v>128</v>
      </c>
      <c r="F63" s="33" t="s">
        <v>129</v>
      </c>
      <c r="G63" s="33" t="s">
        <v>130</v>
      </c>
      <c r="H63" s="34" t="s">
        <v>131</v>
      </c>
    </row>
    <row r="64" spans="1:8" hidden="1" x14ac:dyDescent="0.25">
      <c r="A64" s="39" t="s">
        <v>139</v>
      </c>
      <c r="B64" s="36"/>
      <c r="C64" s="36"/>
      <c r="D64" s="36"/>
      <c r="E64" s="36"/>
      <c r="F64" s="36"/>
      <c r="G64" s="36"/>
      <c r="H64" s="37" t="e">
        <f>G64/E64</f>
        <v>#DIV/0!</v>
      </c>
    </row>
    <row r="65" spans="1:8" hidden="1" x14ac:dyDescent="0.25">
      <c r="A65" s="39" t="s">
        <v>140</v>
      </c>
      <c r="B65" s="36"/>
      <c r="C65" s="36"/>
      <c r="D65" s="36"/>
      <c r="E65" s="36"/>
      <c r="F65" s="36"/>
      <c r="G65" s="36"/>
      <c r="H65" s="37" t="e">
        <f t="shared" ref="H65:H75" si="1">G65/E65</f>
        <v>#DIV/0!</v>
      </c>
    </row>
    <row r="66" spans="1:8" hidden="1" x14ac:dyDescent="0.25">
      <c r="A66" s="39" t="s">
        <v>141</v>
      </c>
      <c r="B66" s="36"/>
      <c r="C66" s="36"/>
      <c r="D66" s="36"/>
      <c r="E66" s="36"/>
      <c r="F66" s="36"/>
      <c r="G66" s="36"/>
      <c r="H66" s="37" t="e">
        <f t="shared" si="1"/>
        <v>#DIV/0!</v>
      </c>
    </row>
    <row r="67" spans="1:8" hidden="1" x14ac:dyDescent="0.25">
      <c r="A67" s="39" t="s">
        <v>142</v>
      </c>
      <c r="B67" s="36"/>
      <c r="C67" s="36"/>
      <c r="D67" s="36"/>
      <c r="E67" s="36"/>
      <c r="F67" s="36"/>
      <c r="G67" s="36"/>
      <c r="H67" s="37" t="e">
        <f t="shared" si="1"/>
        <v>#DIV/0!</v>
      </c>
    </row>
    <row r="68" spans="1:8" hidden="1" x14ac:dyDescent="0.25">
      <c r="A68" s="39" t="s">
        <v>143</v>
      </c>
      <c r="B68" s="36"/>
      <c r="C68" s="36"/>
      <c r="D68" s="36"/>
      <c r="E68" s="36"/>
      <c r="F68" s="36"/>
      <c r="G68" s="36"/>
      <c r="H68" s="37" t="e">
        <f t="shared" si="1"/>
        <v>#DIV/0!</v>
      </c>
    </row>
    <row r="69" spans="1:8" hidden="1" x14ac:dyDescent="0.25">
      <c r="A69" s="39" t="s">
        <v>144</v>
      </c>
      <c r="B69" s="36"/>
      <c r="C69" s="36"/>
      <c r="D69" s="36"/>
      <c r="E69" s="36"/>
      <c r="F69" s="36"/>
      <c r="G69" s="36"/>
      <c r="H69" s="37" t="e">
        <f t="shared" si="1"/>
        <v>#DIV/0!</v>
      </c>
    </row>
    <row r="70" spans="1:8" hidden="1" x14ac:dyDescent="0.25">
      <c r="A70" s="39" t="s">
        <v>132</v>
      </c>
      <c r="B70" s="36"/>
      <c r="C70" s="36"/>
      <c r="D70" s="36"/>
      <c r="E70" s="36"/>
      <c r="F70" s="36"/>
      <c r="G70" s="36"/>
      <c r="H70" s="37" t="e">
        <f t="shared" si="1"/>
        <v>#DIV/0!</v>
      </c>
    </row>
    <row r="71" spans="1:8" hidden="1" x14ac:dyDescent="0.25">
      <c r="A71" s="39" t="s">
        <v>133</v>
      </c>
      <c r="B71" s="36"/>
      <c r="C71" s="36"/>
      <c r="D71" s="36"/>
      <c r="E71" s="36"/>
      <c r="F71" s="36"/>
      <c r="G71" s="36"/>
      <c r="H71" s="37" t="e">
        <f t="shared" si="1"/>
        <v>#DIV/0!</v>
      </c>
    </row>
    <row r="72" spans="1:8" hidden="1" x14ac:dyDescent="0.25">
      <c r="A72" s="39" t="s">
        <v>134</v>
      </c>
      <c r="B72" s="36"/>
      <c r="C72" s="36"/>
      <c r="D72" s="36"/>
      <c r="E72" s="36"/>
      <c r="F72" s="36"/>
      <c r="G72" s="36"/>
      <c r="H72" s="37" t="e">
        <f t="shared" si="1"/>
        <v>#DIV/0!</v>
      </c>
    </row>
    <row r="73" spans="1:8" hidden="1" x14ac:dyDescent="0.25">
      <c r="A73" s="39" t="s">
        <v>135</v>
      </c>
      <c r="B73" s="36"/>
      <c r="C73" s="36"/>
      <c r="D73" s="36"/>
      <c r="E73" s="36"/>
      <c r="F73" s="36"/>
      <c r="G73" s="36"/>
      <c r="H73" s="37" t="e">
        <f t="shared" si="1"/>
        <v>#DIV/0!</v>
      </c>
    </row>
    <row r="74" spans="1:8" hidden="1" x14ac:dyDescent="0.25">
      <c r="A74" s="39" t="s">
        <v>136</v>
      </c>
      <c r="B74" s="36"/>
      <c r="C74" s="36"/>
      <c r="D74" s="36"/>
      <c r="E74" s="36"/>
      <c r="F74" s="36"/>
      <c r="G74" s="36"/>
      <c r="H74" s="37" t="e">
        <f t="shared" si="1"/>
        <v>#DIV/0!</v>
      </c>
    </row>
    <row r="75" spans="1:8" ht="15.75" hidden="1" thickBot="1" x14ac:dyDescent="0.3">
      <c r="A75" s="40" t="s">
        <v>137</v>
      </c>
      <c r="B75" s="38"/>
      <c r="C75" s="38"/>
      <c r="D75" s="38"/>
      <c r="E75" s="38"/>
      <c r="F75" s="38"/>
      <c r="G75" s="38"/>
      <c r="H75" s="37" t="e">
        <f t="shared" si="1"/>
        <v>#DIV/0!</v>
      </c>
    </row>
    <row r="77" spans="1:8" ht="20.25" hidden="1" x14ac:dyDescent="0.25">
      <c r="A77" s="1160" t="s">
        <v>146</v>
      </c>
      <c r="B77" s="1161"/>
      <c r="C77" s="1161"/>
      <c r="D77" s="1161"/>
      <c r="E77" s="1161"/>
      <c r="F77" s="1161"/>
      <c r="G77" s="1161"/>
      <c r="H77" s="1162"/>
    </row>
    <row r="78" spans="1:8" ht="25.5" hidden="1" x14ac:dyDescent="0.25">
      <c r="A78" s="32" t="s">
        <v>63</v>
      </c>
      <c r="B78" s="33" t="s">
        <v>125</v>
      </c>
      <c r="C78" s="33" t="s">
        <v>126</v>
      </c>
      <c r="D78" s="33" t="s">
        <v>127</v>
      </c>
      <c r="E78" s="33" t="s">
        <v>128</v>
      </c>
      <c r="F78" s="33" t="s">
        <v>129</v>
      </c>
      <c r="G78" s="33" t="s">
        <v>130</v>
      </c>
      <c r="H78" s="34" t="s">
        <v>131</v>
      </c>
    </row>
    <row r="79" spans="1:8" hidden="1" x14ac:dyDescent="0.25">
      <c r="A79" s="39" t="s">
        <v>139</v>
      </c>
      <c r="B79" s="36"/>
      <c r="C79" s="36"/>
      <c r="D79" s="36"/>
      <c r="E79" s="36"/>
      <c r="F79" s="36"/>
      <c r="G79" s="36"/>
      <c r="H79" s="37" t="e">
        <f>G79/E79</f>
        <v>#DIV/0!</v>
      </c>
    </row>
    <row r="80" spans="1:8" hidden="1" x14ac:dyDescent="0.25">
      <c r="A80" s="39" t="s">
        <v>140</v>
      </c>
      <c r="B80" s="36"/>
      <c r="C80" s="36"/>
      <c r="D80" s="36"/>
      <c r="E80" s="36"/>
      <c r="F80" s="36"/>
      <c r="G80" s="36"/>
      <c r="H80" s="37" t="e">
        <f t="shared" ref="H80:H90" si="2">G80/E80</f>
        <v>#DIV/0!</v>
      </c>
    </row>
    <row r="81" spans="1:8" hidden="1" x14ac:dyDescent="0.25">
      <c r="A81" s="39" t="s">
        <v>141</v>
      </c>
      <c r="B81" s="36"/>
      <c r="C81" s="36"/>
      <c r="D81" s="36"/>
      <c r="E81" s="36"/>
      <c r="F81" s="36"/>
      <c r="G81" s="36"/>
      <c r="H81" s="37" t="e">
        <f t="shared" si="2"/>
        <v>#DIV/0!</v>
      </c>
    </row>
    <row r="82" spans="1:8" hidden="1" x14ac:dyDescent="0.25">
      <c r="A82" s="39" t="s">
        <v>142</v>
      </c>
      <c r="B82" s="36"/>
      <c r="C82" s="36"/>
      <c r="D82" s="36"/>
      <c r="E82" s="36"/>
      <c r="F82" s="36"/>
      <c r="G82" s="36"/>
      <c r="H82" s="37" t="e">
        <f t="shared" si="2"/>
        <v>#DIV/0!</v>
      </c>
    </row>
    <row r="83" spans="1:8" hidden="1" x14ac:dyDescent="0.25">
      <c r="A83" s="39" t="s">
        <v>143</v>
      </c>
      <c r="B83" s="36"/>
      <c r="C83" s="36"/>
      <c r="D83" s="36"/>
      <c r="E83" s="36"/>
      <c r="F83" s="36"/>
      <c r="G83" s="36"/>
      <c r="H83" s="37" t="e">
        <f t="shared" si="2"/>
        <v>#DIV/0!</v>
      </c>
    </row>
    <row r="84" spans="1:8" hidden="1" x14ac:dyDescent="0.25">
      <c r="A84" s="39" t="s">
        <v>144</v>
      </c>
      <c r="B84" s="36"/>
      <c r="C84" s="36"/>
      <c r="D84" s="36"/>
      <c r="E84" s="36"/>
      <c r="F84" s="36"/>
      <c r="G84" s="36"/>
      <c r="H84" s="37" t="e">
        <f t="shared" si="2"/>
        <v>#DIV/0!</v>
      </c>
    </row>
    <row r="85" spans="1:8" hidden="1" x14ac:dyDescent="0.25">
      <c r="A85" s="39" t="s">
        <v>132</v>
      </c>
      <c r="B85" s="36"/>
      <c r="C85" s="36"/>
      <c r="D85" s="36"/>
      <c r="E85" s="36"/>
      <c r="F85" s="36"/>
      <c r="G85" s="36"/>
      <c r="H85" s="37" t="e">
        <f t="shared" si="2"/>
        <v>#DIV/0!</v>
      </c>
    </row>
    <row r="86" spans="1:8" hidden="1" x14ac:dyDescent="0.25">
      <c r="A86" s="39" t="s">
        <v>133</v>
      </c>
      <c r="B86" s="36"/>
      <c r="C86" s="36"/>
      <c r="D86" s="36"/>
      <c r="E86" s="36"/>
      <c r="F86" s="36"/>
      <c r="G86" s="36"/>
      <c r="H86" s="37" t="e">
        <f t="shared" si="2"/>
        <v>#DIV/0!</v>
      </c>
    </row>
    <row r="87" spans="1:8" hidden="1" x14ac:dyDescent="0.25">
      <c r="A87" s="39" t="s">
        <v>134</v>
      </c>
      <c r="B87" s="36"/>
      <c r="C87" s="36"/>
      <c r="D87" s="36"/>
      <c r="E87" s="36"/>
      <c r="F87" s="36"/>
      <c r="G87" s="36"/>
      <c r="H87" s="37" t="e">
        <f t="shared" si="2"/>
        <v>#DIV/0!</v>
      </c>
    </row>
    <row r="88" spans="1:8" hidden="1" x14ac:dyDescent="0.25">
      <c r="A88" s="39" t="s">
        <v>135</v>
      </c>
      <c r="B88" s="36"/>
      <c r="C88" s="36"/>
      <c r="D88" s="36"/>
      <c r="E88" s="36"/>
      <c r="F88" s="36"/>
      <c r="G88" s="36"/>
      <c r="H88" s="37" t="e">
        <f t="shared" si="2"/>
        <v>#DIV/0!</v>
      </c>
    </row>
    <row r="89" spans="1:8" hidden="1" x14ac:dyDescent="0.25">
      <c r="A89" s="39" t="s">
        <v>136</v>
      </c>
      <c r="B89" s="36"/>
      <c r="C89" s="36"/>
      <c r="D89" s="36"/>
      <c r="E89" s="36"/>
      <c r="F89" s="36"/>
      <c r="G89" s="36"/>
      <c r="H89" s="37" t="e">
        <f t="shared" si="2"/>
        <v>#DIV/0!</v>
      </c>
    </row>
    <row r="90" spans="1:8" ht="15.75" hidden="1" thickBot="1" x14ac:dyDescent="0.3">
      <c r="A90" s="40" t="s">
        <v>137</v>
      </c>
      <c r="B90" s="38"/>
      <c r="C90" s="38"/>
      <c r="D90" s="38"/>
      <c r="E90" s="38"/>
      <c r="F90" s="38"/>
      <c r="G90" s="38"/>
      <c r="H90" s="37" t="e">
        <f t="shared" si="2"/>
        <v>#DIV/0!</v>
      </c>
    </row>
    <row r="91" spans="1:8" ht="15.75" hidden="1" thickBot="1" x14ac:dyDescent="0.3"/>
    <row r="92" spans="1:8" ht="20.25" hidden="1" x14ac:dyDescent="0.25">
      <c r="A92" s="1160" t="s">
        <v>147</v>
      </c>
      <c r="B92" s="1161"/>
      <c r="C92" s="1161"/>
      <c r="D92" s="1161"/>
      <c r="E92" s="1161"/>
      <c r="F92" s="1161"/>
      <c r="G92" s="1161"/>
      <c r="H92" s="1162"/>
    </row>
    <row r="93" spans="1:8" ht="25.5" hidden="1" x14ac:dyDescent="0.25">
      <c r="A93" s="32" t="s">
        <v>64</v>
      </c>
      <c r="B93" s="33" t="s">
        <v>125</v>
      </c>
      <c r="C93" s="33" t="s">
        <v>126</v>
      </c>
      <c r="D93" s="33" t="s">
        <v>127</v>
      </c>
      <c r="E93" s="33" t="s">
        <v>128</v>
      </c>
      <c r="F93" s="33" t="s">
        <v>129</v>
      </c>
      <c r="G93" s="33" t="s">
        <v>130</v>
      </c>
      <c r="H93" s="34" t="s">
        <v>131</v>
      </c>
    </row>
    <row r="94" spans="1:8" hidden="1" x14ac:dyDescent="0.25">
      <c r="A94" s="39" t="s">
        <v>139</v>
      </c>
      <c r="B94" s="36"/>
      <c r="C94" s="36"/>
      <c r="D94" s="36"/>
      <c r="E94" s="36"/>
      <c r="F94" s="36"/>
      <c r="G94" s="36"/>
      <c r="H94" s="37" t="e">
        <f>G94/E94</f>
        <v>#DIV/0!</v>
      </c>
    </row>
    <row r="95" spans="1:8" hidden="1" x14ac:dyDescent="0.25">
      <c r="A95" s="39" t="s">
        <v>140</v>
      </c>
      <c r="B95" s="36"/>
      <c r="C95" s="36"/>
      <c r="D95" s="36"/>
      <c r="E95" s="36"/>
      <c r="F95" s="36"/>
      <c r="G95" s="36"/>
      <c r="H95" s="37" t="e">
        <f t="shared" ref="H95:H105" si="3">G95/E95</f>
        <v>#DIV/0!</v>
      </c>
    </row>
    <row r="96" spans="1:8" hidden="1" x14ac:dyDescent="0.25">
      <c r="A96" s="39" t="s">
        <v>141</v>
      </c>
      <c r="B96" s="36"/>
      <c r="C96" s="36"/>
      <c r="D96" s="36"/>
      <c r="E96" s="36"/>
      <c r="F96" s="36"/>
      <c r="G96" s="36"/>
      <c r="H96" s="37" t="e">
        <f t="shared" si="3"/>
        <v>#DIV/0!</v>
      </c>
    </row>
    <row r="97" spans="1:17" hidden="1" x14ac:dyDescent="0.25">
      <c r="A97" s="39" t="s">
        <v>142</v>
      </c>
      <c r="B97" s="36"/>
      <c r="C97" s="36"/>
      <c r="D97" s="36"/>
      <c r="E97" s="36"/>
      <c r="F97" s="36"/>
      <c r="G97" s="36"/>
      <c r="H97" s="37" t="e">
        <f t="shared" si="3"/>
        <v>#DIV/0!</v>
      </c>
    </row>
    <row r="98" spans="1:17" hidden="1" x14ac:dyDescent="0.25">
      <c r="A98" s="39" t="s">
        <v>143</v>
      </c>
      <c r="B98" s="36"/>
      <c r="C98" s="36"/>
      <c r="D98" s="36"/>
      <c r="E98" s="36"/>
      <c r="F98" s="36"/>
      <c r="G98" s="36"/>
      <c r="H98" s="37" t="e">
        <f t="shared" si="3"/>
        <v>#DIV/0!</v>
      </c>
    </row>
    <row r="99" spans="1:17" hidden="1" x14ac:dyDescent="0.25">
      <c r="A99" s="39" t="s">
        <v>144</v>
      </c>
      <c r="B99" s="36"/>
      <c r="C99" s="36"/>
      <c r="D99" s="36"/>
      <c r="E99" s="36"/>
      <c r="F99" s="36"/>
      <c r="G99" s="36"/>
      <c r="H99" s="37" t="e">
        <f t="shared" si="3"/>
        <v>#DIV/0!</v>
      </c>
    </row>
    <row r="100" spans="1:17" hidden="1" x14ac:dyDescent="0.25">
      <c r="A100" s="39" t="s">
        <v>132</v>
      </c>
      <c r="B100" s="36"/>
      <c r="C100" s="36"/>
      <c r="D100" s="36"/>
      <c r="E100" s="36"/>
      <c r="F100" s="36"/>
      <c r="G100" s="36"/>
      <c r="H100" s="37" t="e">
        <f t="shared" si="3"/>
        <v>#DIV/0!</v>
      </c>
    </row>
    <row r="101" spans="1:17" hidden="1" x14ac:dyDescent="0.25">
      <c r="A101" s="39" t="s">
        <v>133</v>
      </c>
      <c r="B101" s="36"/>
      <c r="C101" s="36"/>
      <c r="D101" s="36"/>
      <c r="E101" s="36"/>
      <c r="F101" s="36"/>
      <c r="G101" s="36"/>
      <c r="H101" s="37" t="e">
        <f t="shared" si="3"/>
        <v>#DIV/0!</v>
      </c>
    </row>
    <row r="102" spans="1:17" hidden="1" x14ac:dyDescent="0.25">
      <c r="A102" s="39" t="s">
        <v>134</v>
      </c>
      <c r="B102" s="36"/>
      <c r="C102" s="36"/>
      <c r="D102" s="36"/>
      <c r="E102" s="36"/>
      <c r="F102" s="36"/>
      <c r="G102" s="36"/>
      <c r="H102" s="37" t="e">
        <f t="shared" si="3"/>
        <v>#DIV/0!</v>
      </c>
    </row>
    <row r="103" spans="1:17" hidden="1" x14ac:dyDescent="0.25">
      <c r="A103" s="39" t="s">
        <v>135</v>
      </c>
      <c r="B103" s="36"/>
      <c r="C103" s="36"/>
      <c r="D103" s="36"/>
      <c r="E103" s="36"/>
      <c r="F103" s="36"/>
      <c r="G103" s="36"/>
      <c r="H103" s="37" t="e">
        <f t="shared" si="3"/>
        <v>#DIV/0!</v>
      </c>
    </row>
    <row r="104" spans="1:17" hidden="1" x14ac:dyDescent="0.25">
      <c r="A104" s="39" t="s">
        <v>136</v>
      </c>
      <c r="B104" s="36"/>
      <c r="C104" s="36"/>
      <c r="D104" s="36"/>
      <c r="E104" s="36"/>
      <c r="F104" s="36"/>
      <c r="G104" s="36"/>
      <c r="H104" s="37" t="e">
        <f t="shared" si="3"/>
        <v>#DIV/0!</v>
      </c>
    </row>
    <row r="105" spans="1:17" ht="15.75" hidden="1" thickBot="1" x14ac:dyDescent="0.3">
      <c r="A105" s="40" t="s">
        <v>137</v>
      </c>
      <c r="B105" s="38"/>
      <c r="C105" s="38"/>
      <c r="D105" s="38"/>
      <c r="E105" s="38"/>
      <c r="F105" s="38"/>
      <c r="G105" s="38"/>
      <c r="H105" s="37" t="e">
        <f t="shared" si="3"/>
        <v>#DIV/0!</v>
      </c>
    </row>
    <row r="107" spans="1:17" ht="21" hidden="1" thickBot="1" x14ac:dyDescent="0.3">
      <c r="A107" s="1163" t="s">
        <v>148</v>
      </c>
      <c r="B107" s="1164"/>
      <c r="C107" s="1254"/>
      <c r="D107" s="1254"/>
      <c r="E107" s="1254"/>
      <c r="F107" s="1254"/>
      <c r="G107" s="1254"/>
      <c r="H107" s="1254"/>
      <c r="I107" s="1254"/>
      <c r="J107" s="1254"/>
      <c r="K107" s="1254"/>
      <c r="L107" s="1254"/>
      <c r="M107" s="1254"/>
      <c r="N107" s="1255"/>
    </row>
    <row r="108" spans="1:17" ht="38.25" hidden="1" x14ac:dyDescent="0.25">
      <c r="A108" s="32" t="s">
        <v>49</v>
      </c>
      <c r="B108" s="88" t="s">
        <v>149</v>
      </c>
      <c r="C108" s="87" t="s">
        <v>150</v>
      </c>
      <c r="D108" s="59" t="s">
        <v>151</v>
      </c>
      <c r="E108" s="59" t="s">
        <v>152</v>
      </c>
      <c r="F108" s="59" t="s">
        <v>153</v>
      </c>
      <c r="G108" s="59" t="s">
        <v>154</v>
      </c>
      <c r="H108" s="59" t="s">
        <v>155</v>
      </c>
      <c r="I108" s="59" t="s">
        <v>156</v>
      </c>
      <c r="J108" s="60" t="s">
        <v>157</v>
      </c>
      <c r="K108" s="59" t="s">
        <v>158</v>
      </c>
      <c r="L108" s="59" t="s">
        <v>159</v>
      </c>
      <c r="M108" s="59" t="s">
        <v>160</v>
      </c>
      <c r="N108" s="61" t="s">
        <v>161</v>
      </c>
      <c r="Q108" s="103">
        <f>J114-J113</f>
        <v>9.9999999999999978E-2</v>
      </c>
    </row>
    <row r="109" spans="1:17" hidden="1" x14ac:dyDescent="0.25">
      <c r="A109" s="35" t="s">
        <v>132</v>
      </c>
      <c r="B109" s="1248" t="s">
        <v>217</v>
      </c>
      <c r="C109" s="1251" t="s">
        <v>218</v>
      </c>
      <c r="D109" s="1256" t="s">
        <v>223</v>
      </c>
      <c r="E109" s="1242" t="s">
        <v>219</v>
      </c>
      <c r="F109" s="1247">
        <v>100</v>
      </c>
      <c r="G109" s="1247">
        <v>8</v>
      </c>
      <c r="H109" s="20">
        <v>1</v>
      </c>
      <c r="I109" s="36"/>
      <c r="J109" s="36">
        <f>I109/H109</f>
        <v>0</v>
      </c>
      <c r="K109" s="36"/>
      <c r="L109" s="36"/>
      <c r="M109" s="85" t="s">
        <v>71</v>
      </c>
      <c r="N109" s="37"/>
      <c r="O109" s="99">
        <f t="shared" ref="O109:O114" si="4">LEN(N109)</f>
        <v>0</v>
      </c>
    </row>
    <row r="110" spans="1:17" hidden="1" x14ac:dyDescent="0.25">
      <c r="A110" s="35" t="s">
        <v>133</v>
      </c>
      <c r="B110" s="1249"/>
      <c r="C110" s="1252"/>
      <c r="D110" s="1231"/>
      <c r="E110" s="1231"/>
      <c r="F110" s="1222"/>
      <c r="G110" s="1222"/>
      <c r="H110" s="20">
        <v>1</v>
      </c>
      <c r="I110" s="36"/>
      <c r="J110" s="36">
        <f>I110/H110</f>
        <v>0</v>
      </c>
      <c r="K110" s="36"/>
      <c r="L110" s="36"/>
      <c r="M110" s="85" t="s">
        <v>71</v>
      </c>
      <c r="N110" s="37"/>
      <c r="O110" s="99">
        <f t="shared" si="4"/>
        <v>0</v>
      </c>
    </row>
    <row r="111" spans="1:17" hidden="1" x14ac:dyDescent="0.25">
      <c r="A111" s="35" t="s">
        <v>134</v>
      </c>
      <c r="B111" s="1249"/>
      <c r="C111" s="1252"/>
      <c r="D111" s="1231"/>
      <c r="E111" s="1231"/>
      <c r="F111" s="1222"/>
      <c r="G111" s="1222"/>
      <c r="H111" s="20">
        <v>1</v>
      </c>
      <c r="I111" s="36"/>
      <c r="J111" s="36">
        <f>I111/H111</f>
        <v>0</v>
      </c>
      <c r="K111" s="36"/>
      <c r="L111" s="36"/>
      <c r="M111" s="85" t="s">
        <v>71</v>
      </c>
      <c r="N111" s="37"/>
      <c r="O111" s="99">
        <f t="shared" si="4"/>
        <v>0</v>
      </c>
    </row>
    <row r="112" spans="1:17" s="71" customFormat="1" hidden="1" x14ac:dyDescent="0.25">
      <c r="A112" s="72" t="s">
        <v>135</v>
      </c>
      <c r="B112" s="1249"/>
      <c r="C112" s="1252"/>
      <c r="D112" s="1231"/>
      <c r="E112" s="1231"/>
      <c r="F112" s="1222"/>
      <c r="G112" s="1222"/>
      <c r="H112" s="20">
        <v>1</v>
      </c>
      <c r="I112" s="94">
        <v>0.4</v>
      </c>
      <c r="J112" s="104">
        <f>I112/H112</f>
        <v>0.4</v>
      </c>
      <c r="K112" s="94"/>
      <c r="L112" s="94"/>
      <c r="M112" s="20" t="s">
        <v>71</v>
      </c>
      <c r="N112" s="129" t="s">
        <v>249</v>
      </c>
      <c r="O112" s="99">
        <f t="shared" si="4"/>
        <v>190</v>
      </c>
    </row>
    <row r="113" spans="1:15" hidden="1" x14ac:dyDescent="0.25">
      <c r="A113" s="35" t="s">
        <v>136</v>
      </c>
      <c r="B113" s="1249"/>
      <c r="C113" s="1252"/>
      <c r="D113" s="1231"/>
      <c r="E113" s="1231"/>
      <c r="F113" s="1222"/>
      <c r="G113" s="1222"/>
      <c r="H113" s="20">
        <v>1</v>
      </c>
      <c r="I113" s="36">
        <v>0.9</v>
      </c>
      <c r="J113" s="105">
        <f>+I113</f>
        <v>0.9</v>
      </c>
      <c r="K113" s="36"/>
      <c r="L113" s="36"/>
      <c r="M113" s="85" t="s">
        <v>71</v>
      </c>
      <c r="N113" s="37" t="s">
        <v>258</v>
      </c>
      <c r="O113" s="99">
        <f t="shared" si="4"/>
        <v>199</v>
      </c>
    </row>
    <row r="114" spans="1:15" ht="15.75" hidden="1" thickBot="1" x14ac:dyDescent="0.3">
      <c r="A114" s="106" t="s">
        <v>137</v>
      </c>
      <c r="B114" s="1250"/>
      <c r="C114" s="1253"/>
      <c r="D114" s="1232"/>
      <c r="E114" s="1232"/>
      <c r="F114" s="1223"/>
      <c r="G114" s="1223"/>
      <c r="H114" s="107">
        <v>1</v>
      </c>
      <c r="I114" s="108">
        <v>1</v>
      </c>
      <c r="J114" s="109">
        <v>1</v>
      </c>
      <c r="K114" s="108"/>
      <c r="L114" s="108"/>
      <c r="M114" s="110" t="s">
        <v>71</v>
      </c>
      <c r="N114" s="111" t="s">
        <v>259</v>
      </c>
      <c r="O114" s="99">
        <f t="shared" si="4"/>
        <v>193</v>
      </c>
    </row>
    <row r="115" spans="1:15" hidden="1" x14ac:dyDescent="0.25">
      <c r="A115" s="57"/>
      <c r="B115" s="100"/>
      <c r="C115" s="100"/>
      <c r="D115" s="100"/>
      <c r="E115" s="100"/>
      <c r="F115" s="3"/>
      <c r="G115" s="3"/>
      <c r="H115" s="3"/>
      <c r="O115" s="100"/>
    </row>
    <row r="116" spans="1:15" ht="15.75" hidden="1" thickBot="1" x14ac:dyDescent="0.3">
      <c r="A116" s="57"/>
      <c r="B116" s="100"/>
      <c r="C116" s="100"/>
      <c r="D116" s="100"/>
      <c r="E116" s="100"/>
      <c r="F116" s="3"/>
      <c r="G116" s="3"/>
      <c r="H116" s="3"/>
      <c r="O116" s="100"/>
    </row>
    <row r="117" spans="1:15" ht="38.25" hidden="1" x14ac:dyDescent="0.25">
      <c r="A117" s="58" t="s">
        <v>49</v>
      </c>
      <c r="B117" s="86" t="s">
        <v>149</v>
      </c>
      <c r="C117" s="87" t="s">
        <v>150</v>
      </c>
      <c r="D117" s="59" t="s">
        <v>151</v>
      </c>
      <c r="E117" s="59" t="s">
        <v>152</v>
      </c>
      <c r="F117" s="59" t="s">
        <v>153</v>
      </c>
      <c r="G117" s="59" t="s">
        <v>154</v>
      </c>
      <c r="H117" s="59" t="s">
        <v>155</v>
      </c>
      <c r="I117" s="59" t="s">
        <v>156</v>
      </c>
      <c r="J117" s="60" t="s">
        <v>157</v>
      </c>
      <c r="K117" s="59" t="s">
        <v>158</v>
      </c>
      <c r="L117" s="59" t="s">
        <v>159</v>
      </c>
      <c r="M117" s="59" t="s">
        <v>160</v>
      </c>
      <c r="N117" s="61" t="s">
        <v>161</v>
      </c>
      <c r="O117" s="100"/>
    </row>
    <row r="118" spans="1:15" hidden="1" x14ac:dyDescent="0.25">
      <c r="A118" s="35" t="s">
        <v>132</v>
      </c>
      <c r="B118" s="1248" t="s">
        <v>220</v>
      </c>
      <c r="C118" s="1251" t="s">
        <v>221</v>
      </c>
      <c r="D118" s="1242" t="s">
        <v>222</v>
      </c>
      <c r="E118" s="1242" t="s">
        <v>224</v>
      </c>
      <c r="F118" s="1247">
        <v>100</v>
      </c>
      <c r="G118" s="1247">
        <v>370</v>
      </c>
      <c r="H118" s="20">
        <v>5</v>
      </c>
      <c r="I118" s="36"/>
      <c r="J118" s="36">
        <f t="shared" ref="J118:J123" si="5">I118/H118</f>
        <v>0</v>
      </c>
      <c r="K118" s="36"/>
      <c r="L118" s="36"/>
      <c r="M118" s="85" t="s">
        <v>71</v>
      </c>
      <c r="N118" s="37"/>
      <c r="O118" s="99">
        <f t="shared" ref="O118:O123" si="6">LEN(N118)</f>
        <v>0</v>
      </c>
    </row>
    <row r="119" spans="1:15" hidden="1" x14ac:dyDescent="0.25">
      <c r="A119" s="35" t="s">
        <v>133</v>
      </c>
      <c r="B119" s="1249"/>
      <c r="C119" s="1252"/>
      <c r="D119" s="1231"/>
      <c r="E119" s="1231"/>
      <c r="F119" s="1222"/>
      <c r="G119" s="1222"/>
      <c r="H119" s="20">
        <v>5</v>
      </c>
      <c r="I119" s="36"/>
      <c r="J119" s="36">
        <f t="shared" si="5"/>
        <v>0</v>
      </c>
      <c r="K119" s="36"/>
      <c r="L119" s="36"/>
      <c r="M119" s="85" t="s">
        <v>71</v>
      </c>
      <c r="N119" s="37"/>
      <c r="O119" s="99">
        <f t="shared" si="6"/>
        <v>0</v>
      </c>
    </row>
    <row r="120" spans="1:15" hidden="1" x14ac:dyDescent="0.25">
      <c r="A120" s="35" t="s">
        <v>134</v>
      </c>
      <c r="B120" s="1249"/>
      <c r="C120" s="1252"/>
      <c r="D120" s="1231"/>
      <c r="E120" s="1231"/>
      <c r="F120" s="1222"/>
      <c r="G120" s="1222"/>
      <c r="H120" s="20">
        <v>5</v>
      </c>
      <c r="I120" s="36"/>
      <c r="J120" s="36">
        <f t="shared" si="5"/>
        <v>0</v>
      </c>
      <c r="K120" s="36"/>
      <c r="L120" s="36"/>
      <c r="M120" s="85" t="s">
        <v>71</v>
      </c>
      <c r="N120" s="37"/>
      <c r="O120" s="99">
        <f t="shared" si="6"/>
        <v>0</v>
      </c>
    </row>
    <row r="121" spans="1:15" s="71" customFormat="1" hidden="1" x14ac:dyDescent="0.25">
      <c r="A121" s="72" t="s">
        <v>135</v>
      </c>
      <c r="B121" s="1249"/>
      <c r="C121" s="1252"/>
      <c r="D121" s="1231"/>
      <c r="E121" s="1231"/>
      <c r="F121" s="1222"/>
      <c r="G121" s="1222"/>
      <c r="H121" s="20">
        <v>5</v>
      </c>
      <c r="I121" s="94">
        <v>1.54</v>
      </c>
      <c r="J121" s="104">
        <f t="shared" si="5"/>
        <v>0.308</v>
      </c>
      <c r="K121" s="94"/>
      <c r="L121" s="94"/>
      <c r="M121" s="20" t="s">
        <v>71</v>
      </c>
      <c r="N121" s="129" t="s">
        <v>244</v>
      </c>
      <c r="O121" s="130">
        <f t="shared" si="6"/>
        <v>200</v>
      </c>
    </row>
    <row r="122" spans="1:15" hidden="1" x14ac:dyDescent="0.25">
      <c r="A122" s="35" t="s">
        <v>136</v>
      </c>
      <c r="B122" s="1249"/>
      <c r="C122" s="1252"/>
      <c r="D122" s="1231"/>
      <c r="E122" s="1231"/>
      <c r="F122" s="1222"/>
      <c r="G122" s="1222"/>
      <c r="H122" s="20">
        <v>5</v>
      </c>
      <c r="I122" s="36">
        <v>2.54</v>
      </c>
      <c r="J122" s="112">
        <f t="shared" si="5"/>
        <v>0.50800000000000001</v>
      </c>
      <c r="K122" s="36"/>
      <c r="L122" s="36"/>
      <c r="M122" s="85" t="s">
        <v>71</v>
      </c>
      <c r="N122" s="37" t="s">
        <v>251</v>
      </c>
      <c r="O122" s="99">
        <f t="shared" si="6"/>
        <v>121</v>
      </c>
    </row>
    <row r="123" spans="1:15" ht="15.75" hidden="1" thickBot="1" x14ac:dyDescent="0.3">
      <c r="A123" s="106" t="s">
        <v>137</v>
      </c>
      <c r="B123" s="1250"/>
      <c r="C123" s="1253"/>
      <c r="D123" s="1232"/>
      <c r="E123" s="1232"/>
      <c r="F123" s="1223"/>
      <c r="G123" s="1223"/>
      <c r="H123" s="107">
        <v>5</v>
      </c>
      <c r="I123" s="108">
        <v>5.29</v>
      </c>
      <c r="J123" s="113">
        <f t="shared" si="5"/>
        <v>1.0580000000000001</v>
      </c>
      <c r="K123" s="108"/>
      <c r="L123" s="108"/>
      <c r="M123" s="110" t="s">
        <v>71</v>
      </c>
      <c r="N123" s="111" t="s">
        <v>260</v>
      </c>
      <c r="O123" s="99">
        <f t="shared" si="6"/>
        <v>121</v>
      </c>
    </row>
    <row r="124" spans="1:15" hidden="1" x14ac:dyDescent="0.25">
      <c r="A124" s="57"/>
      <c r="B124" s="100"/>
      <c r="C124" s="100"/>
      <c r="D124" s="100"/>
      <c r="E124" s="100"/>
      <c r="F124" s="3"/>
      <c r="G124" s="3"/>
      <c r="H124" s="3"/>
      <c r="O124" s="100"/>
    </row>
    <row r="125" spans="1:15" ht="15.75" hidden="1" thickBot="1" x14ac:dyDescent="0.3">
      <c r="A125" s="57"/>
      <c r="B125" s="100"/>
      <c r="C125" s="100"/>
      <c r="D125" s="100"/>
      <c r="E125" s="100"/>
      <c r="F125" s="3"/>
      <c r="G125" s="3"/>
      <c r="H125" s="3"/>
      <c r="O125" s="100"/>
    </row>
    <row r="126" spans="1:15" ht="38.25" hidden="1" x14ac:dyDescent="0.25">
      <c r="A126" s="58" t="s">
        <v>49</v>
      </c>
      <c r="B126" s="86" t="s">
        <v>149</v>
      </c>
      <c r="C126" s="87" t="s">
        <v>150</v>
      </c>
      <c r="D126" s="59" t="s">
        <v>151</v>
      </c>
      <c r="E126" s="59" t="s">
        <v>152</v>
      </c>
      <c r="F126" s="59" t="s">
        <v>153</v>
      </c>
      <c r="G126" s="59" t="s">
        <v>154</v>
      </c>
      <c r="H126" s="59" t="s">
        <v>155</v>
      </c>
      <c r="I126" s="59" t="s">
        <v>156</v>
      </c>
      <c r="J126" s="60" t="s">
        <v>157</v>
      </c>
      <c r="K126" s="59" t="s">
        <v>158</v>
      </c>
      <c r="L126" s="59" t="s">
        <v>159</v>
      </c>
      <c r="M126" s="59" t="s">
        <v>160</v>
      </c>
      <c r="N126" s="61" t="s">
        <v>161</v>
      </c>
      <c r="O126" s="100"/>
    </row>
    <row r="127" spans="1:15" hidden="1" x14ac:dyDescent="0.25">
      <c r="A127" s="35" t="s">
        <v>132</v>
      </c>
      <c r="B127" s="1248" t="s">
        <v>220</v>
      </c>
      <c r="C127" s="1251" t="s">
        <v>221</v>
      </c>
      <c r="D127" s="1242" t="s">
        <v>225</v>
      </c>
      <c r="E127" s="1242" t="s">
        <v>224</v>
      </c>
      <c r="F127" s="1247">
        <v>100</v>
      </c>
      <c r="G127" s="1247">
        <v>590</v>
      </c>
      <c r="H127" s="20">
        <v>54</v>
      </c>
      <c r="I127" s="36"/>
      <c r="J127" s="36">
        <f t="shared" ref="J127:J132" si="7">I127/H127</f>
        <v>0</v>
      </c>
      <c r="K127" s="36"/>
      <c r="L127" s="36"/>
      <c r="M127" s="85" t="s">
        <v>71</v>
      </c>
      <c r="N127" s="37"/>
      <c r="O127" s="99">
        <f t="shared" ref="O127:O132" si="8">LEN(N127)</f>
        <v>0</v>
      </c>
    </row>
    <row r="128" spans="1:15" hidden="1" x14ac:dyDescent="0.25">
      <c r="A128" s="35" t="s">
        <v>133</v>
      </c>
      <c r="B128" s="1249"/>
      <c r="C128" s="1252"/>
      <c r="D128" s="1231"/>
      <c r="E128" s="1231"/>
      <c r="F128" s="1222"/>
      <c r="G128" s="1222"/>
      <c r="H128" s="20">
        <v>54</v>
      </c>
      <c r="I128" s="36"/>
      <c r="J128" s="36">
        <f t="shared" si="7"/>
        <v>0</v>
      </c>
      <c r="K128" s="36"/>
      <c r="L128" s="36"/>
      <c r="M128" s="85" t="s">
        <v>71</v>
      </c>
      <c r="N128" s="37"/>
      <c r="O128" s="99">
        <f t="shared" si="8"/>
        <v>0</v>
      </c>
    </row>
    <row r="129" spans="1:15" hidden="1" x14ac:dyDescent="0.25">
      <c r="A129" s="35" t="s">
        <v>134</v>
      </c>
      <c r="B129" s="1249"/>
      <c r="C129" s="1252"/>
      <c r="D129" s="1231"/>
      <c r="E129" s="1231"/>
      <c r="F129" s="1222"/>
      <c r="G129" s="1222"/>
      <c r="H129" s="20">
        <v>54</v>
      </c>
      <c r="I129" s="36"/>
      <c r="J129" s="36">
        <f t="shared" si="7"/>
        <v>0</v>
      </c>
      <c r="K129" s="36"/>
      <c r="L129" s="36"/>
      <c r="M129" s="85" t="s">
        <v>71</v>
      </c>
      <c r="N129" s="37"/>
      <c r="O129" s="99">
        <f t="shared" si="8"/>
        <v>0</v>
      </c>
    </row>
    <row r="130" spans="1:15" s="71" customFormat="1" hidden="1" x14ac:dyDescent="0.25">
      <c r="A130" s="72" t="s">
        <v>135</v>
      </c>
      <c r="B130" s="1249"/>
      <c r="C130" s="1252"/>
      <c r="D130" s="1231"/>
      <c r="E130" s="1231"/>
      <c r="F130" s="1222"/>
      <c r="G130" s="1222"/>
      <c r="H130" s="20">
        <v>54</v>
      </c>
      <c r="I130" s="94">
        <v>4.24</v>
      </c>
      <c r="J130" s="104">
        <f t="shared" si="7"/>
        <v>7.8518518518518529E-2</v>
      </c>
      <c r="K130" s="94"/>
      <c r="L130" s="94"/>
      <c r="M130" s="20" t="s">
        <v>71</v>
      </c>
      <c r="N130" s="129" t="s">
        <v>248</v>
      </c>
      <c r="O130" s="130">
        <f t="shared" si="8"/>
        <v>170</v>
      </c>
    </row>
    <row r="131" spans="1:15" hidden="1" x14ac:dyDescent="0.25">
      <c r="A131" s="35" t="s">
        <v>136</v>
      </c>
      <c r="B131" s="1249"/>
      <c r="C131" s="1252"/>
      <c r="D131" s="1231"/>
      <c r="E131" s="1231"/>
      <c r="F131" s="1222"/>
      <c r="G131" s="1222"/>
      <c r="H131" s="20">
        <v>54</v>
      </c>
      <c r="I131" s="36">
        <v>4.8099999999999996</v>
      </c>
      <c r="J131" s="114">
        <f t="shared" si="7"/>
        <v>8.9074074074074069E-2</v>
      </c>
      <c r="K131" s="36"/>
      <c r="L131" s="36"/>
      <c r="M131" s="85" t="s">
        <v>71</v>
      </c>
      <c r="N131" s="37" t="s">
        <v>252</v>
      </c>
      <c r="O131" s="99">
        <f t="shared" si="8"/>
        <v>200</v>
      </c>
    </row>
    <row r="132" spans="1:15" ht="15.75" hidden="1" thickBot="1" x14ac:dyDescent="0.3">
      <c r="A132" s="106" t="s">
        <v>137</v>
      </c>
      <c r="B132" s="1250"/>
      <c r="C132" s="1253"/>
      <c r="D132" s="1232"/>
      <c r="E132" s="1232"/>
      <c r="F132" s="1223"/>
      <c r="G132" s="1223"/>
      <c r="H132" s="107">
        <v>54</v>
      </c>
      <c r="I132" s="108">
        <v>5.24</v>
      </c>
      <c r="J132" s="113">
        <f t="shared" si="7"/>
        <v>9.7037037037037047E-2</v>
      </c>
      <c r="K132" s="108"/>
      <c r="L132" s="108"/>
      <c r="M132" s="110" t="s">
        <v>71</v>
      </c>
      <c r="N132" s="111" t="s">
        <v>261</v>
      </c>
      <c r="O132" s="99">
        <f t="shared" si="8"/>
        <v>198</v>
      </c>
    </row>
    <row r="133" spans="1:15" hidden="1" x14ac:dyDescent="0.25">
      <c r="A133" s="57"/>
      <c r="B133" s="100"/>
      <c r="C133" s="100"/>
      <c r="D133" s="100"/>
      <c r="E133" s="100"/>
      <c r="F133" s="3"/>
      <c r="G133" s="3"/>
      <c r="H133" s="3"/>
      <c r="O133" s="100"/>
    </row>
    <row r="134" spans="1:15" ht="15.75" hidden="1" thickBot="1" x14ac:dyDescent="0.3">
      <c r="A134" s="57"/>
      <c r="B134" s="100"/>
      <c r="C134" s="100"/>
      <c r="D134" s="100"/>
      <c r="E134" s="100"/>
      <c r="F134" s="3"/>
      <c r="G134" s="3"/>
      <c r="H134" s="3"/>
      <c r="O134" s="100"/>
    </row>
    <row r="135" spans="1:15" ht="38.25" hidden="1" x14ac:dyDescent="0.25">
      <c r="A135" s="58" t="s">
        <v>49</v>
      </c>
      <c r="B135" s="59" t="s">
        <v>149</v>
      </c>
      <c r="C135" s="59" t="s">
        <v>150</v>
      </c>
      <c r="D135" s="59" t="s">
        <v>151</v>
      </c>
      <c r="E135" s="59" t="s">
        <v>152</v>
      </c>
      <c r="F135" s="59" t="s">
        <v>153</v>
      </c>
      <c r="G135" s="59" t="s">
        <v>154</v>
      </c>
      <c r="H135" s="59" t="s">
        <v>155</v>
      </c>
      <c r="I135" s="59" t="s">
        <v>156</v>
      </c>
      <c r="J135" s="60" t="s">
        <v>157</v>
      </c>
      <c r="K135" s="59" t="s">
        <v>158</v>
      </c>
      <c r="L135" s="59" t="s">
        <v>159</v>
      </c>
      <c r="M135" s="59" t="s">
        <v>160</v>
      </c>
      <c r="N135" s="61" t="s">
        <v>161</v>
      </c>
      <c r="O135" s="100"/>
    </row>
    <row r="136" spans="1:15" hidden="1" x14ac:dyDescent="0.25">
      <c r="A136" s="35" t="s">
        <v>132</v>
      </c>
      <c r="B136" s="1242" t="s">
        <v>226</v>
      </c>
      <c r="C136" s="1242" t="s">
        <v>227</v>
      </c>
      <c r="D136" s="1242" t="s">
        <v>228</v>
      </c>
      <c r="E136" s="1247" t="s">
        <v>219</v>
      </c>
      <c r="F136" s="1247">
        <v>100</v>
      </c>
      <c r="G136" s="1247">
        <v>4</v>
      </c>
      <c r="H136" s="95">
        <v>0.27</v>
      </c>
      <c r="I136" s="36"/>
      <c r="J136" s="36">
        <f t="shared" ref="J136:J141" si="9">I136/H136</f>
        <v>0</v>
      </c>
      <c r="K136" s="36"/>
      <c r="L136" s="36"/>
      <c r="M136" s="85" t="s">
        <v>71</v>
      </c>
      <c r="N136" s="37"/>
      <c r="O136" s="99">
        <f t="shared" ref="O136:O141" si="10">LEN(N136)</f>
        <v>0</v>
      </c>
    </row>
    <row r="137" spans="1:15" hidden="1" x14ac:dyDescent="0.25">
      <c r="A137" s="35" t="s">
        <v>133</v>
      </c>
      <c r="B137" s="1231"/>
      <c r="C137" s="1231"/>
      <c r="D137" s="1231"/>
      <c r="E137" s="1222"/>
      <c r="F137" s="1222"/>
      <c r="G137" s="1222"/>
      <c r="H137" s="95">
        <v>0.27</v>
      </c>
      <c r="I137" s="36"/>
      <c r="J137" s="36">
        <f t="shared" si="9"/>
        <v>0</v>
      </c>
      <c r="K137" s="36"/>
      <c r="L137" s="36"/>
      <c r="M137" s="85" t="s">
        <v>71</v>
      </c>
      <c r="N137" s="37"/>
      <c r="O137" s="99">
        <f t="shared" si="10"/>
        <v>0</v>
      </c>
    </row>
    <row r="138" spans="1:15" hidden="1" x14ac:dyDescent="0.25">
      <c r="A138" s="35" t="s">
        <v>134</v>
      </c>
      <c r="B138" s="1231"/>
      <c r="C138" s="1231"/>
      <c r="D138" s="1231"/>
      <c r="E138" s="1222"/>
      <c r="F138" s="1222"/>
      <c r="G138" s="1222"/>
      <c r="H138" s="95">
        <v>0.27</v>
      </c>
      <c r="I138" s="36"/>
      <c r="J138" s="36">
        <f t="shared" si="9"/>
        <v>0</v>
      </c>
      <c r="K138" s="36"/>
      <c r="L138" s="36"/>
      <c r="M138" s="85" t="s">
        <v>71</v>
      </c>
      <c r="N138" s="37"/>
      <c r="O138" s="99">
        <f t="shared" si="10"/>
        <v>0</v>
      </c>
    </row>
    <row r="139" spans="1:15" s="71" customFormat="1" hidden="1" x14ac:dyDescent="0.25">
      <c r="A139" s="72" t="s">
        <v>135</v>
      </c>
      <c r="B139" s="1231"/>
      <c r="C139" s="1231"/>
      <c r="D139" s="1231"/>
      <c r="E139" s="1222"/>
      <c r="F139" s="1222"/>
      <c r="G139" s="1222"/>
      <c r="H139" s="95">
        <v>0.27</v>
      </c>
      <c r="I139" s="94">
        <v>0.14000000000000001</v>
      </c>
      <c r="J139" s="104">
        <f t="shared" si="9"/>
        <v>0.51851851851851849</v>
      </c>
      <c r="K139" s="94"/>
      <c r="L139" s="94"/>
      <c r="M139" s="20" t="s">
        <v>71</v>
      </c>
      <c r="N139" s="129" t="s">
        <v>250</v>
      </c>
      <c r="O139" s="130">
        <f t="shared" si="10"/>
        <v>194</v>
      </c>
    </row>
    <row r="140" spans="1:15" hidden="1" x14ac:dyDescent="0.25">
      <c r="A140" s="35" t="s">
        <v>136</v>
      </c>
      <c r="B140" s="1231"/>
      <c r="C140" s="1231"/>
      <c r="D140" s="1231"/>
      <c r="E140" s="1222"/>
      <c r="F140" s="1222"/>
      <c r="G140" s="1222"/>
      <c r="H140" s="95">
        <v>0.27</v>
      </c>
      <c r="I140" s="115">
        <v>0.2</v>
      </c>
      <c r="J140" s="112">
        <f t="shared" si="9"/>
        <v>0.7407407407407407</v>
      </c>
      <c r="K140" s="36"/>
      <c r="L140" s="36"/>
      <c r="M140" s="85" t="s">
        <v>71</v>
      </c>
      <c r="N140" s="37" t="s">
        <v>253</v>
      </c>
      <c r="O140" s="99">
        <f t="shared" si="10"/>
        <v>154</v>
      </c>
    </row>
    <row r="141" spans="1:15" ht="15.75" hidden="1" thickBot="1" x14ac:dyDescent="0.3">
      <c r="A141" s="106" t="s">
        <v>137</v>
      </c>
      <c r="B141" s="1232"/>
      <c r="C141" s="1232"/>
      <c r="D141" s="1232"/>
      <c r="E141" s="1223"/>
      <c r="F141" s="1223"/>
      <c r="G141" s="1223"/>
      <c r="H141" s="107">
        <v>0.27</v>
      </c>
      <c r="I141" s="108">
        <v>0.26</v>
      </c>
      <c r="J141" s="113">
        <f t="shared" si="9"/>
        <v>0.96296296296296291</v>
      </c>
      <c r="K141" s="108"/>
      <c r="L141" s="108"/>
      <c r="M141" s="110" t="s">
        <v>71</v>
      </c>
      <c r="N141" s="111" t="s">
        <v>262</v>
      </c>
      <c r="O141" s="99">
        <f t="shared" si="10"/>
        <v>149</v>
      </c>
    </row>
    <row r="142" spans="1:15" x14ac:dyDescent="0.25">
      <c r="A142" s="57"/>
      <c r="B142" s="100"/>
      <c r="C142" s="100"/>
      <c r="D142" s="100"/>
      <c r="E142" s="3"/>
      <c r="F142" s="3"/>
      <c r="G142" s="3"/>
      <c r="H142" s="3"/>
      <c r="J142" s="131"/>
      <c r="M142" s="15"/>
      <c r="O142" s="100"/>
    </row>
    <row r="143" spans="1:15" ht="15.75" thickBot="1" x14ac:dyDescent="0.3">
      <c r="A143" s="57"/>
      <c r="B143" s="100"/>
      <c r="C143" s="100"/>
      <c r="D143" s="100"/>
      <c r="E143" s="3"/>
      <c r="F143" s="3"/>
      <c r="G143" s="3"/>
      <c r="H143" s="3"/>
      <c r="J143" s="131"/>
      <c r="M143" s="15"/>
      <c r="O143" s="100"/>
    </row>
    <row r="144" spans="1:15" ht="21" thickBot="1" x14ac:dyDescent="0.3">
      <c r="A144" s="1163" t="s">
        <v>269</v>
      </c>
      <c r="B144" s="1164"/>
      <c r="C144" s="1254"/>
      <c r="D144" s="1254"/>
      <c r="E144" s="1254"/>
      <c r="F144" s="1254"/>
      <c r="G144" s="1254"/>
      <c r="H144" s="1254"/>
      <c r="I144" s="1254"/>
      <c r="J144" s="1254"/>
      <c r="K144" s="1254"/>
      <c r="L144" s="1254"/>
      <c r="M144" s="1254"/>
      <c r="N144" s="1255"/>
    </row>
    <row r="145" spans="1:17" ht="38.25" x14ac:dyDescent="0.25">
      <c r="A145" s="32" t="s">
        <v>50</v>
      </c>
      <c r="B145" s="88" t="s">
        <v>149</v>
      </c>
      <c r="C145" s="87" t="s">
        <v>150</v>
      </c>
      <c r="D145" s="59" t="s">
        <v>151</v>
      </c>
      <c r="E145" s="59" t="s">
        <v>152</v>
      </c>
      <c r="F145" s="59" t="s">
        <v>162</v>
      </c>
      <c r="G145" s="59" t="s">
        <v>154</v>
      </c>
      <c r="H145" s="59" t="s">
        <v>163</v>
      </c>
      <c r="I145" s="59" t="s">
        <v>164</v>
      </c>
      <c r="J145" s="60" t="s">
        <v>165</v>
      </c>
      <c r="K145" s="59" t="s">
        <v>158</v>
      </c>
      <c r="L145" s="59" t="s">
        <v>159</v>
      </c>
      <c r="M145" s="59" t="s">
        <v>160</v>
      </c>
      <c r="N145" s="61" t="s">
        <v>161</v>
      </c>
      <c r="Q145" s="103">
        <f>J157-J156</f>
        <v>0</v>
      </c>
    </row>
    <row r="146" spans="1:17" x14ac:dyDescent="0.25">
      <c r="A146" s="155" t="s">
        <v>139</v>
      </c>
      <c r="B146" s="1248" t="s">
        <v>217</v>
      </c>
      <c r="C146" s="1251" t="s">
        <v>218</v>
      </c>
      <c r="D146" s="1256" t="s">
        <v>223</v>
      </c>
      <c r="E146" s="1242" t="s">
        <v>219</v>
      </c>
      <c r="F146" s="1247">
        <v>100</v>
      </c>
      <c r="G146" s="1247">
        <v>8</v>
      </c>
      <c r="H146" s="174">
        <v>2</v>
      </c>
      <c r="I146" s="158">
        <v>0</v>
      </c>
      <c r="J146" s="175">
        <f>I146/H146</f>
        <v>0</v>
      </c>
      <c r="K146" s="158"/>
      <c r="L146" s="158"/>
      <c r="M146" s="176" t="s">
        <v>71</v>
      </c>
      <c r="N146" s="159"/>
      <c r="O146" s="99">
        <f t="shared" ref="O146:O157" si="11">LEN(N146)</f>
        <v>0</v>
      </c>
    </row>
    <row r="147" spans="1:17" x14ac:dyDescent="0.25">
      <c r="A147" s="35" t="s">
        <v>140</v>
      </c>
      <c r="B147" s="1249"/>
      <c r="C147" s="1252"/>
      <c r="D147" s="1294"/>
      <c r="E147" s="1231"/>
      <c r="F147" s="1222"/>
      <c r="G147" s="1222"/>
      <c r="H147" s="20">
        <v>2</v>
      </c>
      <c r="I147" s="36"/>
      <c r="J147" s="153">
        <f t="shared" ref="J147:J157" si="12">I147/H147</f>
        <v>0</v>
      </c>
      <c r="K147" s="36"/>
      <c r="L147" s="36"/>
      <c r="M147" s="85" t="s">
        <v>71</v>
      </c>
      <c r="N147" s="37"/>
      <c r="O147" s="99">
        <f t="shared" si="11"/>
        <v>0</v>
      </c>
    </row>
    <row r="148" spans="1:17" x14ac:dyDescent="0.25">
      <c r="A148" s="35" t="s">
        <v>141</v>
      </c>
      <c r="B148" s="1249"/>
      <c r="C148" s="1252"/>
      <c r="D148" s="1294"/>
      <c r="E148" s="1231"/>
      <c r="F148" s="1222"/>
      <c r="G148" s="1222"/>
      <c r="H148" s="20">
        <v>2</v>
      </c>
      <c r="I148" s="36"/>
      <c r="J148" s="153">
        <f t="shared" si="12"/>
        <v>0</v>
      </c>
      <c r="K148" s="36"/>
      <c r="L148" s="36"/>
      <c r="M148" s="85" t="s">
        <v>71</v>
      </c>
      <c r="N148" s="37"/>
      <c r="O148" s="99">
        <f t="shared" si="11"/>
        <v>0</v>
      </c>
    </row>
    <row r="149" spans="1:17" x14ac:dyDescent="0.25">
      <c r="A149" s="35" t="s">
        <v>142</v>
      </c>
      <c r="B149" s="1249"/>
      <c r="C149" s="1252"/>
      <c r="D149" s="1294"/>
      <c r="E149" s="1231"/>
      <c r="F149" s="1222"/>
      <c r="G149" s="1222"/>
      <c r="H149" s="20">
        <v>2</v>
      </c>
      <c r="I149" s="36"/>
      <c r="J149" s="153">
        <f t="shared" si="12"/>
        <v>0</v>
      </c>
      <c r="K149" s="36"/>
      <c r="L149" s="36"/>
      <c r="M149" s="85" t="s">
        <v>71</v>
      </c>
      <c r="N149" s="37"/>
      <c r="O149" s="99">
        <f t="shared" si="11"/>
        <v>0</v>
      </c>
    </row>
    <row r="150" spans="1:17" x14ac:dyDescent="0.25">
      <c r="A150" s="35" t="s">
        <v>143</v>
      </c>
      <c r="B150" s="1249"/>
      <c r="C150" s="1252"/>
      <c r="D150" s="1294"/>
      <c r="E150" s="1231"/>
      <c r="F150" s="1222"/>
      <c r="G150" s="1222"/>
      <c r="H150" s="20">
        <v>2</v>
      </c>
      <c r="I150" s="36"/>
      <c r="J150" s="153">
        <f t="shared" si="12"/>
        <v>0</v>
      </c>
      <c r="K150" s="36"/>
      <c r="L150" s="36"/>
      <c r="M150" s="85" t="s">
        <v>71</v>
      </c>
      <c r="N150" s="37"/>
      <c r="O150" s="99">
        <f t="shared" si="11"/>
        <v>0</v>
      </c>
    </row>
    <row r="151" spans="1:17" x14ac:dyDescent="0.25">
      <c r="A151" s="35" t="s">
        <v>144</v>
      </c>
      <c r="B151" s="1249"/>
      <c r="C151" s="1252"/>
      <c r="D151" s="1294"/>
      <c r="E151" s="1231"/>
      <c r="F151" s="1222"/>
      <c r="G151" s="1222"/>
      <c r="H151" s="20">
        <v>2</v>
      </c>
      <c r="I151" s="36"/>
      <c r="J151" s="153">
        <f t="shared" si="12"/>
        <v>0</v>
      </c>
      <c r="K151" s="36"/>
      <c r="L151" s="36"/>
      <c r="M151" s="85" t="s">
        <v>71</v>
      </c>
      <c r="N151" s="37"/>
      <c r="O151" s="99">
        <f t="shared" si="11"/>
        <v>0</v>
      </c>
    </row>
    <row r="152" spans="1:17" x14ac:dyDescent="0.25">
      <c r="A152" s="35" t="s">
        <v>132</v>
      </c>
      <c r="B152" s="1249"/>
      <c r="C152" s="1252"/>
      <c r="D152" s="1294"/>
      <c r="E152" s="1231"/>
      <c r="F152" s="1222"/>
      <c r="G152" s="1222"/>
      <c r="H152" s="20">
        <v>2</v>
      </c>
      <c r="I152" s="36"/>
      <c r="J152" s="153">
        <f t="shared" si="12"/>
        <v>0</v>
      </c>
      <c r="K152" s="36"/>
      <c r="L152" s="36"/>
      <c r="M152" s="85" t="s">
        <v>71</v>
      </c>
      <c r="N152" s="37"/>
      <c r="O152" s="99">
        <f t="shared" si="11"/>
        <v>0</v>
      </c>
    </row>
    <row r="153" spans="1:17" x14ac:dyDescent="0.25">
      <c r="A153" s="35" t="s">
        <v>133</v>
      </c>
      <c r="B153" s="1249"/>
      <c r="C153" s="1252"/>
      <c r="D153" s="1231"/>
      <c r="E153" s="1231"/>
      <c r="F153" s="1222"/>
      <c r="G153" s="1222"/>
      <c r="H153" s="20">
        <v>2</v>
      </c>
      <c r="I153" s="36"/>
      <c r="J153" s="153">
        <f t="shared" si="12"/>
        <v>0</v>
      </c>
      <c r="K153" s="36"/>
      <c r="L153" s="36"/>
      <c r="M153" s="85" t="s">
        <v>71</v>
      </c>
      <c r="N153" s="37"/>
      <c r="O153" s="99">
        <f t="shared" si="11"/>
        <v>0</v>
      </c>
    </row>
    <row r="154" spans="1:17" x14ac:dyDescent="0.25">
      <c r="A154" s="35" t="s">
        <v>134</v>
      </c>
      <c r="B154" s="1249"/>
      <c r="C154" s="1252"/>
      <c r="D154" s="1231"/>
      <c r="E154" s="1231"/>
      <c r="F154" s="1222"/>
      <c r="G154" s="1222"/>
      <c r="H154" s="20">
        <v>2</v>
      </c>
      <c r="I154" s="36"/>
      <c r="J154" s="153">
        <f t="shared" si="12"/>
        <v>0</v>
      </c>
      <c r="K154" s="36"/>
      <c r="L154" s="36"/>
      <c r="M154" s="85" t="s">
        <v>71</v>
      </c>
      <c r="N154" s="37"/>
      <c r="O154" s="99">
        <f t="shared" si="11"/>
        <v>0</v>
      </c>
    </row>
    <row r="155" spans="1:17" s="71" customFormat="1" x14ac:dyDescent="0.25">
      <c r="A155" s="72" t="s">
        <v>135</v>
      </c>
      <c r="B155" s="1249"/>
      <c r="C155" s="1252"/>
      <c r="D155" s="1231"/>
      <c r="E155" s="1231"/>
      <c r="F155" s="1222"/>
      <c r="G155" s="1222"/>
      <c r="H155" s="20">
        <v>2</v>
      </c>
      <c r="I155" s="94"/>
      <c r="J155" s="153">
        <f t="shared" si="12"/>
        <v>0</v>
      </c>
      <c r="K155" s="94"/>
      <c r="L155" s="94"/>
      <c r="M155" s="85" t="s">
        <v>71</v>
      </c>
      <c r="N155" s="129"/>
      <c r="O155" s="99">
        <f t="shared" si="11"/>
        <v>0</v>
      </c>
    </row>
    <row r="156" spans="1:17" x14ac:dyDescent="0.25">
      <c r="A156" s="35" t="s">
        <v>136</v>
      </c>
      <c r="B156" s="1249"/>
      <c r="C156" s="1252"/>
      <c r="D156" s="1231"/>
      <c r="E156" s="1231"/>
      <c r="F156" s="1222"/>
      <c r="G156" s="1222"/>
      <c r="H156" s="20">
        <v>2</v>
      </c>
      <c r="I156" s="36"/>
      <c r="J156" s="153">
        <f t="shared" si="12"/>
        <v>0</v>
      </c>
      <c r="K156" s="36"/>
      <c r="L156" s="36"/>
      <c r="M156" s="85" t="s">
        <v>71</v>
      </c>
      <c r="N156" s="37"/>
      <c r="O156" s="99">
        <f t="shared" si="11"/>
        <v>0</v>
      </c>
    </row>
    <row r="157" spans="1:17" ht="15.75" thickBot="1" x14ac:dyDescent="0.3">
      <c r="A157" s="150" t="s">
        <v>137</v>
      </c>
      <c r="B157" s="1250"/>
      <c r="C157" s="1253"/>
      <c r="D157" s="1232"/>
      <c r="E157" s="1232"/>
      <c r="F157" s="1223"/>
      <c r="G157" s="1223"/>
      <c r="H157" s="152">
        <v>2</v>
      </c>
      <c r="I157" s="38"/>
      <c r="J157" s="154">
        <f t="shared" si="12"/>
        <v>0</v>
      </c>
      <c r="K157" s="38"/>
      <c r="L157" s="38"/>
      <c r="M157" s="151" t="s">
        <v>71</v>
      </c>
      <c r="N157" s="42"/>
      <c r="O157" s="99">
        <f t="shared" si="11"/>
        <v>0</v>
      </c>
    </row>
    <row r="158" spans="1:17" x14ac:dyDescent="0.25">
      <c r="A158" s="57"/>
      <c r="B158" s="100"/>
      <c r="C158" s="100"/>
      <c r="D158" s="100"/>
      <c r="E158" s="100"/>
      <c r="F158" s="3"/>
      <c r="G158" s="3"/>
      <c r="H158" s="3"/>
      <c r="O158" s="100"/>
    </row>
    <row r="159" spans="1:17" ht="15.75" thickBot="1" x14ac:dyDescent="0.3">
      <c r="A159" s="57"/>
      <c r="B159" s="100"/>
      <c r="C159" s="100"/>
      <c r="D159" s="100"/>
      <c r="E159" s="100"/>
      <c r="F159" s="3"/>
      <c r="G159" s="3"/>
      <c r="H159" s="3"/>
      <c r="O159" s="100"/>
    </row>
    <row r="160" spans="1:17" ht="38.25" x14ac:dyDescent="0.25">
      <c r="A160" s="58" t="s">
        <v>50</v>
      </c>
      <c r="B160" s="86" t="s">
        <v>149</v>
      </c>
      <c r="C160" s="87" t="s">
        <v>150</v>
      </c>
      <c r="D160" s="59" t="s">
        <v>151</v>
      </c>
      <c r="E160" s="59" t="s">
        <v>152</v>
      </c>
      <c r="F160" s="59" t="s">
        <v>162</v>
      </c>
      <c r="G160" s="59" t="s">
        <v>154</v>
      </c>
      <c r="H160" s="59" t="s">
        <v>163</v>
      </c>
      <c r="I160" s="59" t="s">
        <v>164</v>
      </c>
      <c r="J160" s="60" t="s">
        <v>165</v>
      </c>
      <c r="K160" s="59" t="s">
        <v>158</v>
      </c>
      <c r="L160" s="59" t="s">
        <v>159</v>
      </c>
      <c r="M160" s="59" t="s">
        <v>160</v>
      </c>
      <c r="N160" s="61" t="s">
        <v>161</v>
      </c>
      <c r="O160" s="100"/>
    </row>
    <row r="161" spans="1:15" x14ac:dyDescent="0.25">
      <c r="A161" s="155" t="s">
        <v>139</v>
      </c>
      <c r="B161" s="1248" t="s">
        <v>220</v>
      </c>
      <c r="C161" s="1251" t="s">
        <v>221</v>
      </c>
      <c r="D161" s="1242" t="s">
        <v>222</v>
      </c>
      <c r="E161" s="1242" t="s">
        <v>224</v>
      </c>
      <c r="F161" s="1247">
        <v>100</v>
      </c>
      <c r="G161" s="1247">
        <v>370</v>
      </c>
      <c r="H161" s="174">
        <v>50</v>
      </c>
      <c r="I161" s="158" t="e">
        <f>+#REF!</f>
        <v>#REF!</v>
      </c>
      <c r="J161" s="177" t="e">
        <f>I161/H161</f>
        <v>#REF!</v>
      </c>
      <c r="K161" s="176" t="s">
        <v>71</v>
      </c>
      <c r="L161" s="176" t="s">
        <v>71</v>
      </c>
      <c r="M161" s="176" t="s">
        <v>71</v>
      </c>
      <c r="N161" s="159"/>
      <c r="O161" s="99">
        <f t="shared" ref="O161:O172" si="13">LEN(N161)</f>
        <v>0</v>
      </c>
    </row>
    <row r="162" spans="1:15" x14ac:dyDescent="0.25">
      <c r="A162" s="35" t="s">
        <v>140</v>
      </c>
      <c r="B162" s="1249"/>
      <c r="C162" s="1252"/>
      <c r="D162" s="1231"/>
      <c r="E162" s="1231"/>
      <c r="F162" s="1222"/>
      <c r="G162" s="1222"/>
      <c r="H162" s="20">
        <v>50</v>
      </c>
      <c r="I162" s="36"/>
      <c r="J162" s="153">
        <f t="shared" ref="J162:J172" si="14">I162/H162</f>
        <v>0</v>
      </c>
      <c r="K162" s="36"/>
      <c r="L162" s="36"/>
      <c r="M162" s="85" t="s">
        <v>71</v>
      </c>
      <c r="N162" s="37"/>
      <c r="O162" s="99">
        <f t="shared" si="13"/>
        <v>0</v>
      </c>
    </row>
    <row r="163" spans="1:15" x14ac:dyDescent="0.25">
      <c r="A163" s="35" t="s">
        <v>141</v>
      </c>
      <c r="B163" s="1249"/>
      <c r="C163" s="1252"/>
      <c r="D163" s="1231"/>
      <c r="E163" s="1231"/>
      <c r="F163" s="1222"/>
      <c r="G163" s="1222"/>
      <c r="H163" s="20">
        <v>50</v>
      </c>
      <c r="I163" s="36"/>
      <c r="J163" s="153">
        <f t="shared" si="14"/>
        <v>0</v>
      </c>
      <c r="K163" s="36"/>
      <c r="L163" s="36"/>
      <c r="M163" s="85" t="s">
        <v>71</v>
      </c>
      <c r="N163" s="37"/>
      <c r="O163" s="99">
        <f t="shared" si="13"/>
        <v>0</v>
      </c>
    </row>
    <row r="164" spans="1:15" x14ac:dyDescent="0.25">
      <c r="A164" s="35" t="s">
        <v>142</v>
      </c>
      <c r="B164" s="1249"/>
      <c r="C164" s="1252"/>
      <c r="D164" s="1231"/>
      <c r="E164" s="1231"/>
      <c r="F164" s="1222"/>
      <c r="G164" s="1222"/>
      <c r="H164" s="20">
        <v>50</v>
      </c>
      <c r="I164" s="36"/>
      <c r="J164" s="153">
        <f t="shared" si="14"/>
        <v>0</v>
      </c>
      <c r="K164" s="36"/>
      <c r="L164" s="36"/>
      <c r="M164" s="85" t="s">
        <v>71</v>
      </c>
      <c r="N164" s="37"/>
      <c r="O164" s="99">
        <f t="shared" si="13"/>
        <v>0</v>
      </c>
    </row>
    <row r="165" spans="1:15" x14ac:dyDescent="0.25">
      <c r="A165" s="35" t="s">
        <v>143</v>
      </c>
      <c r="B165" s="1249"/>
      <c r="C165" s="1252"/>
      <c r="D165" s="1231"/>
      <c r="E165" s="1231"/>
      <c r="F165" s="1222"/>
      <c r="G165" s="1222"/>
      <c r="H165" s="20">
        <v>50</v>
      </c>
      <c r="I165" s="36"/>
      <c r="J165" s="153">
        <f t="shared" si="14"/>
        <v>0</v>
      </c>
      <c r="K165" s="36"/>
      <c r="L165" s="36"/>
      <c r="M165" s="85" t="s">
        <v>71</v>
      </c>
      <c r="N165" s="37"/>
      <c r="O165" s="99">
        <f t="shared" si="13"/>
        <v>0</v>
      </c>
    </row>
    <row r="166" spans="1:15" x14ac:dyDescent="0.25">
      <c r="A166" s="35" t="s">
        <v>144</v>
      </c>
      <c r="B166" s="1249"/>
      <c r="C166" s="1252"/>
      <c r="D166" s="1231"/>
      <c r="E166" s="1231"/>
      <c r="F166" s="1222"/>
      <c r="G166" s="1222"/>
      <c r="H166" s="20">
        <v>50</v>
      </c>
      <c r="I166" s="36"/>
      <c r="J166" s="153">
        <f t="shared" si="14"/>
        <v>0</v>
      </c>
      <c r="K166" s="36"/>
      <c r="L166" s="36"/>
      <c r="M166" s="85" t="s">
        <v>71</v>
      </c>
      <c r="N166" s="37"/>
      <c r="O166" s="99">
        <f t="shared" si="13"/>
        <v>0</v>
      </c>
    </row>
    <row r="167" spans="1:15" x14ac:dyDescent="0.25">
      <c r="A167" s="35" t="s">
        <v>132</v>
      </c>
      <c r="B167" s="1249"/>
      <c r="C167" s="1252"/>
      <c r="D167" s="1231"/>
      <c r="E167" s="1231"/>
      <c r="F167" s="1222"/>
      <c r="G167" s="1222"/>
      <c r="H167" s="20">
        <v>50</v>
      </c>
      <c r="I167" s="36"/>
      <c r="J167" s="153">
        <f t="shared" si="14"/>
        <v>0</v>
      </c>
      <c r="K167" s="36"/>
      <c r="L167" s="36"/>
      <c r="M167" s="85" t="s">
        <v>71</v>
      </c>
      <c r="N167" s="37"/>
      <c r="O167" s="99">
        <f t="shared" si="13"/>
        <v>0</v>
      </c>
    </row>
    <row r="168" spans="1:15" x14ac:dyDescent="0.25">
      <c r="A168" s="35" t="s">
        <v>133</v>
      </c>
      <c r="B168" s="1249"/>
      <c r="C168" s="1252"/>
      <c r="D168" s="1231"/>
      <c r="E168" s="1231"/>
      <c r="F168" s="1222"/>
      <c r="G168" s="1222"/>
      <c r="H168" s="20">
        <v>50</v>
      </c>
      <c r="I168" s="36"/>
      <c r="J168" s="153">
        <f t="shared" si="14"/>
        <v>0</v>
      </c>
      <c r="K168" s="36"/>
      <c r="L168" s="36"/>
      <c r="M168" s="85" t="s">
        <v>71</v>
      </c>
      <c r="N168" s="37"/>
      <c r="O168" s="99">
        <f t="shared" si="13"/>
        <v>0</v>
      </c>
    </row>
    <row r="169" spans="1:15" x14ac:dyDescent="0.25">
      <c r="A169" s="35" t="s">
        <v>134</v>
      </c>
      <c r="B169" s="1249"/>
      <c r="C169" s="1252"/>
      <c r="D169" s="1231"/>
      <c r="E169" s="1231"/>
      <c r="F169" s="1222"/>
      <c r="G169" s="1222"/>
      <c r="H169" s="20">
        <v>50</v>
      </c>
      <c r="I169" s="36"/>
      <c r="J169" s="153">
        <f t="shared" si="14"/>
        <v>0</v>
      </c>
      <c r="K169" s="36"/>
      <c r="L169" s="36"/>
      <c r="M169" s="85" t="s">
        <v>71</v>
      </c>
      <c r="N169" s="37"/>
      <c r="O169" s="99">
        <f t="shared" si="13"/>
        <v>0</v>
      </c>
    </row>
    <row r="170" spans="1:15" s="71" customFormat="1" x14ac:dyDescent="0.25">
      <c r="A170" s="72" t="s">
        <v>135</v>
      </c>
      <c r="B170" s="1249"/>
      <c r="C170" s="1252"/>
      <c r="D170" s="1231"/>
      <c r="E170" s="1231"/>
      <c r="F170" s="1222"/>
      <c r="G170" s="1222"/>
      <c r="H170" s="20">
        <v>50</v>
      </c>
      <c r="I170" s="94"/>
      <c r="J170" s="153">
        <f t="shared" si="14"/>
        <v>0</v>
      </c>
      <c r="K170" s="94"/>
      <c r="L170" s="94"/>
      <c r="M170" s="85" t="s">
        <v>71</v>
      </c>
      <c r="N170" s="129"/>
      <c r="O170" s="99">
        <f t="shared" si="13"/>
        <v>0</v>
      </c>
    </row>
    <row r="171" spans="1:15" x14ac:dyDescent="0.25">
      <c r="A171" s="35" t="s">
        <v>136</v>
      </c>
      <c r="B171" s="1249"/>
      <c r="C171" s="1252"/>
      <c r="D171" s="1231"/>
      <c r="E171" s="1231"/>
      <c r="F171" s="1222"/>
      <c r="G171" s="1222"/>
      <c r="H171" s="20">
        <v>50</v>
      </c>
      <c r="I171" s="36"/>
      <c r="J171" s="153">
        <f t="shared" si="14"/>
        <v>0</v>
      </c>
      <c r="K171" s="36"/>
      <c r="L171" s="36"/>
      <c r="M171" s="85" t="s">
        <v>71</v>
      </c>
      <c r="N171" s="37"/>
      <c r="O171" s="99">
        <f t="shared" si="13"/>
        <v>0</v>
      </c>
    </row>
    <row r="172" spans="1:15" ht="15.75" thickBot="1" x14ac:dyDescent="0.3">
      <c r="A172" s="150" t="s">
        <v>137</v>
      </c>
      <c r="B172" s="1250"/>
      <c r="C172" s="1253"/>
      <c r="D172" s="1232"/>
      <c r="E172" s="1232"/>
      <c r="F172" s="1223"/>
      <c r="G172" s="1223"/>
      <c r="H172" s="152">
        <v>50</v>
      </c>
      <c r="I172" s="38"/>
      <c r="J172" s="154">
        <f t="shared" si="14"/>
        <v>0</v>
      </c>
      <c r="K172" s="38"/>
      <c r="L172" s="38"/>
      <c r="M172" s="151" t="s">
        <v>71</v>
      </c>
      <c r="N172" s="42"/>
      <c r="O172" s="99">
        <f t="shared" si="13"/>
        <v>0</v>
      </c>
    </row>
    <row r="173" spans="1:15" x14ac:dyDescent="0.25">
      <c r="A173" s="57"/>
      <c r="B173" s="100"/>
      <c r="C173" s="100"/>
      <c r="D173" s="100"/>
      <c r="E173" s="100"/>
      <c r="F173" s="3"/>
      <c r="G173" s="3"/>
      <c r="H173" s="3"/>
      <c r="O173" s="100"/>
    </row>
    <row r="174" spans="1:15" ht="15.75" thickBot="1" x14ac:dyDescent="0.3">
      <c r="A174" s="57"/>
      <c r="B174" s="100"/>
      <c r="C174" s="100"/>
      <c r="D174" s="100"/>
      <c r="E174" s="100"/>
      <c r="F174" s="3"/>
      <c r="G174" s="3"/>
      <c r="H174" s="3"/>
      <c r="O174" s="100"/>
    </row>
    <row r="175" spans="1:15" ht="38.25" x14ac:dyDescent="0.25">
      <c r="A175" s="58" t="s">
        <v>50</v>
      </c>
      <c r="B175" s="86" t="s">
        <v>149</v>
      </c>
      <c r="C175" s="87" t="s">
        <v>150</v>
      </c>
      <c r="D175" s="59" t="s">
        <v>151</v>
      </c>
      <c r="E175" s="59" t="s">
        <v>152</v>
      </c>
      <c r="F175" s="59" t="s">
        <v>162</v>
      </c>
      <c r="G175" s="59" t="s">
        <v>154</v>
      </c>
      <c r="H175" s="59" t="s">
        <v>163</v>
      </c>
      <c r="I175" s="59" t="s">
        <v>164</v>
      </c>
      <c r="J175" s="60" t="s">
        <v>165</v>
      </c>
      <c r="K175" s="59" t="s">
        <v>158</v>
      </c>
      <c r="L175" s="59" t="s">
        <v>159</v>
      </c>
      <c r="M175" s="59" t="s">
        <v>160</v>
      </c>
      <c r="N175" s="61" t="s">
        <v>161</v>
      </c>
      <c r="O175" s="100"/>
    </row>
    <row r="176" spans="1:15" x14ac:dyDescent="0.25">
      <c r="A176" s="155" t="s">
        <v>139</v>
      </c>
      <c r="B176" s="1248" t="s">
        <v>220</v>
      </c>
      <c r="C176" s="1251" t="s">
        <v>221</v>
      </c>
      <c r="D176" s="1242" t="s">
        <v>225</v>
      </c>
      <c r="E176" s="1242" t="s">
        <v>224</v>
      </c>
      <c r="F176" s="1247">
        <v>100</v>
      </c>
      <c r="G176" s="1247">
        <v>590</v>
      </c>
      <c r="H176" s="174">
        <v>590</v>
      </c>
      <c r="I176" s="158" t="e">
        <f>+#REF!</f>
        <v>#REF!</v>
      </c>
      <c r="J176" s="177" t="e">
        <f>I176/H176</f>
        <v>#REF!</v>
      </c>
      <c r="K176" s="176" t="s">
        <v>71</v>
      </c>
      <c r="L176" s="176" t="s">
        <v>71</v>
      </c>
      <c r="M176" s="176" t="s">
        <v>71</v>
      </c>
      <c r="N176" s="159"/>
      <c r="O176" s="99">
        <f t="shared" ref="O176:O187" si="15">LEN(N176)</f>
        <v>0</v>
      </c>
    </row>
    <row r="177" spans="1:15" x14ac:dyDescent="0.25">
      <c r="A177" s="35" t="s">
        <v>140</v>
      </c>
      <c r="B177" s="1249"/>
      <c r="C177" s="1252"/>
      <c r="D177" s="1231"/>
      <c r="E177" s="1231"/>
      <c r="F177" s="1222"/>
      <c r="G177" s="1222"/>
      <c r="H177" s="20">
        <v>590</v>
      </c>
      <c r="I177" s="36"/>
      <c r="J177" s="153">
        <f t="shared" ref="J177:J187" si="16">I177/H177</f>
        <v>0</v>
      </c>
      <c r="K177" s="36"/>
      <c r="L177" s="36"/>
      <c r="M177" s="85"/>
      <c r="N177" s="37"/>
      <c r="O177" s="99">
        <f t="shared" si="15"/>
        <v>0</v>
      </c>
    </row>
    <row r="178" spans="1:15" x14ac:dyDescent="0.25">
      <c r="A178" s="35" t="s">
        <v>141</v>
      </c>
      <c r="B178" s="1249"/>
      <c r="C178" s="1252"/>
      <c r="D178" s="1231"/>
      <c r="E178" s="1231"/>
      <c r="F178" s="1222"/>
      <c r="G178" s="1222"/>
      <c r="H178" s="20">
        <v>590</v>
      </c>
      <c r="I178" s="36"/>
      <c r="J178" s="153">
        <f t="shared" si="16"/>
        <v>0</v>
      </c>
      <c r="K178" s="36"/>
      <c r="L178" s="36"/>
      <c r="M178" s="85"/>
      <c r="N178" s="37"/>
      <c r="O178" s="99">
        <f t="shared" si="15"/>
        <v>0</v>
      </c>
    </row>
    <row r="179" spans="1:15" x14ac:dyDescent="0.25">
      <c r="A179" s="35" t="s">
        <v>142</v>
      </c>
      <c r="B179" s="1249"/>
      <c r="C179" s="1252"/>
      <c r="D179" s="1231"/>
      <c r="E179" s="1231"/>
      <c r="F179" s="1222"/>
      <c r="G179" s="1222"/>
      <c r="H179" s="20">
        <v>590</v>
      </c>
      <c r="I179" s="36"/>
      <c r="J179" s="153">
        <f t="shared" si="16"/>
        <v>0</v>
      </c>
      <c r="K179" s="36"/>
      <c r="L179" s="36"/>
      <c r="M179" s="85"/>
      <c r="N179" s="37"/>
      <c r="O179" s="99">
        <f t="shared" si="15"/>
        <v>0</v>
      </c>
    </row>
    <row r="180" spans="1:15" x14ac:dyDescent="0.25">
      <c r="A180" s="35" t="s">
        <v>143</v>
      </c>
      <c r="B180" s="1249"/>
      <c r="C180" s="1252"/>
      <c r="D180" s="1231"/>
      <c r="E180" s="1231"/>
      <c r="F180" s="1222"/>
      <c r="G180" s="1222"/>
      <c r="H180" s="20">
        <v>590</v>
      </c>
      <c r="I180" s="36"/>
      <c r="J180" s="153">
        <f t="shared" si="16"/>
        <v>0</v>
      </c>
      <c r="K180" s="36"/>
      <c r="L180" s="36"/>
      <c r="M180" s="85"/>
      <c r="N180" s="37"/>
      <c r="O180" s="99">
        <f t="shared" si="15"/>
        <v>0</v>
      </c>
    </row>
    <row r="181" spans="1:15" x14ac:dyDescent="0.25">
      <c r="A181" s="35" t="s">
        <v>144</v>
      </c>
      <c r="B181" s="1249"/>
      <c r="C181" s="1252"/>
      <c r="D181" s="1231"/>
      <c r="E181" s="1231"/>
      <c r="F181" s="1222"/>
      <c r="G181" s="1222"/>
      <c r="H181" s="20">
        <v>590</v>
      </c>
      <c r="I181" s="36"/>
      <c r="J181" s="153">
        <f t="shared" si="16"/>
        <v>0</v>
      </c>
      <c r="K181" s="36"/>
      <c r="L181" s="36"/>
      <c r="M181" s="85"/>
      <c r="N181" s="37"/>
      <c r="O181" s="99">
        <f t="shared" si="15"/>
        <v>0</v>
      </c>
    </row>
    <row r="182" spans="1:15" x14ac:dyDescent="0.25">
      <c r="A182" s="35" t="s">
        <v>132</v>
      </c>
      <c r="B182" s="1249"/>
      <c r="C182" s="1252"/>
      <c r="D182" s="1231"/>
      <c r="E182" s="1231"/>
      <c r="F182" s="1222"/>
      <c r="G182" s="1222"/>
      <c r="H182" s="20">
        <v>590</v>
      </c>
      <c r="I182" s="36"/>
      <c r="J182" s="153">
        <f t="shared" si="16"/>
        <v>0</v>
      </c>
      <c r="K182" s="36"/>
      <c r="L182" s="36"/>
      <c r="M182" s="85"/>
      <c r="N182" s="37"/>
      <c r="O182" s="99">
        <f t="shared" si="15"/>
        <v>0</v>
      </c>
    </row>
    <row r="183" spans="1:15" x14ac:dyDescent="0.25">
      <c r="A183" s="35" t="s">
        <v>133</v>
      </c>
      <c r="B183" s="1249"/>
      <c r="C183" s="1252"/>
      <c r="D183" s="1231"/>
      <c r="E183" s="1231"/>
      <c r="F183" s="1222"/>
      <c r="G183" s="1222"/>
      <c r="H183" s="20">
        <v>590</v>
      </c>
      <c r="I183" s="36"/>
      <c r="J183" s="153">
        <f t="shared" si="16"/>
        <v>0</v>
      </c>
      <c r="K183" s="36"/>
      <c r="L183" s="36"/>
      <c r="M183" s="85"/>
      <c r="N183" s="37"/>
      <c r="O183" s="99">
        <f t="shared" si="15"/>
        <v>0</v>
      </c>
    </row>
    <row r="184" spans="1:15" x14ac:dyDescent="0.25">
      <c r="A184" s="35" t="s">
        <v>134</v>
      </c>
      <c r="B184" s="1249"/>
      <c r="C184" s="1252"/>
      <c r="D184" s="1231"/>
      <c r="E184" s="1231"/>
      <c r="F184" s="1222"/>
      <c r="G184" s="1222"/>
      <c r="H184" s="20">
        <v>590</v>
      </c>
      <c r="I184" s="36"/>
      <c r="J184" s="153">
        <f t="shared" si="16"/>
        <v>0</v>
      </c>
      <c r="K184" s="36"/>
      <c r="L184" s="36"/>
      <c r="M184" s="85"/>
      <c r="N184" s="37"/>
      <c r="O184" s="99">
        <f t="shared" si="15"/>
        <v>0</v>
      </c>
    </row>
    <row r="185" spans="1:15" s="71" customFormat="1" x14ac:dyDescent="0.25">
      <c r="A185" s="72" t="s">
        <v>135</v>
      </c>
      <c r="B185" s="1249"/>
      <c r="C185" s="1252"/>
      <c r="D185" s="1231"/>
      <c r="E185" s="1231"/>
      <c r="F185" s="1222"/>
      <c r="G185" s="1222"/>
      <c r="H185" s="20">
        <v>590</v>
      </c>
      <c r="I185" s="94"/>
      <c r="J185" s="153">
        <f t="shared" si="16"/>
        <v>0</v>
      </c>
      <c r="K185" s="94"/>
      <c r="L185" s="94"/>
      <c r="M185" s="20"/>
      <c r="N185" s="129"/>
      <c r="O185" s="99">
        <f t="shared" si="15"/>
        <v>0</v>
      </c>
    </row>
    <row r="186" spans="1:15" x14ac:dyDescent="0.25">
      <c r="A186" s="35" t="s">
        <v>136</v>
      </c>
      <c r="B186" s="1249"/>
      <c r="C186" s="1252"/>
      <c r="D186" s="1231"/>
      <c r="E186" s="1231"/>
      <c r="F186" s="1222"/>
      <c r="G186" s="1222"/>
      <c r="H186" s="20">
        <v>590</v>
      </c>
      <c r="I186" s="36"/>
      <c r="J186" s="153">
        <f t="shared" si="16"/>
        <v>0</v>
      </c>
      <c r="K186" s="36"/>
      <c r="L186" s="36"/>
      <c r="M186" s="85"/>
      <c r="N186" s="37"/>
      <c r="O186" s="99">
        <f t="shared" si="15"/>
        <v>0</v>
      </c>
    </row>
    <row r="187" spans="1:15" ht="15.75" thickBot="1" x14ac:dyDescent="0.3">
      <c r="A187" s="150" t="s">
        <v>137</v>
      </c>
      <c r="B187" s="1250"/>
      <c r="C187" s="1253"/>
      <c r="D187" s="1232"/>
      <c r="E187" s="1232"/>
      <c r="F187" s="1223"/>
      <c r="G187" s="1223"/>
      <c r="H187" s="152">
        <v>590</v>
      </c>
      <c r="I187" s="38"/>
      <c r="J187" s="154">
        <f t="shared" si="16"/>
        <v>0</v>
      </c>
      <c r="K187" s="38"/>
      <c r="L187" s="38"/>
      <c r="M187" s="151"/>
      <c r="N187" s="42"/>
      <c r="O187" s="99">
        <f t="shared" si="15"/>
        <v>0</v>
      </c>
    </row>
    <row r="188" spans="1:15" x14ac:dyDescent="0.25">
      <c r="A188" s="57"/>
      <c r="B188" s="100"/>
      <c r="C188" s="100"/>
      <c r="D188" s="100"/>
      <c r="E188" s="100"/>
      <c r="F188" s="3"/>
      <c r="G188" s="3"/>
      <c r="H188" s="3"/>
      <c r="O188" s="100"/>
    </row>
    <row r="189" spans="1:15" ht="15.75" thickBot="1" x14ac:dyDescent="0.3">
      <c r="A189" s="57"/>
      <c r="B189" s="100"/>
      <c r="C189" s="100"/>
      <c r="D189" s="100"/>
      <c r="E189" s="100"/>
      <c r="F189" s="3"/>
      <c r="G189" s="3"/>
      <c r="H189" s="3"/>
      <c r="O189" s="100"/>
    </row>
    <row r="190" spans="1:15" ht="38.25" x14ac:dyDescent="0.25">
      <c r="A190" s="58" t="s">
        <v>50</v>
      </c>
      <c r="B190" s="59" t="s">
        <v>149</v>
      </c>
      <c r="C190" s="59" t="s">
        <v>150</v>
      </c>
      <c r="D190" s="59" t="s">
        <v>151</v>
      </c>
      <c r="E190" s="59" t="s">
        <v>152</v>
      </c>
      <c r="F190" s="59" t="s">
        <v>162</v>
      </c>
      <c r="G190" s="59" t="s">
        <v>154</v>
      </c>
      <c r="H190" s="59" t="s">
        <v>163</v>
      </c>
      <c r="I190" s="59" t="s">
        <v>164</v>
      </c>
      <c r="J190" s="60" t="s">
        <v>165</v>
      </c>
      <c r="K190" s="59" t="s">
        <v>158</v>
      </c>
      <c r="L190" s="59" t="s">
        <v>159</v>
      </c>
      <c r="M190" s="59" t="s">
        <v>160</v>
      </c>
      <c r="N190" s="61" t="s">
        <v>161</v>
      </c>
      <c r="O190" s="100"/>
    </row>
    <row r="191" spans="1:15" x14ac:dyDescent="0.25">
      <c r="A191" s="155" t="s">
        <v>139</v>
      </c>
      <c r="B191" s="1242" t="s">
        <v>226</v>
      </c>
      <c r="C191" s="1242" t="s">
        <v>227</v>
      </c>
      <c r="D191" s="1242" t="s">
        <v>228</v>
      </c>
      <c r="E191" s="1247" t="s">
        <v>219</v>
      </c>
      <c r="F191" s="1247">
        <v>100</v>
      </c>
      <c r="G191" s="1247">
        <v>4</v>
      </c>
      <c r="H191" s="178">
        <v>0.73</v>
      </c>
      <c r="I191" s="158" t="e">
        <f>+#REF!</f>
        <v>#REF!</v>
      </c>
      <c r="J191" s="177" t="e">
        <f t="shared" ref="J191:J202" si="17">I191/H191</f>
        <v>#REF!</v>
      </c>
      <c r="K191" s="179" t="e">
        <f>+INVERSIÓN!#REF!</f>
        <v>#REF!</v>
      </c>
      <c r="L191" s="176">
        <v>0</v>
      </c>
      <c r="M191" s="176" t="e">
        <f>L191/K191</f>
        <v>#REF!</v>
      </c>
      <c r="N191" s="159"/>
      <c r="O191" s="99">
        <f t="shared" ref="O191:O202" si="18">LEN(N191)</f>
        <v>0</v>
      </c>
    </row>
    <row r="192" spans="1:15" x14ac:dyDescent="0.25">
      <c r="A192" s="35" t="s">
        <v>140</v>
      </c>
      <c r="B192" s="1231"/>
      <c r="C192" s="1231"/>
      <c r="D192" s="1231"/>
      <c r="E192" s="1222"/>
      <c r="F192" s="1222"/>
      <c r="G192" s="1222"/>
      <c r="H192" s="95">
        <v>0.73</v>
      </c>
      <c r="I192" s="36"/>
      <c r="J192" s="153">
        <f t="shared" si="17"/>
        <v>0</v>
      </c>
      <c r="K192" s="36"/>
      <c r="L192" s="36"/>
      <c r="M192" s="85"/>
      <c r="N192" s="37"/>
      <c r="O192" s="99"/>
    </row>
    <row r="193" spans="1:15" x14ac:dyDescent="0.25">
      <c r="A193" s="35" t="s">
        <v>141</v>
      </c>
      <c r="B193" s="1231"/>
      <c r="C193" s="1231"/>
      <c r="D193" s="1231"/>
      <c r="E193" s="1222"/>
      <c r="F193" s="1222"/>
      <c r="G193" s="1222"/>
      <c r="H193" s="95">
        <v>0.73</v>
      </c>
      <c r="I193" s="36"/>
      <c r="J193" s="153">
        <f t="shared" si="17"/>
        <v>0</v>
      </c>
      <c r="K193" s="36"/>
      <c r="L193" s="36"/>
      <c r="M193" s="85"/>
      <c r="N193" s="37"/>
      <c r="O193" s="99"/>
    </row>
    <row r="194" spans="1:15" x14ac:dyDescent="0.25">
      <c r="A194" s="35" t="s">
        <v>142</v>
      </c>
      <c r="B194" s="1231"/>
      <c r="C194" s="1231"/>
      <c r="D194" s="1231"/>
      <c r="E194" s="1222"/>
      <c r="F194" s="1222"/>
      <c r="G194" s="1222"/>
      <c r="H194" s="95">
        <v>0.73</v>
      </c>
      <c r="I194" s="36"/>
      <c r="J194" s="153">
        <f t="shared" si="17"/>
        <v>0</v>
      </c>
      <c r="K194" s="36"/>
      <c r="L194" s="36"/>
      <c r="M194" s="85"/>
      <c r="N194" s="37"/>
      <c r="O194" s="99"/>
    </row>
    <row r="195" spans="1:15" x14ac:dyDescent="0.25">
      <c r="A195" s="35" t="s">
        <v>143</v>
      </c>
      <c r="B195" s="1231"/>
      <c r="C195" s="1231"/>
      <c r="D195" s="1231"/>
      <c r="E195" s="1222"/>
      <c r="F195" s="1222"/>
      <c r="G195" s="1222"/>
      <c r="H195" s="95">
        <v>0.73</v>
      </c>
      <c r="I195" s="36"/>
      <c r="J195" s="153">
        <f t="shared" si="17"/>
        <v>0</v>
      </c>
      <c r="K195" s="36"/>
      <c r="L195" s="36"/>
      <c r="M195" s="85"/>
      <c r="N195" s="37"/>
      <c r="O195" s="99"/>
    </row>
    <row r="196" spans="1:15" x14ac:dyDescent="0.25">
      <c r="A196" s="35" t="s">
        <v>144</v>
      </c>
      <c r="B196" s="1231"/>
      <c r="C196" s="1231"/>
      <c r="D196" s="1231"/>
      <c r="E196" s="1222"/>
      <c r="F196" s="1222"/>
      <c r="G196" s="1222"/>
      <c r="H196" s="95">
        <v>0.73</v>
      </c>
      <c r="I196" s="36"/>
      <c r="J196" s="153">
        <f t="shared" si="17"/>
        <v>0</v>
      </c>
      <c r="K196" s="36"/>
      <c r="L196" s="36"/>
      <c r="M196" s="85"/>
      <c r="N196" s="37"/>
      <c r="O196" s="99"/>
    </row>
    <row r="197" spans="1:15" x14ac:dyDescent="0.25">
      <c r="A197" s="35" t="s">
        <v>132</v>
      </c>
      <c r="B197" s="1231"/>
      <c r="C197" s="1231"/>
      <c r="D197" s="1231"/>
      <c r="E197" s="1222"/>
      <c r="F197" s="1222"/>
      <c r="G197" s="1222"/>
      <c r="H197" s="95">
        <v>0.73</v>
      </c>
      <c r="I197" s="36"/>
      <c r="J197" s="153">
        <f t="shared" si="17"/>
        <v>0</v>
      </c>
      <c r="K197" s="36"/>
      <c r="L197" s="36"/>
      <c r="M197" s="85"/>
      <c r="N197" s="37"/>
      <c r="O197" s="99"/>
    </row>
    <row r="198" spans="1:15" x14ac:dyDescent="0.25">
      <c r="A198" s="35" t="s">
        <v>133</v>
      </c>
      <c r="B198" s="1231"/>
      <c r="C198" s="1231"/>
      <c r="D198" s="1231"/>
      <c r="E198" s="1222"/>
      <c r="F198" s="1222"/>
      <c r="G198" s="1222"/>
      <c r="H198" s="95">
        <v>0.73</v>
      </c>
      <c r="I198" s="36"/>
      <c r="J198" s="153">
        <f t="shared" si="17"/>
        <v>0</v>
      </c>
      <c r="K198" s="36"/>
      <c r="L198" s="36"/>
      <c r="M198" s="85" t="s">
        <v>71</v>
      </c>
      <c r="N198" s="37"/>
      <c r="O198" s="99">
        <f t="shared" si="18"/>
        <v>0</v>
      </c>
    </row>
    <row r="199" spans="1:15" x14ac:dyDescent="0.25">
      <c r="A199" s="35" t="s">
        <v>134</v>
      </c>
      <c r="B199" s="1231"/>
      <c r="C199" s="1231"/>
      <c r="D199" s="1231"/>
      <c r="E199" s="1222"/>
      <c r="F199" s="1222"/>
      <c r="G199" s="1222"/>
      <c r="H199" s="95">
        <v>0.73</v>
      </c>
      <c r="I199" s="36"/>
      <c r="J199" s="153">
        <f t="shared" si="17"/>
        <v>0</v>
      </c>
      <c r="K199" s="36"/>
      <c r="L199" s="36"/>
      <c r="M199" s="85" t="s">
        <v>71</v>
      </c>
      <c r="N199" s="37"/>
      <c r="O199" s="99">
        <f t="shared" si="18"/>
        <v>0</v>
      </c>
    </row>
    <row r="200" spans="1:15" s="71" customFormat="1" x14ac:dyDescent="0.25">
      <c r="A200" s="72" t="s">
        <v>135</v>
      </c>
      <c r="B200" s="1231"/>
      <c r="C200" s="1231"/>
      <c r="D200" s="1231"/>
      <c r="E200" s="1222"/>
      <c r="F200" s="1222"/>
      <c r="G200" s="1222"/>
      <c r="H200" s="95">
        <v>0.73</v>
      </c>
      <c r="I200" s="94"/>
      <c r="J200" s="153">
        <f t="shared" si="17"/>
        <v>0</v>
      </c>
      <c r="K200" s="94"/>
      <c r="L200" s="94"/>
      <c r="M200" s="20" t="s">
        <v>71</v>
      </c>
      <c r="N200" s="129"/>
      <c r="O200" s="130">
        <f t="shared" si="18"/>
        <v>0</v>
      </c>
    </row>
    <row r="201" spans="1:15" x14ac:dyDescent="0.25">
      <c r="A201" s="35" t="s">
        <v>136</v>
      </c>
      <c r="B201" s="1231"/>
      <c r="C201" s="1231"/>
      <c r="D201" s="1231"/>
      <c r="E201" s="1222"/>
      <c r="F201" s="1222"/>
      <c r="G201" s="1222"/>
      <c r="H201" s="95">
        <v>0.73</v>
      </c>
      <c r="I201" s="115"/>
      <c r="J201" s="153">
        <f t="shared" si="17"/>
        <v>0</v>
      </c>
      <c r="K201" s="36"/>
      <c r="L201" s="36"/>
      <c r="M201" s="85" t="s">
        <v>71</v>
      </c>
      <c r="N201" s="37"/>
      <c r="O201" s="99">
        <f t="shared" si="18"/>
        <v>0</v>
      </c>
    </row>
    <row r="202" spans="1:15" ht="15.75" thickBot="1" x14ac:dyDescent="0.3">
      <c r="A202" s="150" t="s">
        <v>137</v>
      </c>
      <c r="B202" s="1232"/>
      <c r="C202" s="1232"/>
      <c r="D202" s="1232"/>
      <c r="E202" s="1223"/>
      <c r="F202" s="1223"/>
      <c r="G202" s="1223"/>
      <c r="H202" s="152">
        <v>0.73</v>
      </c>
      <c r="I202" s="38"/>
      <c r="J202" s="154">
        <f t="shared" si="17"/>
        <v>0</v>
      </c>
      <c r="K202" s="38"/>
      <c r="L202" s="38"/>
      <c r="M202" s="151" t="s">
        <v>71</v>
      </c>
      <c r="N202" s="42"/>
      <c r="O202" s="99">
        <f t="shared" si="18"/>
        <v>0</v>
      </c>
    </row>
    <row r="203" spans="1:15" x14ac:dyDescent="0.25">
      <c r="A203" s="57"/>
      <c r="B203" s="100"/>
      <c r="C203" s="100"/>
      <c r="D203" s="100"/>
      <c r="E203" s="3"/>
      <c r="F203" s="3"/>
      <c r="G203" s="3"/>
      <c r="H203" s="3"/>
      <c r="J203" s="131"/>
      <c r="M203" s="15"/>
      <c r="O203" s="100"/>
    </row>
    <row r="204" spans="1:15" x14ac:dyDescent="0.25">
      <c r="A204" s="57"/>
      <c r="B204" s="100"/>
      <c r="C204" s="100"/>
      <c r="D204" s="100"/>
      <c r="E204" s="3"/>
      <c r="F204" s="3"/>
      <c r="G204" s="3"/>
      <c r="H204" s="3"/>
      <c r="J204" s="131"/>
      <c r="M204" s="15"/>
      <c r="O204" s="100"/>
    </row>
    <row r="205" spans="1:15" x14ac:dyDescent="0.25">
      <c r="A205" s="57"/>
      <c r="B205" s="100"/>
      <c r="C205" s="100"/>
      <c r="D205" s="100"/>
      <c r="E205" s="3"/>
      <c r="F205" s="3"/>
      <c r="G205" s="3"/>
      <c r="H205" s="3"/>
      <c r="J205" s="131"/>
      <c r="M205" s="15"/>
      <c r="O205" s="100"/>
    </row>
    <row r="206" spans="1:15" x14ac:dyDescent="0.25">
      <c r="A206" s="57"/>
      <c r="B206" s="100"/>
      <c r="C206" s="100"/>
      <c r="D206" s="100"/>
      <c r="E206" s="3"/>
      <c r="F206" s="3"/>
      <c r="G206" s="3"/>
      <c r="H206" s="3"/>
      <c r="J206" s="131"/>
      <c r="M206" s="15"/>
      <c r="O206" s="100"/>
    </row>
    <row r="207" spans="1:15" x14ac:dyDescent="0.25">
      <c r="A207" s="57"/>
      <c r="B207" s="100"/>
      <c r="C207" s="100"/>
      <c r="D207" s="100"/>
      <c r="E207" s="3"/>
      <c r="F207" s="3"/>
      <c r="G207" s="3"/>
      <c r="H207" s="3"/>
      <c r="J207" s="131"/>
      <c r="M207" s="15"/>
      <c r="O207" s="100"/>
    </row>
    <row r="208" spans="1:15" ht="20.25" hidden="1" x14ac:dyDescent="0.25">
      <c r="A208" s="1163" t="s">
        <v>269</v>
      </c>
      <c r="B208" s="1164"/>
      <c r="C208" s="1164"/>
      <c r="D208" s="1164"/>
      <c r="E208" s="1164"/>
      <c r="F208" s="1164"/>
      <c r="G208" s="1164"/>
      <c r="H208" s="1164"/>
      <c r="I208" s="1164"/>
      <c r="J208" s="1164"/>
      <c r="K208" s="1164"/>
      <c r="L208" s="1164"/>
      <c r="M208" s="1164"/>
      <c r="N208" s="1165"/>
    </row>
    <row r="209" spans="1:15" ht="38.25" hidden="1" x14ac:dyDescent="0.25">
      <c r="A209" s="32" t="s">
        <v>50</v>
      </c>
      <c r="B209" s="33" t="s">
        <v>149</v>
      </c>
      <c r="C209" s="33" t="s">
        <v>150</v>
      </c>
      <c r="D209" s="33" t="s">
        <v>151</v>
      </c>
      <c r="E209" s="33" t="s">
        <v>152</v>
      </c>
      <c r="F209" s="33" t="s">
        <v>162</v>
      </c>
      <c r="G209" s="33" t="s">
        <v>154</v>
      </c>
      <c r="H209" s="33" t="s">
        <v>163</v>
      </c>
      <c r="I209" s="33" t="s">
        <v>164</v>
      </c>
      <c r="J209" s="41" t="s">
        <v>165</v>
      </c>
      <c r="K209" s="33" t="s">
        <v>158</v>
      </c>
      <c r="L209" s="33" t="s">
        <v>159</v>
      </c>
      <c r="M209" s="33" t="s">
        <v>160</v>
      </c>
      <c r="N209" s="34" t="s">
        <v>161</v>
      </c>
    </row>
    <row r="210" spans="1:15" s="161" customFormat="1" hidden="1" x14ac:dyDescent="0.25">
      <c r="A210" s="157" t="s">
        <v>139</v>
      </c>
      <c r="B210" s="158"/>
      <c r="C210" s="158"/>
      <c r="D210" s="158"/>
      <c r="E210" s="158"/>
      <c r="F210" s="158"/>
      <c r="G210" s="158"/>
      <c r="H210" s="158"/>
      <c r="I210" s="158">
        <v>75</v>
      </c>
      <c r="J210" s="158" t="e">
        <f t="shared" ref="J210:J221" si="19">I210/H210</f>
        <v>#DIV/0!</v>
      </c>
      <c r="K210" s="158"/>
      <c r="L210" s="158"/>
      <c r="M210" s="158" t="e">
        <f t="shared" ref="M210:M221" si="20">L210/K210</f>
        <v>#DIV/0!</v>
      </c>
      <c r="N210" s="159" t="s">
        <v>278</v>
      </c>
      <c r="O210" s="160">
        <f t="shared" ref="O210:O220" si="21">LEN(N210)</f>
        <v>253</v>
      </c>
    </row>
    <row r="211" spans="1:15" s="161" customFormat="1" hidden="1" x14ac:dyDescent="0.25">
      <c r="A211" s="157" t="s">
        <v>140</v>
      </c>
      <c r="B211" s="158"/>
      <c r="C211" s="158"/>
      <c r="D211" s="158"/>
      <c r="E211" s="158"/>
      <c r="F211" s="158"/>
      <c r="G211" s="158"/>
      <c r="H211" s="158"/>
      <c r="I211" s="158">
        <v>370</v>
      </c>
      <c r="J211" s="158" t="e">
        <f t="shared" si="19"/>
        <v>#DIV/0!</v>
      </c>
      <c r="K211" s="158"/>
      <c r="L211" s="158"/>
      <c r="M211" s="158" t="e">
        <f t="shared" si="20"/>
        <v>#DIV/0!</v>
      </c>
      <c r="N211" s="161" t="s">
        <v>279</v>
      </c>
      <c r="O211" s="160">
        <f t="shared" si="21"/>
        <v>278</v>
      </c>
    </row>
    <row r="212" spans="1:15" s="161" customFormat="1" hidden="1" x14ac:dyDescent="0.25">
      <c r="A212" s="157" t="s">
        <v>141</v>
      </c>
      <c r="B212" s="158"/>
      <c r="C212" s="158"/>
      <c r="D212" s="158"/>
      <c r="E212" s="158"/>
      <c r="F212" s="158"/>
      <c r="G212" s="158"/>
      <c r="H212" s="158"/>
      <c r="I212" s="158">
        <v>590</v>
      </c>
      <c r="J212" s="158" t="e">
        <f t="shared" si="19"/>
        <v>#DIV/0!</v>
      </c>
      <c r="K212" s="158"/>
      <c r="L212" s="158"/>
      <c r="M212" s="158" t="e">
        <f t="shared" si="20"/>
        <v>#DIV/0!</v>
      </c>
      <c r="N212" s="162" t="s">
        <v>280</v>
      </c>
      <c r="O212" s="160">
        <f t="shared" si="21"/>
        <v>184</v>
      </c>
    </row>
    <row r="213" spans="1:15" s="161" customFormat="1" hidden="1" x14ac:dyDescent="0.25">
      <c r="A213" s="157" t="s">
        <v>142</v>
      </c>
      <c r="B213" s="158"/>
      <c r="C213" s="158"/>
      <c r="D213" s="158"/>
      <c r="E213" s="158"/>
      <c r="F213" s="158"/>
      <c r="G213" s="158"/>
      <c r="H213" s="158"/>
      <c r="I213" s="163" t="s">
        <v>281</v>
      </c>
      <c r="J213" s="158" t="e">
        <f t="shared" si="19"/>
        <v>#VALUE!</v>
      </c>
      <c r="K213" s="158"/>
      <c r="L213" s="158"/>
      <c r="M213" s="158" t="e">
        <f t="shared" si="20"/>
        <v>#DIV/0!</v>
      </c>
      <c r="N213" s="164" t="s">
        <v>282</v>
      </c>
      <c r="O213" s="160">
        <f t="shared" si="21"/>
        <v>149</v>
      </c>
    </row>
    <row r="214" spans="1:15" s="161" customFormat="1" hidden="1" x14ac:dyDescent="0.25">
      <c r="A214" s="157" t="s">
        <v>143</v>
      </c>
      <c r="B214" s="158"/>
      <c r="C214" s="158"/>
      <c r="D214" s="158"/>
      <c r="E214" s="158"/>
      <c r="F214" s="158"/>
      <c r="G214" s="158"/>
      <c r="H214" s="158"/>
      <c r="I214" s="158"/>
      <c r="J214" s="158" t="e">
        <f t="shared" si="19"/>
        <v>#DIV/0!</v>
      </c>
      <c r="K214" s="158"/>
      <c r="L214" s="158"/>
      <c r="M214" s="158" t="e">
        <f t="shared" si="20"/>
        <v>#DIV/0!</v>
      </c>
      <c r="N214" s="159"/>
      <c r="O214" s="160">
        <f t="shared" si="21"/>
        <v>0</v>
      </c>
    </row>
    <row r="215" spans="1:15" s="161" customFormat="1" hidden="1" x14ac:dyDescent="0.25">
      <c r="A215" s="157" t="s">
        <v>144</v>
      </c>
      <c r="B215" s="158"/>
      <c r="C215" s="158"/>
      <c r="D215" s="158"/>
      <c r="E215" s="158"/>
      <c r="F215" s="158"/>
      <c r="G215" s="158"/>
      <c r="H215" s="158"/>
      <c r="I215" s="158"/>
      <c r="J215" s="158" t="e">
        <f t="shared" si="19"/>
        <v>#DIV/0!</v>
      </c>
      <c r="K215" s="158"/>
      <c r="L215" s="158"/>
      <c r="M215" s="158" t="e">
        <f t="shared" si="20"/>
        <v>#DIV/0!</v>
      </c>
      <c r="N215" s="161" t="s">
        <v>283</v>
      </c>
      <c r="O215" s="160">
        <f t="shared" si="21"/>
        <v>250</v>
      </c>
    </row>
    <row r="216" spans="1:15" s="161" customFormat="1" hidden="1" x14ac:dyDescent="0.25">
      <c r="A216" s="157" t="s">
        <v>132</v>
      </c>
      <c r="B216" s="158"/>
      <c r="C216" s="158"/>
      <c r="D216" s="158"/>
      <c r="E216" s="158"/>
      <c r="F216" s="158"/>
      <c r="G216" s="158"/>
      <c r="H216" s="158"/>
      <c r="I216" s="158"/>
      <c r="J216" s="158" t="e">
        <f t="shared" si="19"/>
        <v>#DIV/0!</v>
      </c>
      <c r="K216" s="158"/>
      <c r="L216" s="158"/>
      <c r="M216" s="158" t="e">
        <f t="shared" si="20"/>
        <v>#DIV/0!</v>
      </c>
      <c r="N216" s="159"/>
      <c r="O216" s="160">
        <f t="shared" si="21"/>
        <v>0</v>
      </c>
    </row>
    <row r="217" spans="1:15" s="161" customFormat="1" hidden="1" x14ac:dyDescent="0.25">
      <c r="A217" s="157" t="s">
        <v>133</v>
      </c>
      <c r="B217" s="158"/>
      <c r="C217" s="158"/>
      <c r="D217" s="158"/>
      <c r="E217" s="158"/>
      <c r="F217" s="158"/>
      <c r="G217" s="158"/>
      <c r="H217" s="158"/>
      <c r="I217" s="158"/>
      <c r="J217" s="158" t="e">
        <f t="shared" si="19"/>
        <v>#DIV/0!</v>
      </c>
      <c r="K217" s="158"/>
      <c r="L217" s="158"/>
      <c r="M217" s="158" t="e">
        <f t="shared" si="20"/>
        <v>#DIV/0!</v>
      </c>
      <c r="N217" s="159"/>
      <c r="O217" s="160">
        <f t="shared" si="21"/>
        <v>0</v>
      </c>
    </row>
    <row r="218" spans="1:15" s="161" customFormat="1" hidden="1" x14ac:dyDescent="0.25">
      <c r="A218" s="157" t="s">
        <v>134</v>
      </c>
      <c r="B218" s="158"/>
      <c r="C218" s="158"/>
      <c r="D218" s="158"/>
      <c r="E218" s="158"/>
      <c r="F218" s="158"/>
      <c r="G218" s="158"/>
      <c r="H218" s="158"/>
      <c r="I218" s="158"/>
      <c r="J218" s="158" t="e">
        <f t="shared" si="19"/>
        <v>#DIV/0!</v>
      </c>
      <c r="K218" s="158"/>
      <c r="L218" s="158"/>
      <c r="M218" s="158" t="e">
        <f t="shared" si="20"/>
        <v>#DIV/0!</v>
      </c>
      <c r="N218" s="159"/>
      <c r="O218" s="160">
        <f t="shared" si="21"/>
        <v>0</v>
      </c>
    </row>
    <row r="219" spans="1:15" s="161" customFormat="1" hidden="1" x14ac:dyDescent="0.25">
      <c r="A219" s="157" t="s">
        <v>135</v>
      </c>
      <c r="B219" s="158"/>
      <c r="C219" s="158"/>
      <c r="D219" s="158"/>
      <c r="E219" s="158"/>
      <c r="F219" s="158"/>
      <c r="G219" s="158"/>
      <c r="H219" s="158"/>
      <c r="I219" s="158"/>
      <c r="J219" s="158" t="e">
        <f t="shared" si="19"/>
        <v>#DIV/0!</v>
      </c>
      <c r="K219" s="158"/>
      <c r="L219" s="158"/>
      <c r="M219" s="158" t="e">
        <f t="shared" si="20"/>
        <v>#DIV/0!</v>
      </c>
      <c r="N219" s="159"/>
      <c r="O219" s="160">
        <f t="shared" si="21"/>
        <v>0</v>
      </c>
    </row>
    <row r="220" spans="1:15" s="161" customFormat="1" hidden="1" x14ac:dyDescent="0.25">
      <c r="A220" s="157" t="s">
        <v>136</v>
      </c>
      <c r="B220" s="158"/>
      <c r="C220" s="158"/>
      <c r="D220" s="158"/>
      <c r="E220" s="158"/>
      <c r="F220" s="158"/>
      <c r="G220" s="158"/>
      <c r="H220" s="158"/>
      <c r="I220" s="158"/>
      <c r="J220" s="158" t="e">
        <f t="shared" si="19"/>
        <v>#DIV/0!</v>
      </c>
      <c r="K220" s="158"/>
      <c r="L220" s="158"/>
      <c r="M220" s="158" t="e">
        <f t="shared" si="20"/>
        <v>#DIV/0!</v>
      </c>
      <c r="N220" s="159"/>
      <c r="O220" s="160">
        <f t="shared" si="21"/>
        <v>0</v>
      </c>
    </row>
    <row r="221" spans="1:15" s="161" customFormat="1" ht="15.75" hidden="1" thickBot="1" x14ac:dyDescent="0.3">
      <c r="A221" s="165" t="s">
        <v>137</v>
      </c>
      <c r="B221" s="108"/>
      <c r="C221" s="108"/>
      <c r="D221" s="108"/>
      <c r="E221" s="108"/>
      <c r="F221" s="108"/>
      <c r="G221" s="108"/>
      <c r="H221" s="108"/>
      <c r="I221" s="108"/>
      <c r="J221" s="108" t="e">
        <f t="shared" si="19"/>
        <v>#DIV/0!</v>
      </c>
      <c r="K221" s="108"/>
      <c r="L221" s="108"/>
      <c r="M221" s="108" t="e">
        <f t="shared" si="20"/>
        <v>#DIV/0!</v>
      </c>
      <c r="N221" s="111"/>
      <c r="O221" s="166"/>
    </row>
    <row r="223" spans="1:15" ht="20.25" hidden="1" x14ac:dyDescent="0.25">
      <c r="A223" s="1163" t="s">
        <v>166</v>
      </c>
      <c r="B223" s="1164"/>
      <c r="C223" s="1164"/>
      <c r="D223" s="1164"/>
      <c r="E223" s="1164"/>
      <c r="F223" s="1164"/>
      <c r="G223" s="1164"/>
      <c r="H223" s="1164"/>
      <c r="I223" s="1164"/>
      <c r="J223" s="1164"/>
      <c r="K223" s="1164"/>
      <c r="L223" s="1164"/>
      <c r="M223" s="1164"/>
      <c r="N223" s="1165"/>
    </row>
    <row r="224" spans="1:15" ht="38.25" hidden="1" x14ac:dyDescent="0.25">
      <c r="A224" s="32" t="s">
        <v>62</v>
      </c>
      <c r="B224" s="33" t="s">
        <v>149</v>
      </c>
      <c r="C224" s="33" t="s">
        <v>150</v>
      </c>
      <c r="D224" s="33" t="s">
        <v>151</v>
      </c>
      <c r="E224" s="33" t="s">
        <v>152</v>
      </c>
      <c r="F224" s="33" t="s">
        <v>167</v>
      </c>
      <c r="G224" s="33" t="s">
        <v>154</v>
      </c>
      <c r="H224" s="33" t="s">
        <v>168</v>
      </c>
      <c r="I224" s="33" t="s">
        <v>169</v>
      </c>
      <c r="J224" s="41" t="s">
        <v>170</v>
      </c>
      <c r="K224" s="33" t="s">
        <v>158</v>
      </c>
      <c r="L224" s="33" t="s">
        <v>159</v>
      </c>
      <c r="M224" s="33" t="s">
        <v>160</v>
      </c>
      <c r="N224" s="34" t="s">
        <v>161</v>
      </c>
    </row>
    <row r="225" spans="1:14" hidden="1" x14ac:dyDescent="0.25">
      <c r="A225" s="39" t="s">
        <v>139</v>
      </c>
      <c r="B225" s="36"/>
      <c r="C225" s="36"/>
      <c r="D225" s="36"/>
      <c r="E225" s="36"/>
      <c r="F225" s="36"/>
      <c r="G225" s="36"/>
      <c r="H225" s="36"/>
      <c r="I225" s="36"/>
      <c r="J225" s="36" t="e">
        <f t="shared" ref="J225:J236" si="22">I225/H225</f>
        <v>#DIV/0!</v>
      </c>
      <c r="K225" s="36"/>
      <c r="L225" s="36"/>
      <c r="M225" s="36" t="e">
        <f t="shared" ref="M225:M236" si="23">L225/K225</f>
        <v>#DIV/0!</v>
      </c>
      <c r="N225" s="37"/>
    </row>
    <row r="226" spans="1:14" hidden="1" x14ac:dyDescent="0.25">
      <c r="A226" s="39" t="s">
        <v>140</v>
      </c>
      <c r="B226" s="36"/>
      <c r="C226" s="36"/>
      <c r="D226" s="36"/>
      <c r="E226" s="36"/>
      <c r="F226" s="36"/>
      <c r="G226" s="36"/>
      <c r="H226" s="36"/>
      <c r="I226" s="36"/>
      <c r="J226" s="36" t="e">
        <f t="shared" si="22"/>
        <v>#DIV/0!</v>
      </c>
      <c r="K226" s="36"/>
      <c r="L226" s="36"/>
      <c r="M226" s="36" t="e">
        <f t="shared" si="23"/>
        <v>#DIV/0!</v>
      </c>
      <c r="N226" s="37"/>
    </row>
    <row r="227" spans="1:14" hidden="1" x14ac:dyDescent="0.25">
      <c r="A227" s="39" t="s">
        <v>141</v>
      </c>
      <c r="B227" s="36"/>
      <c r="C227" s="36"/>
      <c r="D227" s="36"/>
      <c r="E227" s="36"/>
      <c r="F227" s="36"/>
      <c r="G227" s="36"/>
      <c r="H227" s="36"/>
      <c r="I227" s="36"/>
      <c r="J227" s="36" t="e">
        <f t="shared" si="22"/>
        <v>#DIV/0!</v>
      </c>
      <c r="K227" s="36"/>
      <c r="L227" s="36"/>
      <c r="M227" s="36" t="e">
        <f t="shared" si="23"/>
        <v>#DIV/0!</v>
      </c>
      <c r="N227" s="37"/>
    </row>
    <row r="228" spans="1:14" hidden="1" x14ac:dyDescent="0.25">
      <c r="A228" s="39" t="s">
        <v>142</v>
      </c>
      <c r="B228" s="36"/>
      <c r="C228" s="36"/>
      <c r="D228" s="36"/>
      <c r="E228" s="36"/>
      <c r="F228" s="36"/>
      <c r="G228" s="36"/>
      <c r="H228" s="36"/>
      <c r="I228" s="36"/>
      <c r="J228" s="36" t="e">
        <f t="shared" si="22"/>
        <v>#DIV/0!</v>
      </c>
      <c r="K228" s="36"/>
      <c r="L228" s="36"/>
      <c r="M228" s="36" t="e">
        <f t="shared" si="23"/>
        <v>#DIV/0!</v>
      </c>
      <c r="N228" s="37"/>
    </row>
    <row r="229" spans="1:14" hidden="1" x14ac:dyDescent="0.25">
      <c r="A229" s="39" t="s">
        <v>143</v>
      </c>
      <c r="B229" s="36"/>
      <c r="C229" s="36"/>
      <c r="D229" s="36"/>
      <c r="E229" s="36"/>
      <c r="F229" s="36"/>
      <c r="G229" s="36"/>
      <c r="H229" s="36"/>
      <c r="I229" s="36"/>
      <c r="J229" s="36" t="e">
        <f t="shared" si="22"/>
        <v>#DIV/0!</v>
      </c>
      <c r="K229" s="36"/>
      <c r="L229" s="36"/>
      <c r="M229" s="36" t="e">
        <f t="shared" si="23"/>
        <v>#DIV/0!</v>
      </c>
      <c r="N229" s="37"/>
    </row>
    <row r="230" spans="1:14" hidden="1" x14ac:dyDescent="0.25">
      <c r="A230" s="39" t="s">
        <v>144</v>
      </c>
      <c r="B230" s="36"/>
      <c r="C230" s="36"/>
      <c r="D230" s="36"/>
      <c r="E230" s="36"/>
      <c r="F230" s="36"/>
      <c r="G230" s="36"/>
      <c r="H230" s="36"/>
      <c r="I230" s="36"/>
      <c r="J230" s="36" t="e">
        <f t="shared" si="22"/>
        <v>#DIV/0!</v>
      </c>
      <c r="K230" s="36"/>
      <c r="L230" s="36"/>
      <c r="M230" s="36" t="e">
        <f t="shared" si="23"/>
        <v>#DIV/0!</v>
      </c>
      <c r="N230" s="37"/>
    </row>
    <row r="231" spans="1:14" hidden="1" x14ac:dyDescent="0.25">
      <c r="A231" s="39" t="s">
        <v>132</v>
      </c>
      <c r="B231" s="36"/>
      <c r="C231" s="36"/>
      <c r="D231" s="36"/>
      <c r="E231" s="36"/>
      <c r="F231" s="36"/>
      <c r="G231" s="36"/>
      <c r="H231" s="36"/>
      <c r="I231" s="36"/>
      <c r="J231" s="36" t="e">
        <f t="shared" si="22"/>
        <v>#DIV/0!</v>
      </c>
      <c r="K231" s="36"/>
      <c r="L231" s="36"/>
      <c r="M231" s="36" t="e">
        <f t="shared" si="23"/>
        <v>#DIV/0!</v>
      </c>
      <c r="N231" s="37"/>
    </row>
    <row r="232" spans="1:14" hidden="1" x14ac:dyDescent="0.25">
      <c r="A232" s="39" t="s">
        <v>133</v>
      </c>
      <c r="B232" s="36"/>
      <c r="C232" s="36"/>
      <c r="D232" s="36"/>
      <c r="E232" s="36"/>
      <c r="F232" s="36"/>
      <c r="G232" s="36"/>
      <c r="H232" s="36"/>
      <c r="I232" s="36"/>
      <c r="J232" s="36" t="e">
        <f t="shared" si="22"/>
        <v>#DIV/0!</v>
      </c>
      <c r="K232" s="36"/>
      <c r="L232" s="36"/>
      <c r="M232" s="36" t="e">
        <f t="shared" si="23"/>
        <v>#DIV/0!</v>
      </c>
      <c r="N232" s="37"/>
    </row>
    <row r="233" spans="1:14" hidden="1" x14ac:dyDescent="0.25">
      <c r="A233" s="39" t="s">
        <v>134</v>
      </c>
      <c r="B233" s="36"/>
      <c r="C233" s="36"/>
      <c r="D233" s="36"/>
      <c r="E233" s="36"/>
      <c r="F233" s="36"/>
      <c r="G233" s="36"/>
      <c r="H233" s="36"/>
      <c r="I233" s="36"/>
      <c r="J233" s="36" t="e">
        <f t="shared" si="22"/>
        <v>#DIV/0!</v>
      </c>
      <c r="K233" s="36"/>
      <c r="L233" s="36"/>
      <c r="M233" s="36" t="e">
        <f t="shared" si="23"/>
        <v>#DIV/0!</v>
      </c>
      <c r="N233" s="37"/>
    </row>
    <row r="234" spans="1:14" hidden="1" x14ac:dyDescent="0.25">
      <c r="A234" s="39" t="s">
        <v>135</v>
      </c>
      <c r="B234" s="36"/>
      <c r="C234" s="36"/>
      <c r="D234" s="36"/>
      <c r="E234" s="36"/>
      <c r="F234" s="36"/>
      <c r="G234" s="36"/>
      <c r="H234" s="36"/>
      <c r="I234" s="36"/>
      <c r="J234" s="36" t="e">
        <f t="shared" si="22"/>
        <v>#DIV/0!</v>
      </c>
      <c r="K234" s="36"/>
      <c r="L234" s="36"/>
      <c r="M234" s="36" t="e">
        <f t="shared" si="23"/>
        <v>#DIV/0!</v>
      </c>
      <c r="N234" s="37"/>
    </row>
    <row r="235" spans="1:14" hidden="1" x14ac:dyDescent="0.25">
      <c r="A235" s="39" t="s">
        <v>136</v>
      </c>
      <c r="B235" s="36"/>
      <c r="C235" s="36"/>
      <c r="D235" s="36"/>
      <c r="E235" s="36"/>
      <c r="F235" s="36"/>
      <c r="G235" s="36"/>
      <c r="H235" s="36"/>
      <c r="I235" s="36"/>
      <c r="J235" s="36" t="e">
        <f t="shared" si="22"/>
        <v>#DIV/0!</v>
      </c>
      <c r="K235" s="36"/>
      <c r="L235" s="36"/>
      <c r="M235" s="36" t="e">
        <f t="shared" si="23"/>
        <v>#DIV/0!</v>
      </c>
      <c r="N235" s="37"/>
    </row>
    <row r="236" spans="1:14" ht="15.75" hidden="1" thickBot="1" x14ac:dyDescent="0.3">
      <c r="A236" s="40" t="s">
        <v>137</v>
      </c>
      <c r="B236" s="38"/>
      <c r="C236" s="38"/>
      <c r="D236" s="38"/>
      <c r="E236" s="38"/>
      <c r="F236" s="38"/>
      <c r="G236" s="38"/>
      <c r="H236" s="38"/>
      <c r="I236" s="38"/>
      <c r="J236" s="38" t="e">
        <f t="shared" si="22"/>
        <v>#DIV/0!</v>
      </c>
      <c r="K236" s="38"/>
      <c r="L236" s="38"/>
      <c r="M236" s="38" t="e">
        <f t="shared" si="23"/>
        <v>#DIV/0!</v>
      </c>
      <c r="N236" s="42"/>
    </row>
    <row r="237" spans="1:14" hidden="1" x14ac:dyDescent="0.25"/>
    <row r="238" spans="1:14" ht="20.25" hidden="1" x14ac:dyDescent="0.25">
      <c r="A238" s="1163" t="s">
        <v>171</v>
      </c>
      <c r="B238" s="1164"/>
      <c r="C238" s="1164"/>
      <c r="D238" s="1164"/>
      <c r="E238" s="1164"/>
      <c r="F238" s="1164"/>
      <c r="G238" s="1164"/>
      <c r="H238" s="1164"/>
      <c r="I238" s="1164"/>
      <c r="J238" s="1164"/>
      <c r="K238" s="1164"/>
      <c r="L238" s="1164"/>
      <c r="M238" s="1164"/>
      <c r="N238" s="1165"/>
    </row>
    <row r="239" spans="1:14" ht="38.25" hidden="1" x14ac:dyDescent="0.25">
      <c r="A239" s="32" t="s">
        <v>63</v>
      </c>
      <c r="B239" s="33" t="s">
        <v>149</v>
      </c>
      <c r="C239" s="33" t="s">
        <v>150</v>
      </c>
      <c r="D239" s="33" t="s">
        <v>151</v>
      </c>
      <c r="E239" s="33" t="s">
        <v>152</v>
      </c>
      <c r="F239" s="33" t="s">
        <v>172</v>
      </c>
      <c r="G239" s="33" t="s">
        <v>154</v>
      </c>
      <c r="H239" s="33" t="s">
        <v>173</v>
      </c>
      <c r="I239" s="33" t="s">
        <v>174</v>
      </c>
      <c r="J239" s="41" t="s">
        <v>175</v>
      </c>
      <c r="K239" s="33" t="s">
        <v>158</v>
      </c>
      <c r="L239" s="33" t="s">
        <v>159</v>
      </c>
      <c r="M239" s="33" t="s">
        <v>160</v>
      </c>
      <c r="N239" s="34" t="s">
        <v>161</v>
      </c>
    </row>
    <row r="240" spans="1:14" hidden="1" x14ac:dyDescent="0.25">
      <c r="A240" s="39" t="s">
        <v>139</v>
      </c>
      <c r="B240" s="36"/>
      <c r="C240" s="36"/>
      <c r="D240" s="36"/>
      <c r="E240" s="36"/>
      <c r="F240" s="36"/>
      <c r="G240" s="36"/>
      <c r="H240" s="36"/>
      <c r="I240" s="36"/>
      <c r="J240" s="36" t="e">
        <f t="shared" ref="J240:J251" si="24">I240/H240</f>
        <v>#DIV/0!</v>
      </c>
      <c r="K240" s="36"/>
      <c r="L240" s="36"/>
      <c r="M240" s="36" t="e">
        <f t="shared" ref="M240:M251" si="25">L240/K240</f>
        <v>#DIV/0!</v>
      </c>
      <c r="N240" s="37"/>
    </row>
    <row r="241" spans="1:14" hidden="1" x14ac:dyDescent="0.25">
      <c r="A241" s="39" t="s">
        <v>140</v>
      </c>
      <c r="B241" s="36"/>
      <c r="C241" s="36"/>
      <c r="D241" s="36"/>
      <c r="E241" s="36"/>
      <c r="F241" s="36"/>
      <c r="G241" s="36"/>
      <c r="H241" s="36"/>
      <c r="I241" s="36"/>
      <c r="J241" s="36" t="e">
        <f t="shared" si="24"/>
        <v>#DIV/0!</v>
      </c>
      <c r="K241" s="36"/>
      <c r="L241" s="36"/>
      <c r="M241" s="36" t="e">
        <f t="shared" si="25"/>
        <v>#DIV/0!</v>
      </c>
      <c r="N241" s="37"/>
    </row>
    <row r="242" spans="1:14" hidden="1" x14ac:dyDescent="0.25">
      <c r="A242" s="39" t="s">
        <v>141</v>
      </c>
      <c r="B242" s="36"/>
      <c r="C242" s="36"/>
      <c r="D242" s="36"/>
      <c r="E242" s="36"/>
      <c r="F242" s="36"/>
      <c r="G242" s="36"/>
      <c r="H242" s="36"/>
      <c r="I242" s="36"/>
      <c r="J242" s="36" t="e">
        <f t="shared" si="24"/>
        <v>#DIV/0!</v>
      </c>
      <c r="K242" s="36"/>
      <c r="L242" s="36"/>
      <c r="M242" s="36" t="e">
        <f t="shared" si="25"/>
        <v>#DIV/0!</v>
      </c>
      <c r="N242" s="37"/>
    </row>
    <row r="243" spans="1:14" hidden="1" x14ac:dyDescent="0.25">
      <c r="A243" s="39" t="s">
        <v>142</v>
      </c>
      <c r="B243" s="36"/>
      <c r="C243" s="36"/>
      <c r="D243" s="36"/>
      <c r="E243" s="36"/>
      <c r="F243" s="36"/>
      <c r="G243" s="36"/>
      <c r="H243" s="36"/>
      <c r="I243" s="36"/>
      <c r="J243" s="36" t="e">
        <f t="shared" si="24"/>
        <v>#DIV/0!</v>
      </c>
      <c r="K243" s="36"/>
      <c r="L243" s="36"/>
      <c r="M243" s="36" t="e">
        <f t="shared" si="25"/>
        <v>#DIV/0!</v>
      </c>
      <c r="N243" s="37"/>
    </row>
    <row r="244" spans="1:14" hidden="1" x14ac:dyDescent="0.25">
      <c r="A244" s="39" t="s">
        <v>143</v>
      </c>
      <c r="B244" s="36"/>
      <c r="C244" s="36"/>
      <c r="D244" s="36"/>
      <c r="E244" s="36"/>
      <c r="F244" s="36"/>
      <c r="G244" s="36"/>
      <c r="H244" s="36"/>
      <c r="I244" s="36"/>
      <c r="J244" s="36" t="e">
        <f t="shared" si="24"/>
        <v>#DIV/0!</v>
      </c>
      <c r="K244" s="36"/>
      <c r="L244" s="36"/>
      <c r="M244" s="36" t="e">
        <f t="shared" si="25"/>
        <v>#DIV/0!</v>
      </c>
      <c r="N244" s="37"/>
    </row>
    <row r="245" spans="1:14" hidden="1" x14ac:dyDescent="0.25">
      <c r="A245" s="39" t="s">
        <v>144</v>
      </c>
      <c r="B245" s="36"/>
      <c r="C245" s="36"/>
      <c r="D245" s="36"/>
      <c r="E245" s="36"/>
      <c r="F245" s="36"/>
      <c r="G245" s="36"/>
      <c r="H245" s="36"/>
      <c r="I245" s="36"/>
      <c r="J245" s="36" t="e">
        <f t="shared" si="24"/>
        <v>#DIV/0!</v>
      </c>
      <c r="K245" s="36"/>
      <c r="L245" s="36"/>
      <c r="M245" s="36" t="e">
        <f t="shared" si="25"/>
        <v>#DIV/0!</v>
      </c>
      <c r="N245" s="37"/>
    </row>
    <row r="246" spans="1:14" hidden="1" x14ac:dyDescent="0.25">
      <c r="A246" s="39" t="s">
        <v>132</v>
      </c>
      <c r="B246" s="36"/>
      <c r="C246" s="36"/>
      <c r="D246" s="36"/>
      <c r="E246" s="36"/>
      <c r="F246" s="36"/>
      <c r="G246" s="36"/>
      <c r="H246" s="36"/>
      <c r="I246" s="36"/>
      <c r="J246" s="36" t="e">
        <f t="shared" si="24"/>
        <v>#DIV/0!</v>
      </c>
      <c r="K246" s="36"/>
      <c r="L246" s="36"/>
      <c r="M246" s="36" t="e">
        <f t="shared" si="25"/>
        <v>#DIV/0!</v>
      </c>
      <c r="N246" s="37"/>
    </row>
    <row r="247" spans="1:14" hidden="1" x14ac:dyDescent="0.25">
      <c r="A247" s="39" t="s">
        <v>133</v>
      </c>
      <c r="B247" s="36"/>
      <c r="C247" s="36"/>
      <c r="D247" s="36"/>
      <c r="E247" s="36"/>
      <c r="F247" s="36"/>
      <c r="G247" s="36"/>
      <c r="H247" s="36"/>
      <c r="I247" s="36"/>
      <c r="J247" s="36" t="e">
        <f t="shared" si="24"/>
        <v>#DIV/0!</v>
      </c>
      <c r="K247" s="36"/>
      <c r="L247" s="36"/>
      <c r="M247" s="36" t="e">
        <f t="shared" si="25"/>
        <v>#DIV/0!</v>
      </c>
      <c r="N247" s="37"/>
    </row>
    <row r="248" spans="1:14" hidden="1" x14ac:dyDescent="0.25">
      <c r="A248" s="39" t="s">
        <v>134</v>
      </c>
      <c r="B248" s="36"/>
      <c r="C248" s="36"/>
      <c r="D248" s="36"/>
      <c r="E248" s="36"/>
      <c r="F248" s="36"/>
      <c r="G248" s="36"/>
      <c r="H248" s="36"/>
      <c r="I248" s="36"/>
      <c r="J248" s="36" t="e">
        <f t="shared" si="24"/>
        <v>#DIV/0!</v>
      </c>
      <c r="K248" s="36"/>
      <c r="L248" s="36"/>
      <c r="M248" s="36" t="e">
        <f t="shared" si="25"/>
        <v>#DIV/0!</v>
      </c>
      <c r="N248" s="37"/>
    </row>
    <row r="249" spans="1:14" hidden="1" x14ac:dyDescent="0.25">
      <c r="A249" s="39" t="s">
        <v>135</v>
      </c>
      <c r="B249" s="36"/>
      <c r="C249" s="36"/>
      <c r="D249" s="36"/>
      <c r="E249" s="36"/>
      <c r="F249" s="36"/>
      <c r="G249" s="36"/>
      <c r="H249" s="36"/>
      <c r="I249" s="36"/>
      <c r="J249" s="36" t="e">
        <f t="shared" si="24"/>
        <v>#DIV/0!</v>
      </c>
      <c r="K249" s="36"/>
      <c r="L249" s="36"/>
      <c r="M249" s="36" t="e">
        <f t="shared" si="25"/>
        <v>#DIV/0!</v>
      </c>
      <c r="N249" s="37"/>
    </row>
    <row r="250" spans="1:14" hidden="1" x14ac:dyDescent="0.25">
      <c r="A250" s="39" t="s">
        <v>136</v>
      </c>
      <c r="B250" s="36"/>
      <c r="C250" s="36"/>
      <c r="D250" s="36"/>
      <c r="E250" s="36"/>
      <c r="F250" s="36"/>
      <c r="G250" s="36"/>
      <c r="H250" s="36"/>
      <c r="I250" s="36"/>
      <c r="J250" s="36" t="e">
        <f t="shared" si="24"/>
        <v>#DIV/0!</v>
      </c>
      <c r="K250" s="36"/>
      <c r="L250" s="36"/>
      <c r="M250" s="36" t="e">
        <f t="shared" si="25"/>
        <v>#DIV/0!</v>
      </c>
      <c r="N250" s="37"/>
    </row>
    <row r="251" spans="1:14" ht="15.75" hidden="1" thickBot="1" x14ac:dyDescent="0.3">
      <c r="A251" s="40" t="s">
        <v>137</v>
      </c>
      <c r="B251" s="38"/>
      <c r="C251" s="38"/>
      <c r="D251" s="38"/>
      <c r="E251" s="38"/>
      <c r="F251" s="38"/>
      <c r="G251" s="38"/>
      <c r="H251" s="38"/>
      <c r="I251" s="38"/>
      <c r="J251" s="38" t="e">
        <f t="shared" si="24"/>
        <v>#DIV/0!</v>
      </c>
      <c r="K251" s="38"/>
      <c r="L251" s="38"/>
      <c r="M251" s="38" t="e">
        <f t="shared" si="25"/>
        <v>#DIV/0!</v>
      </c>
      <c r="N251" s="42"/>
    </row>
    <row r="253" spans="1:14" ht="20.25" hidden="1" x14ac:dyDescent="0.25">
      <c r="A253" s="1163" t="s">
        <v>176</v>
      </c>
      <c r="B253" s="1164"/>
      <c r="C253" s="1164"/>
      <c r="D253" s="1164"/>
      <c r="E253" s="1164"/>
      <c r="F253" s="1164"/>
      <c r="G253" s="1164"/>
      <c r="H253" s="1164"/>
      <c r="I253" s="1164"/>
      <c r="J253" s="1164"/>
      <c r="K253" s="1164"/>
      <c r="L253" s="1164"/>
      <c r="M253" s="1164"/>
      <c r="N253" s="1165"/>
    </row>
    <row r="254" spans="1:14" ht="38.25" hidden="1" x14ac:dyDescent="0.25">
      <c r="A254" s="32" t="s">
        <v>64</v>
      </c>
      <c r="B254" s="33" t="s">
        <v>149</v>
      </c>
      <c r="C254" s="33" t="s">
        <v>150</v>
      </c>
      <c r="D254" s="33" t="s">
        <v>151</v>
      </c>
      <c r="E254" s="33" t="s">
        <v>152</v>
      </c>
      <c r="F254" s="33" t="s">
        <v>177</v>
      </c>
      <c r="G254" s="33" t="s">
        <v>154</v>
      </c>
      <c r="H254" s="33" t="s">
        <v>178</v>
      </c>
      <c r="I254" s="33" t="s">
        <v>179</v>
      </c>
      <c r="J254" s="41" t="s">
        <v>180</v>
      </c>
      <c r="K254" s="33" t="s">
        <v>158</v>
      </c>
      <c r="L254" s="33" t="s">
        <v>159</v>
      </c>
      <c r="M254" s="33" t="s">
        <v>160</v>
      </c>
      <c r="N254" s="34" t="s">
        <v>161</v>
      </c>
    </row>
    <row r="255" spans="1:14" hidden="1" x14ac:dyDescent="0.25">
      <c r="A255" s="39" t="s">
        <v>139</v>
      </c>
      <c r="B255" s="36"/>
      <c r="C255" s="36"/>
      <c r="D255" s="36"/>
      <c r="E255" s="36"/>
      <c r="F255" s="36"/>
      <c r="G255" s="36"/>
      <c r="H255" s="36"/>
      <c r="I255" s="36"/>
      <c r="J255" s="36" t="e">
        <f t="shared" ref="J255:J266" si="26">I255/H255</f>
        <v>#DIV/0!</v>
      </c>
      <c r="K255" s="36"/>
      <c r="L255" s="36"/>
      <c r="M255" s="36" t="e">
        <f t="shared" ref="M255:M266" si="27">L255/K255</f>
        <v>#DIV/0!</v>
      </c>
      <c r="N255" s="37"/>
    </row>
    <row r="256" spans="1:14" hidden="1" x14ac:dyDescent="0.25">
      <c r="A256" s="39" t="s">
        <v>140</v>
      </c>
      <c r="B256" s="36"/>
      <c r="C256" s="36"/>
      <c r="D256" s="36"/>
      <c r="E256" s="36"/>
      <c r="F256" s="36"/>
      <c r="G256" s="36"/>
      <c r="H256" s="36"/>
      <c r="I256" s="36"/>
      <c r="J256" s="36" t="e">
        <f t="shared" si="26"/>
        <v>#DIV/0!</v>
      </c>
      <c r="K256" s="36"/>
      <c r="L256" s="36"/>
      <c r="M256" s="36" t="e">
        <f t="shared" si="27"/>
        <v>#DIV/0!</v>
      </c>
      <c r="N256" s="37"/>
    </row>
    <row r="257" spans="1:14" hidden="1" x14ac:dyDescent="0.25">
      <c r="A257" s="39" t="s">
        <v>141</v>
      </c>
      <c r="B257" s="36"/>
      <c r="C257" s="36"/>
      <c r="D257" s="36"/>
      <c r="E257" s="36"/>
      <c r="F257" s="36"/>
      <c r="G257" s="36"/>
      <c r="H257" s="36"/>
      <c r="I257" s="36"/>
      <c r="J257" s="36" t="e">
        <f t="shared" si="26"/>
        <v>#DIV/0!</v>
      </c>
      <c r="K257" s="36"/>
      <c r="L257" s="36"/>
      <c r="M257" s="36" t="e">
        <f t="shared" si="27"/>
        <v>#DIV/0!</v>
      </c>
      <c r="N257" s="37"/>
    </row>
    <row r="258" spans="1:14" hidden="1" x14ac:dyDescent="0.25">
      <c r="A258" s="39" t="s">
        <v>142</v>
      </c>
      <c r="B258" s="36"/>
      <c r="C258" s="36"/>
      <c r="D258" s="36"/>
      <c r="E258" s="36"/>
      <c r="F258" s="36"/>
      <c r="G258" s="36"/>
      <c r="H258" s="36"/>
      <c r="I258" s="36"/>
      <c r="J258" s="36" t="e">
        <f t="shared" si="26"/>
        <v>#DIV/0!</v>
      </c>
      <c r="K258" s="36"/>
      <c r="L258" s="36"/>
      <c r="M258" s="36" t="e">
        <f t="shared" si="27"/>
        <v>#DIV/0!</v>
      </c>
      <c r="N258" s="37"/>
    </row>
    <row r="259" spans="1:14" hidden="1" x14ac:dyDescent="0.25">
      <c r="A259" s="39" t="s">
        <v>143</v>
      </c>
      <c r="B259" s="36"/>
      <c r="C259" s="36"/>
      <c r="D259" s="36"/>
      <c r="E259" s="36"/>
      <c r="F259" s="36"/>
      <c r="G259" s="36"/>
      <c r="H259" s="36"/>
      <c r="I259" s="36"/>
      <c r="J259" s="36" t="e">
        <f t="shared" si="26"/>
        <v>#DIV/0!</v>
      </c>
      <c r="K259" s="36"/>
      <c r="L259" s="36"/>
      <c r="M259" s="36" t="e">
        <f t="shared" si="27"/>
        <v>#DIV/0!</v>
      </c>
      <c r="N259" s="37"/>
    </row>
    <row r="260" spans="1:14" hidden="1" x14ac:dyDescent="0.25">
      <c r="A260" s="39" t="s">
        <v>144</v>
      </c>
      <c r="B260" s="36"/>
      <c r="C260" s="36"/>
      <c r="D260" s="36"/>
      <c r="E260" s="36"/>
      <c r="F260" s="36"/>
      <c r="G260" s="36"/>
      <c r="H260" s="36"/>
      <c r="I260" s="36"/>
      <c r="J260" s="36" t="e">
        <f t="shared" si="26"/>
        <v>#DIV/0!</v>
      </c>
      <c r="K260" s="36"/>
      <c r="L260" s="36"/>
      <c r="M260" s="36" t="e">
        <f t="shared" si="27"/>
        <v>#DIV/0!</v>
      </c>
      <c r="N260" s="37"/>
    </row>
    <row r="261" spans="1:14" hidden="1" x14ac:dyDescent="0.25">
      <c r="A261" s="39" t="s">
        <v>132</v>
      </c>
      <c r="B261" s="36"/>
      <c r="C261" s="36"/>
      <c r="D261" s="36"/>
      <c r="E261" s="36"/>
      <c r="F261" s="36"/>
      <c r="G261" s="36"/>
      <c r="H261" s="36"/>
      <c r="I261" s="36"/>
      <c r="J261" s="36" t="e">
        <f t="shared" si="26"/>
        <v>#DIV/0!</v>
      </c>
      <c r="K261" s="36"/>
      <c r="L261" s="36"/>
      <c r="M261" s="36" t="e">
        <f t="shared" si="27"/>
        <v>#DIV/0!</v>
      </c>
      <c r="N261" s="37"/>
    </row>
    <row r="262" spans="1:14" hidden="1" x14ac:dyDescent="0.25">
      <c r="A262" s="39" t="s">
        <v>133</v>
      </c>
      <c r="B262" s="36"/>
      <c r="C262" s="36"/>
      <c r="D262" s="36"/>
      <c r="E262" s="36"/>
      <c r="F262" s="36"/>
      <c r="G262" s="36"/>
      <c r="H262" s="36"/>
      <c r="I262" s="36"/>
      <c r="J262" s="36" t="e">
        <f t="shared" si="26"/>
        <v>#DIV/0!</v>
      </c>
      <c r="K262" s="36"/>
      <c r="L262" s="36"/>
      <c r="M262" s="36" t="e">
        <f t="shared" si="27"/>
        <v>#DIV/0!</v>
      </c>
      <c r="N262" s="37"/>
    </row>
    <row r="263" spans="1:14" hidden="1" x14ac:dyDescent="0.25">
      <c r="A263" s="39" t="s">
        <v>134</v>
      </c>
      <c r="B263" s="36"/>
      <c r="C263" s="36"/>
      <c r="D263" s="36"/>
      <c r="E263" s="36"/>
      <c r="F263" s="36"/>
      <c r="G263" s="36"/>
      <c r="H263" s="36"/>
      <c r="I263" s="36"/>
      <c r="J263" s="36" t="e">
        <f t="shared" si="26"/>
        <v>#DIV/0!</v>
      </c>
      <c r="K263" s="36"/>
      <c r="L263" s="36"/>
      <c r="M263" s="36" t="e">
        <f t="shared" si="27"/>
        <v>#DIV/0!</v>
      </c>
      <c r="N263" s="37"/>
    </row>
    <row r="264" spans="1:14" hidden="1" x14ac:dyDescent="0.25">
      <c r="A264" s="39" t="s">
        <v>135</v>
      </c>
      <c r="B264" s="36"/>
      <c r="C264" s="36"/>
      <c r="D264" s="36"/>
      <c r="E264" s="36"/>
      <c r="F264" s="36"/>
      <c r="G264" s="36"/>
      <c r="H264" s="36"/>
      <c r="I264" s="36"/>
      <c r="J264" s="36" t="e">
        <f t="shared" si="26"/>
        <v>#DIV/0!</v>
      </c>
      <c r="K264" s="36"/>
      <c r="L264" s="36"/>
      <c r="M264" s="36" t="e">
        <f t="shared" si="27"/>
        <v>#DIV/0!</v>
      </c>
      <c r="N264" s="37"/>
    </row>
    <row r="265" spans="1:14" hidden="1" x14ac:dyDescent="0.25">
      <c r="A265" s="39" t="s">
        <v>136</v>
      </c>
      <c r="B265" s="36"/>
      <c r="C265" s="36"/>
      <c r="D265" s="36"/>
      <c r="E265" s="36"/>
      <c r="F265" s="36"/>
      <c r="G265" s="36"/>
      <c r="H265" s="36"/>
      <c r="I265" s="36"/>
      <c r="J265" s="36" t="e">
        <f t="shared" si="26"/>
        <v>#DIV/0!</v>
      </c>
      <c r="K265" s="36"/>
      <c r="L265" s="36"/>
      <c r="M265" s="36" t="e">
        <f t="shared" si="27"/>
        <v>#DIV/0!</v>
      </c>
      <c r="N265" s="37"/>
    </row>
    <row r="266" spans="1:14" ht="15.75" hidden="1" thickBot="1" x14ac:dyDescent="0.3">
      <c r="A266" s="40" t="s">
        <v>137</v>
      </c>
      <c r="B266" s="38"/>
      <c r="C266" s="38"/>
      <c r="D266" s="38"/>
      <c r="E266" s="38"/>
      <c r="F266" s="38"/>
      <c r="G266" s="38"/>
      <c r="H266" s="38"/>
      <c r="I266" s="38"/>
      <c r="J266" s="38" t="e">
        <f t="shared" si="26"/>
        <v>#DIV/0!</v>
      </c>
      <c r="K266" s="38"/>
      <c r="L266" s="38"/>
      <c r="M266" s="38" t="e">
        <f t="shared" si="27"/>
        <v>#DIV/0!</v>
      </c>
      <c r="N266" s="42"/>
    </row>
    <row r="269" spans="1:14" ht="20.25" hidden="1" x14ac:dyDescent="0.3">
      <c r="A269" s="1190" t="s">
        <v>181</v>
      </c>
      <c r="B269" s="1191"/>
      <c r="C269" s="1191"/>
      <c r="D269" s="1191"/>
      <c r="E269" s="1191"/>
      <c r="F269" s="1191"/>
      <c r="G269" s="1192"/>
    </row>
    <row r="270" spans="1:14" ht="39" hidden="1" thickBot="1" x14ac:dyDescent="0.3">
      <c r="A270" s="32" t="s">
        <v>49</v>
      </c>
      <c r="B270" s="43" t="s">
        <v>149</v>
      </c>
      <c r="C270" s="43" t="s">
        <v>150</v>
      </c>
      <c r="D270" s="43" t="s">
        <v>182</v>
      </c>
      <c r="E270" s="43" t="s">
        <v>183</v>
      </c>
      <c r="F270" s="43" t="s">
        <v>184</v>
      </c>
      <c r="G270" s="44" t="s">
        <v>185</v>
      </c>
    </row>
    <row r="271" spans="1:14" hidden="1" x14ac:dyDescent="0.25">
      <c r="A271" s="133" t="s">
        <v>132</v>
      </c>
      <c r="B271" s="1242" t="s">
        <v>217</v>
      </c>
      <c r="C271" s="1244" t="s">
        <v>229</v>
      </c>
      <c r="D271" s="1243" t="s">
        <v>230</v>
      </c>
      <c r="E271" s="135">
        <v>2239274028</v>
      </c>
      <c r="F271" s="135">
        <v>15250000</v>
      </c>
      <c r="G271" s="136" t="s">
        <v>238</v>
      </c>
      <c r="H271" s="3">
        <f t="shared" ref="H271:H276" si="28">LEN(G271)</f>
        <v>27</v>
      </c>
      <c r="N271" s="116"/>
    </row>
    <row r="272" spans="1:14" hidden="1" x14ac:dyDescent="0.25">
      <c r="A272" s="35" t="s">
        <v>133</v>
      </c>
      <c r="B272" s="1231"/>
      <c r="C272" s="1245"/>
      <c r="D272" s="1206"/>
      <c r="E272" s="75">
        <v>2239274028</v>
      </c>
      <c r="F272" s="75">
        <v>186734000</v>
      </c>
      <c r="G272" s="76"/>
      <c r="H272" s="3">
        <f t="shared" si="28"/>
        <v>0</v>
      </c>
    </row>
    <row r="273" spans="1:14" hidden="1" x14ac:dyDescent="0.25">
      <c r="A273" s="35" t="s">
        <v>134</v>
      </c>
      <c r="B273" s="1231"/>
      <c r="C273" s="1245"/>
      <c r="D273" s="1206"/>
      <c r="E273" s="75">
        <v>2239274028</v>
      </c>
      <c r="F273" s="75">
        <v>208535000</v>
      </c>
      <c r="G273" s="76"/>
      <c r="H273" s="3">
        <f t="shared" si="28"/>
        <v>0</v>
      </c>
    </row>
    <row r="274" spans="1:14" hidden="1" x14ac:dyDescent="0.25">
      <c r="A274" s="72" t="s">
        <v>135</v>
      </c>
      <c r="B274" s="1231"/>
      <c r="C274" s="1245"/>
      <c r="D274" s="1206"/>
      <c r="E274" s="96">
        <v>2239274028</v>
      </c>
      <c r="F274" s="96">
        <f>+[2]INVERSIÓN!P11</f>
        <v>208535000</v>
      </c>
      <c r="G274" s="132" t="s">
        <v>231</v>
      </c>
      <c r="H274" s="3">
        <f>LEN(G274)</f>
        <v>69</v>
      </c>
    </row>
    <row r="275" spans="1:14" hidden="1" x14ac:dyDescent="0.25">
      <c r="A275" s="117" t="s">
        <v>136</v>
      </c>
      <c r="B275" s="1231"/>
      <c r="C275" s="1245"/>
      <c r="D275" s="1206"/>
      <c r="E275" s="98">
        <f>+[2]INVERSIÓN!H11</f>
        <v>2239274028</v>
      </c>
      <c r="F275" s="98">
        <f>+[2]INVERSIÓN!R11</f>
        <v>261972893</v>
      </c>
      <c r="G275" s="129" t="s">
        <v>254</v>
      </c>
      <c r="H275" s="3">
        <f t="shared" si="28"/>
        <v>107</v>
      </c>
    </row>
    <row r="276" spans="1:14" ht="15.75" hidden="1" thickBot="1" x14ac:dyDescent="0.3">
      <c r="A276" s="106" t="s">
        <v>137</v>
      </c>
      <c r="B276" s="1232"/>
      <c r="C276" s="1246"/>
      <c r="D276" s="1207"/>
      <c r="E276" s="118">
        <f>+[2]INVERSIÓN!S15</f>
        <v>1985716202</v>
      </c>
      <c r="F276" s="118">
        <f>+[2]INVERSIÓN!EB15</f>
        <v>835562923</v>
      </c>
      <c r="G276" s="119" t="s">
        <v>263</v>
      </c>
      <c r="H276" s="3">
        <f t="shared" si="28"/>
        <v>222</v>
      </c>
    </row>
    <row r="277" spans="1:14" hidden="1" x14ac:dyDescent="0.25">
      <c r="A277" s="57"/>
      <c r="B277" s="57"/>
      <c r="C277" s="57"/>
      <c r="D277" s="57"/>
      <c r="E277" s="57"/>
      <c r="F277" s="57"/>
      <c r="G277" s="57"/>
    </row>
    <row r="278" spans="1:14" hidden="1" x14ac:dyDescent="0.25">
      <c r="A278" s="57"/>
      <c r="B278" s="57"/>
      <c r="C278" s="57"/>
      <c r="D278" s="57"/>
      <c r="E278" s="57"/>
      <c r="F278" s="57"/>
      <c r="G278" s="57"/>
    </row>
    <row r="279" spans="1:14" ht="39" hidden="1" thickBot="1" x14ac:dyDescent="0.3">
      <c r="A279" s="32" t="s">
        <v>49</v>
      </c>
      <c r="B279" s="43" t="s">
        <v>149</v>
      </c>
      <c r="C279" s="43" t="s">
        <v>150</v>
      </c>
      <c r="D279" s="43" t="s">
        <v>182</v>
      </c>
      <c r="E279" s="63" t="s">
        <v>183</v>
      </c>
      <c r="F279" s="63" t="s">
        <v>184</v>
      </c>
      <c r="G279" s="64" t="s">
        <v>185</v>
      </c>
    </row>
    <row r="280" spans="1:14" hidden="1" x14ac:dyDescent="0.25">
      <c r="A280" s="133" t="s">
        <v>132</v>
      </c>
      <c r="B280" s="1242" t="s">
        <v>220</v>
      </c>
      <c r="C280" s="1242" t="s">
        <v>221</v>
      </c>
      <c r="D280" s="1233" t="s">
        <v>232</v>
      </c>
      <c r="E280" s="74">
        <v>632180000</v>
      </c>
      <c r="F280" s="134">
        <v>0</v>
      </c>
      <c r="G280" s="36" t="s">
        <v>239</v>
      </c>
      <c r="H280" s="3">
        <f t="shared" ref="H280:H285" si="29">LEN(G280)</f>
        <v>30</v>
      </c>
    </row>
    <row r="281" spans="1:14" hidden="1" x14ac:dyDescent="0.25">
      <c r="A281" s="35" t="s">
        <v>133</v>
      </c>
      <c r="B281" s="1231"/>
      <c r="C281" s="1231"/>
      <c r="D281" s="1234"/>
      <c r="E281" s="74">
        <v>632180000</v>
      </c>
      <c r="F281" s="134">
        <v>183792000</v>
      </c>
      <c r="G281" s="36"/>
      <c r="H281" s="3">
        <f t="shared" si="29"/>
        <v>0</v>
      </c>
    </row>
    <row r="282" spans="1:14" hidden="1" x14ac:dyDescent="0.25">
      <c r="A282" s="35" t="s">
        <v>134</v>
      </c>
      <c r="B282" s="1231"/>
      <c r="C282" s="1231"/>
      <c r="D282" s="1234"/>
      <c r="E282" s="74">
        <v>632180000</v>
      </c>
      <c r="F282" s="134">
        <v>190062000</v>
      </c>
      <c r="G282" s="36"/>
      <c r="H282" s="3">
        <f t="shared" si="29"/>
        <v>0</v>
      </c>
    </row>
    <row r="283" spans="1:14" hidden="1" x14ac:dyDescent="0.25">
      <c r="A283" s="72" t="s">
        <v>135</v>
      </c>
      <c r="B283" s="1231"/>
      <c r="C283" s="1231"/>
      <c r="D283" s="1234"/>
      <c r="E283" s="97">
        <v>632180000</v>
      </c>
      <c r="F283" s="98">
        <f>+[2]INVERSIÓN!DZ17</f>
        <v>190062000</v>
      </c>
      <c r="G283" s="94" t="s">
        <v>233</v>
      </c>
      <c r="H283" s="3">
        <f>LEN(G283)</f>
        <v>48</v>
      </c>
    </row>
    <row r="284" spans="1:14" hidden="1" x14ac:dyDescent="0.25">
      <c r="A284" s="72" t="s">
        <v>136</v>
      </c>
      <c r="B284" s="1231"/>
      <c r="C284" s="1231"/>
      <c r="D284" s="1234"/>
      <c r="E284" s="97">
        <f>+[2]INVERSIÓN!H17</f>
        <v>632180000</v>
      </c>
      <c r="F284" s="98">
        <f>+[2]INVERSIÓN!R17</f>
        <v>208073593</v>
      </c>
      <c r="G284" s="94" t="s">
        <v>255</v>
      </c>
      <c r="H284" s="3">
        <f t="shared" si="29"/>
        <v>87</v>
      </c>
      <c r="N284" s="116"/>
    </row>
    <row r="285" spans="1:14" ht="15.75" hidden="1" thickBot="1" x14ac:dyDescent="0.3">
      <c r="A285" s="106" t="s">
        <v>137</v>
      </c>
      <c r="B285" s="1232"/>
      <c r="C285" s="1232"/>
      <c r="D285" s="1235"/>
      <c r="E285" s="118">
        <f>+[2]INVERSIÓN!S17</f>
        <v>588967593</v>
      </c>
      <c r="F285" s="118">
        <f>+[2]INVERSIÓN!T17</f>
        <v>543446593</v>
      </c>
      <c r="G285" s="120" t="s">
        <v>264</v>
      </c>
      <c r="H285" s="3">
        <f t="shared" si="29"/>
        <v>139</v>
      </c>
      <c r="N285" s="116"/>
    </row>
    <row r="286" spans="1:14" hidden="1" x14ac:dyDescent="0.25">
      <c r="A286" s="57"/>
      <c r="B286" s="57"/>
      <c r="C286" s="57"/>
      <c r="D286" s="57"/>
      <c r="E286" s="57"/>
      <c r="F286" s="57"/>
      <c r="G286" s="57"/>
    </row>
    <row r="287" spans="1:14" hidden="1" x14ac:dyDescent="0.25">
      <c r="A287" s="57"/>
      <c r="B287" s="57"/>
      <c r="C287" s="57"/>
      <c r="D287" s="57"/>
      <c r="E287" s="57"/>
      <c r="F287" s="57"/>
      <c r="G287" s="57"/>
    </row>
    <row r="288" spans="1:14" ht="39" hidden="1" thickBot="1" x14ac:dyDescent="0.3">
      <c r="A288" s="32" t="s">
        <v>49</v>
      </c>
      <c r="B288" s="43" t="s">
        <v>149</v>
      </c>
      <c r="C288" s="43" t="s">
        <v>150</v>
      </c>
      <c r="D288" s="43" t="s">
        <v>182</v>
      </c>
      <c r="E288" s="63" t="s">
        <v>183</v>
      </c>
      <c r="F288" s="63" t="s">
        <v>184</v>
      </c>
      <c r="G288" s="64" t="s">
        <v>185</v>
      </c>
    </row>
    <row r="289" spans="1:8" hidden="1" x14ac:dyDescent="0.25">
      <c r="A289" s="133" t="s">
        <v>132</v>
      </c>
      <c r="B289" s="1242" t="s">
        <v>220</v>
      </c>
      <c r="C289" s="1242" t="s">
        <v>221</v>
      </c>
      <c r="D289" s="1243" t="s">
        <v>234</v>
      </c>
      <c r="E289" s="74">
        <v>846820000</v>
      </c>
      <c r="F289" s="134">
        <v>0</v>
      </c>
      <c r="G289" s="36" t="s">
        <v>239</v>
      </c>
      <c r="H289" s="3">
        <f t="shared" ref="H289:H294" si="30">LEN(G289)</f>
        <v>30</v>
      </c>
    </row>
    <row r="290" spans="1:8" hidden="1" x14ac:dyDescent="0.25">
      <c r="A290" s="35" t="s">
        <v>133</v>
      </c>
      <c r="B290" s="1231"/>
      <c r="C290" s="1231"/>
      <c r="D290" s="1206"/>
      <c r="E290" s="74">
        <v>846820000</v>
      </c>
      <c r="F290" s="73">
        <v>298980000</v>
      </c>
      <c r="G290" s="36"/>
      <c r="H290" s="3">
        <f t="shared" si="30"/>
        <v>0</v>
      </c>
    </row>
    <row r="291" spans="1:8" hidden="1" x14ac:dyDescent="0.25">
      <c r="A291" s="35" t="s">
        <v>134</v>
      </c>
      <c r="B291" s="1231"/>
      <c r="C291" s="1231"/>
      <c r="D291" s="1206"/>
      <c r="E291" s="74">
        <v>846820000</v>
      </c>
      <c r="F291" s="73">
        <v>316529347</v>
      </c>
      <c r="G291" s="36"/>
      <c r="H291" s="3">
        <f t="shared" si="30"/>
        <v>0</v>
      </c>
    </row>
    <row r="292" spans="1:8" hidden="1" x14ac:dyDescent="0.25">
      <c r="A292" s="72" t="s">
        <v>135</v>
      </c>
      <c r="B292" s="1231"/>
      <c r="C292" s="1231"/>
      <c r="D292" s="1206"/>
      <c r="E292" s="97">
        <v>846820000</v>
      </c>
      <c r="F292" s="98">
        <f>+[2]INVERSIÓN!DZ27</f>
        <v>323308102</v>
      </c>
      <c r="G292" s="94" t="s">
        <v>235</v>
      </c>
      <c r="H292" s="3">
        <f>LEN(G292)</f>
        <v>72</v>
      </c>
    </row>
    <row r="293" spans="1:8" hidden="1" x14ac:dyDescent="0.25">
      <c r="A293" s="117" t="s">
        <v>136</v>
      </c>
      <c r="B293" s="1231"/>
      <c r="C293" s="1231"/>
      <c r="D293" s="1206"/>
      <c r="E293" s="97">
        <f>+[2]INVERSIÓN!H23</f>
        <v>846820000</v>
      </c>
      <c r="F293" s="98">
        <f>+[2]INVERSIÓN!R23</f>
        <v>328756825</v>
      </c>
      <c r="G293" s="94" t="s">
        <v>256</v>
      </c>
      <c r="H293" s="3">
        <f t="shared" si="30"/>
        <v>111</v>
      </c>
    </row>
    <row r="294" spans="1:8" ht="15.75" hidden="1" thickBot="1" x14ac:dyDescent="0.3">
      <c r="A294" s="106" t="s">
        <v>137</v>
      </c>
      <c r="B294" s="1232"/>
      <c r="C294" s="1232"/>
      <c r="D294" s="1207"/>
      <c r="E294" s="121">
        <f>+[2]INVERSIÓN!S23</f>
        <v>817958593</v>
      </c>
      <c r="F294" s="121">
        <f>+[2]INVERSIÓN!T23</f>
        <v>755491393</v>
      </c>
      <c r="G294" s="120" t="s">
        <v>265</v>
      </c>
      <c r="H294" s="3">
        <f t="shared" si="30"/>
        <v>223</v>
      </c>
    </row>
    <row r="295" spans="1:8" hidden="1" x14ac:dyDescent="0.25">
      <c r="A295" s="57"/>
      <c r="B295" s="57"/>
      <c r="C295" s="57"/>
      <c r="D295" s="57"/>
      <c r="E295" s="57"/>
      <c r="F295" s="57"/>
      <c r="G295" s="57"/>
    </row>
    <row r="296" spans="1:8" hidden="1" x14ac:dyDescent="0.25">
      <c r="A296" s="57"/>
      <c r="B296" s="57"/>
      <c r="C296" s="57"/>
      <c r="D296" s="57"/>
      <c r="E296" s="57"/>
      <c r="F296" s="57"/>
      <c r="G296" s="57"/>
    </row>
    <row r="297" spans="1:8" ht="39" hidden="1" thickBot="1" x14ac:dyDescent="0.3">
      <c r="A297" s="32" t="s">
        <v>49</v>
      </c>
      <c r="B297" s="43" t="s">
        <v>149</v>
      </c>
      <c r="C297" s="43" t="s">
        <v>150</v>
      </c>
      <c r="D297" s="43" t="s">
        <v>182</v>
      </c>
      <c r="E297" s="63" t="s">
        <v>183</v>
      </c>
      <c r="F297" s="63" t="s">
        <v>184</v>
      </c>
      <c r="G297" s="64" t="s">
        <v>185</v>
      </c>
    </row>
    <row r="298" spans="1:8" hidden="1" x14ac:dyDescent="0.25">
      <c r="A298" s="133" t="s">
        <v>132</v>
      </c>
      <c r="B298" s="1242" t="s">
        <v>226</v>
      </c>
      <c r="C298" s="1242" t="s">
        <v>227</v>
      </c>
      <c r="D298" s="1243" t="s">
        <v>236</v>
      </c>
      <c r="E298" s="74">
        <v>201000000</v>
      </c>
      <c r="F298" s="134">
        <v>0</v>
      </c>
      <c r="G298" s="36" t="s">
        <v>239</v>
      </c>
      <c r="H298" s="3">
        <f t="shared" ref="H298:H303" si="31">LEN(G298)</f>
        <v>30</v>
      </c>
    </row>
    <row r="299" spans="1:8" hidden="1" x14ac:dyDescent="0.25">
      <c r="A299" s="35" t="s">
        <v>133</v>
      </c>
      <c r="B299" s="1231"/>
      <c r="C299" s="1231"/>
      <c r="D299" s="1206"/>
      <c r="E299" s="74">
        <v>201000000</v>
      </c>
      <c r="F299" s="73">
        <v>71564000</v>
      </c>
      <c r="G299" s="36"/>
      <c r="H299" s="3">
        <f t="shared" si="31"/>
        <v>0</v>
      </c>
    </row>
    <row r="300" spans="1:8" hidden="1" x14ac:dyDescent="0.25">
      <c r="A300" s="35" t="s">
        <v>134</v>
      </c>
      <c r="B300" s="1231"/>
      <c r="C300" s="1231"/>
      <c r="D300" s="1206"/>
      <c r="E300" s="74">
        <v>201000000</v>
      </c>
      <c r="F300" s="73">
        <v>71564000</v>
      </c>
      <c r="G300" s="36"/>
      <c r="H300" s="3">
        <f t="shared" si="31"/>
        <v>0</v>
      </c>
    </row>
    <row r="301" spans="1:8" hidden="1" x14ac:dyDescent="0.25">
      <c r="A301" s="72" t="s">
        <v>135</v>
      </c>
      <c r="B301" s="1231"/>
      <c r="C301" s="1231"/>
      <c r="D301" s="1206"/>
      <c r="E301" s="97">
        <v>201000000</v>
      </c>
      <c r="F301" s="98">
        <f>+[2]INVERSIÓN!DZ33</f>
        <v>71564000</v>
      </c>
      <c r="G301" s="94" t="s">
        <v>237</v>
      </c>
      <c r="H301" s="3">
        <f>LEN(G301)</f>
        <v>48</v>
      </c>
    </row>
    <row r="302" spans="1:8" hidden="1" x14ac:dyDescent="0.25">
      <c r="A302" s="72" t="s">
        <v>136</v>
      </c>
      <c r="B302" s="1231"/>
      <c r="C302" s="1231"/>
      <c r="D302" s="1206"/>
      <c r="E302" s="97">
        <f>+[2]INVERSIÓN!H29</f>
        <v>201000000</v>
      </c>
      <c r="F302" s="98">
        <f>+[2]INVERSIÓN!R29</f>
        <v>76021593</v>
      </c>
      <c r="G302" s="94" t="s">
        <v>257</v>
      </c>
      <c r="H302" s="3">
        <f t="shared" si="31"/>
        <v>88</v>
      </c>
    </row>
    <row r="303" spans="1:8" ht="15.75" hidden="1" thickBot="1" x14ac:dyDescent="0.3">
      <c r="A303" s="106" t="s">
        <v>137</v>
      </c>
      <c r="B303" s="1232"/>
      <c r="C303" s="1232"/>
      <c r="D303" s="1207"/>
      <c r="E303" s="118">
        <f>+[2]INVERSIÓN!S29</f>
        <v>144912593</v>
      </c>
      <c r="F303" s="118">
        <f>+[2]INVERSIÓN!T29</f>
        <v>143476093</v>
      </c>
      <c r="G303" s="120" t="s">
        <v>266</v>
      </c>
      <c r="H303" s="3">
        <f t="shared" si="31"/>
        <v>157</v>
      </c>
    </row>
    <row r="304" spans="1:8" x14ac:dyDescent="0.25">
      <c r="A304" s="57"/>
      <c r="B304" s="100"/>
      <c r="C304" s="100"/>
      <c r="D304" s="156"/>
      <c r="E304" s="116"/>
      <c r="F304" s="116"/>
      <c r="G304" s="71"/>
      <c r="H304" s="3"/>
    </row>
    <row r="305" spans="1:14" x14ac:dyDescent="0.25">
      <c r="A305" s="57"/>
      <c r="B305" s="100"/>
      <c r="C305" s="100"/>
      <c r="D305" s="156"/>
      <c r="E305" s="116"/>
      <c r="F305" s="116"/>
      <c r="G305" s="71"/>
      <c r="H305" s="3"/>
    </row>
    <row r="306" spans="1:14" ht="15.75" thickBot="1" x14ac:dyDescent="0.3">
      <c r="A306" s="57"/>
      <c r="B306" s="100"/>
      <c r="C306" s="100"/>
      <c r="D306" s="156"/>
      <c r="E306" s="116"/>
      <c r="F306" s="116"/>
      <c r="G306" s="71"/>
      <c r="H306" s="3"/>
    </row>
    <row r="307" spans="1:14" ht="20.25" x14ac:dyDescent="0.3">
      <c r="A307" s="1190" t="s">
        <v>186</v>
      </c>
      <c r="B307" s="1191"/>
      <c r="C307" s="1191"/>
      <c r="D307" s="1191"/>
      <c r="E307" s="1191"/>
      <c r="F307" s="1191"/>
      <c r="G307" s="1192"/>
    </row>
    <row r="308" spans="1:14" ht="39" thickBot="1" x14ac:dyDescent="0.3">
      <c r="A308" s="32" t="s">
        <v>50</v>
      </c>
      <c r="B308" s="43" t="s">
        <v>149</v>
      </c>
      <c r="C308" s="43" t="s">
        <v>150</v>
      </c>
      <c r="D308" s="43" t="s">
        <v>182</v>
      </c>
      <c r="E308" s="43" t="s">
        <v>187</v>
      </c>
      <c r="F308" s="43" t="s">
        <v>188</v>
      </c>
      <c r="G308" s="44" t="s">
        <v>185</v>
      </c>
    </row>
    <row r="309" spans="1:14" x14ac:dyDescent="0.25">
      <c r="A309" s="180" t="s">
        <v>139</v>
      </c>
      <c r="B309" s="1242" t="s">
        <v>217</v>
      </c>
      <c r="C309" s="1244" t="s">
        <v>229</v>
      </c>
      <c r="D309" s="1243" t="s">
        <v>230</v>
      </c>
      <c r="E309" s="181">
        <f>+INVERSIÓN!V11</f>
        <v>2693651241</v>
      </c>
      <c r="F309" s="181">
        <v>0</v>
      </c>
      <c r="G309" s="182"/>
      <c r="H309" s="3">
        <f t="shared" ref="H309:H320" si="32">LEN(G309)</f>
        <v>0</v>
      </c>
      <c r="N309" s="116"/>
    </row>
    <row r="310" spans="1:14" x14ac:dyDescent="0.25">
      <c r="A310" s="133" t="s">
        <v>140</v>
      </c>
      <c r="B310" s="1231"/>
      <c r="C310" s="1245"/>
      <c r="D310" s="1206"/>
      <c r="E310" s="135"/>
      <c r="F310" s="135"/>
      <c r="G310" s="136"/>
      <c r="H310" s="3">
        <f t="shared" si="32"/>
        <v>0</v>
      </c>
      <c r="N310" s="116"/>
    </row>
    <row r="311" spans="1:14" x14ac:dyDescent="0.25">
      <c r="A311" s="133" t="s">
        <v>141</v>
      </c>
      <c r="B311" s="1231"/>
      <c r="C311" s="1245"/>
      <c r="D311" s="1206"/>
      <c r="E311" s="135"/>
      <c r="F311" s="135"/>
      <c r="G311" s="136"/>
      <c r="H311" s="3">
        <f t="shared" si="32"/>
        <v>0</v>
      </c>
      <c r="N311" s="116"/>
    </row>
    <row r="312" spans="1:14" x14ac:dyDescent="0.25">
      <c r="A312" s="133" t="s">
        <v>142</v>
      </c>
      <c r="B312" s="1231"/>
      <c r="C312" s="1245"/>
      <c r="D312" s="1206"/>
      <c r="E312" s="135"/>
      <c r="F312" s="135"/>
      <c r="G312" s="136"/>
      <c r="H312" s="3">
        <f t="shared" si="32"/>
        <v>0</v>
      </c>
      <c r="N312" s="116"/>
    </row>
    <row r="313" spans="1:14" x14ac:dyDescent="0.25">
      <c r="A313" s="133" t="s">
        <v>143</v>
      </c>
      <c r="B313" s="1231"/>
      <c r="C313" s="1245"/>
      <c r="D313" s="1206"/>
      <c r="E313" s="135"/>
      <c r="F313" s="135"/>
      <c r="G313" s="136"/>
      <c r="H313" s="3">
        <f t="shared" si="32"/>
        <v>0</v>
      </c>
      <c r="N313" s="116"/>
    </row>
    <row r="314" spans="1:14" x14ac:dyDescent="0.25">
      <c r="A314" s="133" t="s">
        <v>144</v>
      </c>
      <c r="B314" s="1231"/>
      <c r="C314" s="1245"/>
      <c r="D314" s="1206"/>
      <c r="E314" s="135"/>
      <c r="F314" s="135"/>
      <c r="G314" s="136"/>
      <c r="H314" s="3">
        <f t="shared" si="32"/>
        <v>0</v>
      </c>
      <c r="N314" s="116"/>
    </row>
    <row r="315" spans="1:14" x14ac:dyDescent="0.25">
      <c r="A315" s="133" t="s">
        <v>132</v>
      </c>
      <c r="B315" s="1231"/>
      <c r="C315" s="1245"/>
      <c r="D315" s="1206"/>
      <c r="E315" s="135"/>
      <c r="F315" s="135"/>
      <c r="G315" s="136"/>
      <c r="H315" s="3">
        <f t="shared" si="32"/>
        <v>0</v>
      </c>
      <c r="N315" s="116"/>
    </row>
    <row r="316" spans="1:14" x14ac:dyDescent="0.25">
      <c r="A316" s="35" t="s">
        <v>133</v>
      </c>
      <c r="B316" s="1231"/>
      <c r="C316" s="1245"/>
      <c r="D316" s="1206"/>
      <c r="E316" s="75"/>
      <c r="F316" s="75"/>
      <c r="G316" s="76"/>
      <c r="H316" s="3">
        <f t="shared" si="32"/>
        <v>0</v>
      </c>
    </row>
    <row r="317" spans="1:14" x14ac:dyDescent="0.25">
      <c r="A317" s="35" t="s">
        <v>134</v>
      </c>
      <c r="B317" s="1231"/>
      <c r="C317" s="1245"/>
      <c r="D317" s="1206"/>
      <c r="E317" s="75"/>
      <c r="F317" s="75"/>
      <c r="G317" s="76"/>
      <c r="H317" s="3">
        <f t="shared" si="32"/>
        <v>0</v>
      </c>
    </row>
    <row r="318" spans="1:14" x14ac:dyDescent="0.25">
      <c r="A318" s="72" t="s">
        <v>135</v>
      </c>
      <c r="B318" s="1231"/>
      <c r="C318" s="1245"/>
      <c r="D318" s="1206"/>
      <c r="E318" s="96"/>
      <c r="F318" s="96"/>
      <c r="G318" s="132"/>
      <c r="H318" s="3">
        <f t="shared" si="32"/>
        <v>0</v>
      </c>
    </row>
    <row r="319" spans="1:14" x14ac:dyDescent="0.25">
      <c r="A319" s="117" t="s">
        <v>136</v>
      </c>
      <c r="B319" s="1231"/>
      <c r="C319" s="1245"/>
      <c r="D319" s="1206"/>
      <c r="E319" s="98"/>
      <c r="F319" s="98"/>
      <c r="G319" s="129"/>
      <c r="H319" s="3">
        <f t="shared" si="32"/>
        <v>0</v>
      </c>
    </row>
    <row r="320" spans="1:14" ht="15.75" thickBot="1" x14ac:dyDescent="0.3">
      <c r="A320" s="150" t="s">
        <v>137</v>
      </c>
      <c r="B320" s="1232"/>
      <c r="C320" s="1246"/>
      <c r="D320" s="1207"/>
      <c r="E320" s="167"/>
      <c r="F320" s="167"/>
      <c r="G320" s="168"/>
      <c r="H320" s="3">
        <f t="shared" si="32"/>
        <v>0</v>
      </c>
    </row>
    <row r="321" spans="1:14" x14ac:dyDescent="0.25">
      <c r="A321" s="57"/>
      <c r="B321" s="57"/>
      <c r="C321" s="57"/>
      <c r="D321" s="57"/>
      <c r="E321" s="57"/>
      <c r="F321" s="57"/>
      <c r="G321" s="57"/>
    </row>
    <row r="322" spans="1:14" ht="15.75" thickBot="1" x14ac:dyDescent="0.3">
      <c r="A322" s="57"/>
      <c r="B322" s="57"/>
      <c r="C322" s="57"/>
      <c r="D322" s="57"/>
      <c r="E322" s="57"/>
      <c r="F322" s="57"/>
      <c r="G322" s="57"/>
    </row>
    <row r="323" spans="1:14" ht="39" thickBot="1" x14ac:dyDescent="0.3">
      <c r="A323" s="32" t="s">
        <v>50</v>
      </c>
      <c r="B323" s="169" t="s">
        <v>149</v>
      </c>
      <c r="C323" s="169" t="s">
        <v>150</v>
      </c>
      <c r="D323" s="169" t="s">
        <v>182</v>
      </c>
      <c r="E323" s="43" t="s">
        <v>187</v>
      </c>
      <c r="F323" s="43" t="s">
        <v>188</v>
      </c>
      <c r="G323" s="170" t="s">
        <v>185</v>
      </c>
    </row>
    <row r="324" spans="1:14" x14ac:dyDescent="0.25">
      <c r="A324" s="180" t="s">
        <v>139</v>
      </c>
      <c r="B324" s="1242" t="s">
        <v>220</v>
      </c>
      <c r="C324" s="1242" t="s">
        <v>221</v>
      </c>
      <c r="D324" s="1243" t="s">
        <v>232</v>
      </c>
      <c r="E324" s="121">
        <f>+INVERSIÓN!V20</f>
        <v>0</v>
      </c>
      <c r="F324" s="183">
        <v>0</v>
      </c>
      <c r="G324" s="159"/>
      <c r="H324" s="3">
        <f t="shared" ref="H324:H335" si="33">LEN(G324)</f>
        <v>0</v>
      </c>
    </row>
    <row r="325" spans="1:14" x14ac:dyDescent="0.25">
      <c r="A325" s="133" t="s">
        <v>140</v>
      </c>
      <c r="B325" s="1231"/>
      <c r="C325" s="1231"/>
      <c r="D325" s="1206"/>
      <c r="E325" s="74"/>
      <c r="F325" s="134"/>
      <c r="G325" s="37"/>
      <c r="H325" s="3">
        <f t="shared" si="33"/>
        <v>0</v>
      </c>
    </row>
    <row r="326" spans="1:14" x14ac:dyDescent="0.25">
      <c r="A326" s="133" t="s">
        <v>141</v>
      </c>
      <c r="B326" s="1231"/>
      <c r="C326" s="1231"/>
      <c r="D326" s="1206"/>
      <c r="E326" s="74"/>
      <c r="F326" s="134"/>
      <c r="G326" s="37"/>
      <c r="H326" s="3">
        <f t="shared" si="33"/>
        <v>0</v>
      </c>
    </row>
    <row r="327" spans="1:14" x14ac:dyDescent="0.25">
      <c r="A327" s="133" t="s">
        <v>142</v>
      </c>
      <c r="B327" s="1231"/>
      <c r="C327" s="1231"/>
      <c r="D327" s="1206"/>
      <c r="E327" s="74"/>
      <c r="F327" s="134"/>
      <c r="G327" s="37"/>
      <c r="H327" s="3">
        <f t="shared" si="33"/>
        <v>0</v>
      </c>
    </row>
    <row r="328" spans="1:14" x14ac:dyDescent="0.25">
      <c r="A328" s="133" t="s">
        <v>143</v>
      </c>
      <c r="B328" s="1231"/>
      <c r="C328" s="1231"/>
      <c r="D328" s="1206"/>
      <c r="E328" s="74"/>
      <c r="F328" s="134"/>
      <c r="G328" s="37"/>
      <c r="H328" s="3">
        <f t="shared" si="33"/>
        <v>0</v>
      </c>
    </row>
    <row r="329" spans="1:14" x14ac:dyDescent="0.25">
      <c r="A329" s="133" t="s">
        <v>144</v>
      </c>
      <c r="B329" s="1231"/>
      <c r="C329" s="1231"/>
      <c r="D329" s="1206"/>
      <c r="E329" s="74"/>
      <c r="F329" s="134"/>
      <c r="G329" s="37"/>
      <c r="H329" s="3">
        <f t="shared" si="33"/>
        <v>0</v>
      </c>
    </row>
    <row r="330" spans="1:14" x14ac:dyDescent="0.25">
      <c r="A330" s="133" t="s">
        <v>132</v>
      </c>
      <c r="B330" s="1231"/>
      <c r="C330" s="1231"/>
      <c r="D330" s="1206"/>
      <c r="E330" s="74"/>
      <c r="F330" s="134"/>
      <c r="G330" s="37"/>
      <c r="H330" s="3">
        <f t="shared" si="33"/>
        <v>0</v>
      </c>
    </row>
    <row r="331" spans="1:14" x14ac:dyDescent="0.25">
      <c r="A331" s="35" t="s">
        <v>133</v>
      </c>
      <c r="B331" s="1231"/>
      <c r="C331" s="1231"/>
      <c r="D331" s="1206"/>
      <c r="E331" s="74"/>
      <c r="F331" s="134"/>
      <c r="G331" s="37"/>
      <c r="H331" s="3">
        <f t="shared" si="33"/>
        <v>0</v>
      </c>
    </row>
    <row r="332" spans="1:14" x14ac:dyDescent="0.25">
      <c r="A332" s="35" t="s">
        <v>134</v>
      </c>
      <c r="B332" s="1231"/>
      <c r="C332" s="1231"/>
      <c r="D332" s="1206"/>
      <c r="E332" s="74"/>
      <c r="F332" s="134"/>
      <c r="G332" s="37"/>
      <c r="H332" s="3">
        <f t="shared" si="33"/>
        <v>0</v>
      </c>
    </row>
    <row r="333" spans="1:14" x14ac:dyDescent="0.25">
      <c r="A333" s="72" t="s">
        <v>135</v>
      </c>
      <c r="B333" s="1231"/>
      <c r="C333" s="1231"/>
      <c r="D333" s="1206"/>
      <c r="E333" s="74"/>
      <c r="F333" s="134"/>
      <c r="G333" s="37"/>
      <c r="H333" s="3">
        <f t="shared" si="33"/>
        <v>0</v>
      </c>
    </row>
    <row r="334" spans="1:14" x14ac:dyDescent="0.25">
      <c r="A334" s="117" t="s">
        <v>136</v>
      </c>
      <c r="B334" s="1231"/>
      <c r="C334" s="1231"/>
      <c r="D334" s="1206"/>
      <c r="E334" s="97"/>
      <c r="F334" s="98"/>
      <c r="G334" s="129"/>
      <c r="H334" s="3">
        <f t="shared" si="33"/>
        <v>0</v>
      </c>
    </row>
    <row r="335" spans="1:14" ht="15.75" thickBot="1" x14ac:dyDescent="0.3">
      <c r="A335" s="150" t="s">
        <v>137</v>
      </c>
      <c r="B335" s="1232"/>
      <c r="C335" s="1232"/>
      <c r="D335" s="1207"/>
      <c r="E335" s="167"/>
      <c r="F335" s="167"/>
      <c r="G335" s="171"/>
      <c r="H335" s="3">
        <f t="shared" si="33"/>
        <v>0</v>
      </c>
      <c r="N335" s="116"/>
    </row>
    <row r="336" spans="1:14" x14ac:dyDescent="0.25">
      <c r="A336" s="57"/>
      <c r="B336" s="57"/>
      <c r="C336" s="57"/>
      <c r="D336" s="57"/>
      <c r="E336" s="57"/>
      <c r="F336" s="57"/>
      <c r="G336" s="57"/>
    </row>
    <row r="337" spans="1:8" ht="15.75" thickBot="1" x14ac:dyDescent="0.3">
      <c r="A337" s="57"/>
      <c r="B337" s="57"/>
      <c r="C337" s="57"/>
      <c r="D337" s="57"/>
      <c r="E337" s="57"/>
      <c r="F337" s="57"/>
      <c r="G337" s="57"/>
    </row>
    <row r="338" spans="1:8" ht="39" thickBot="1" x14ac:dyDescent="0.3">
      <c r="A338" s="32" t="s">
        <v>50</v>
      </c>
      <c r="B338" s="169" t="s">
        <v>149</v>
      </c>
      <c r="C338" s="169" t="s">
        <v>150</v>
      </c>
      <c r="D338" s="169" t="s">
        <v>182</v>
      </c>
      <c r="E338" s="43" t="s">
        <v>187</v>
      </c>
      <c r="F338" s="43" t="s">
        <v>188</v>
      </c>
      <c r="G338" s="170" t="s">
        <v>185</v>
      </c>
    </row>
    <row r="339" spans="1:8" x14ac:dyDescent="0.25">
      <c r="A339" s="180" t="s">
        <v>139</v>
      </c>
      <c r="B339" s="1242" t="s">
        <v>220</v>
      </c>
      <c r="C339" s="1242" t="s">
        <v>221</v>
      </c>
      <c r="D339" s="1243" t="s">
        <v>234</v>
      </c>
      <c r="E339" s="121">
        <f>+INVERSIÓN!U28</f>
        <v>0</v>
      </c>
      <c r="F339" s="183">
        <v>0</v>
      </c>
      <c r="G339" s="159"/>
      <c r="H339" s="3">
        <f t="shared" ref="H339:H350" si="34">LEN(G339)</f>
        <v>0</v>
      </c>
    </row>
    <row r="340" spans="1:8" x14ac:dyDescent="0.25">
      <c r="A340" s="133" t="s">
        <v>140</v>
      </c>
      <c r="B340" s="1231"/>
      <c r="C340" s="1231"/>
      <c r="D340" s="1206"/>
      <c r="E340" s="74"/>
      <c r="F340" s="134"/>
      <c r="G340" s="37"/>
      <c r="H340" s="3">
        <f t="shared" si="34"/>
        <v>0</v>
      </c>
    </row>
    <row r="341" spans="1:8" x14ac:dyDescent="0.25">
      <c r="A341" s="133" t="s">
        <v>141</v>
      </c>
      <c r="B341" s="1231"/>
      <c r="C341" s="1231"/>
      <c r="D341" s="1206"/>
      <c r="E341" s="74"/>
      <c r="F341" s="134"/>
      <c r="G341" s="37"/>
      <c r="H341" s="3">
        <f t="shared" si="34"/>
        <v>0</v>
      </c>
    </row>
    <row r="342" spans="1:8" x14ac:dyDescent="0.25">
      <c r="A342" s="133" t="s">
        <v>142</v>
      </c>
      <c r="B342" s="1231"/>
      <c r="C342" s="1231"/>
      <c r="D342" s="1206"/>
      <c r="E342" s="74"/>
      <c r="F342" s="134"/>
      <c r="G342" s="37"/>
      <c r="H342" s="3">
        <f t="shared" si="34"/>
        <v>0</v>
      </c>
    </row>
    <row r="343" spans="1:8" x14ac:dyDescent="0.25">
      <c r="A343" s="133" t="s">
        <v>143</v>
      </c>
      <c r="B343" s="1231"/>
      <c r="C343" s="1231"/>
      <c r="D343" s="1206"/>
      <c r="E343" s="74"/>
      <c r="F343" s="134"/>
      <c r="G343" s="37"/>
      <c r="H343" s="3">
        <f t="shared" si="34"/>
        <v>0</v>
      </c>
    </row>
    <row r="344" spans="1:8" x14ac:dyDescent="0.25">
      <c r="A344" s="133" t="s">
        <v>144</v>
      </c>
      <c r="B344" s="1231"/>
      <c r="C344" s="1231"/>
      <c r="D344" s="1206"/>
      <c r="E344" s="74"/>
      <c r="F344" s="134"/>
      <c r="G344" s="37"/>
      <c r="H344" s="3">
        <f t="shared" si="34"/>
        <v>0</v>
      </c>
    </row>
    <row r="345" spans="1:8" x14ac:dyDescent="0.25">
      <c r="A345" s="133" t="s">
        <v>132</v>
      </c>
      <c r="B345" s="1231"/>
      <c r="C345" s="1231"/>
      <c r="D345" s="1206"/>
      <c r="E345" s="74"/>
      <c r="F345" s="134"/>
      <c r="G345" s="37"/>
      <c r="H345" s="3">
        <f t="shared" si="34"/>
        <v>0</v>
      </c>
    </row>
    <row r="346" spans="1:8" x14ac:dyDescent="0.25">
      <c r="A346" s="35" t="s">
        <v>133</v>
      </c>
      <c r="B346" s="1231"/>
      <c r="C346" s="1231"/>
      <c r="D346" s="1206"/>
      <c r="E346" s="74"/>
      <c r="F346" s="73"/>
      <c r="G346" s="37"/>
      <c r="H346" s="3">
        <f t="shared" si="34"/>
        <v>0</v>
      </c>
    </row>
    <row r="347" spans="1:8" x14ac:dyDescent="0.25">
      <c r="A347" s="35" t="s">
        <v>134</v>
      </c>
      <c r="B347" s="1231"/>
      <c r="C347" s="1231"/>
      <c r="D347" s="1206"/>
      <c r="E347" s="74"/>
      <c r="F347" s="73"/>
      <c r="G347" s="37"/>
      <c r="H347" s="3">
        <f t="shared" si="34"/>
        <v>0</v>
      </c>
    </row>
    <row r="348" spans="1:8" x14ac:dyDescent="0.25">
      <c r="A348" s="72" t="s">
        <v>135</v>
      </c>
      <c r="B348" s="1231"/>
      <c r="C348" s="1231"/>
      <c r="D348" s="1206"/>
      <c r="E348" s="97"/>
      <c r="F348" s="98"/>
      <c r="G348" s="129"/>
      <c r="H348" s="3">
        <f t="shared" si="34"/>
        <v>0</v>
      </c>
    </row>
    <row r="349" spans="1:8" x14ac:dyDescent="0.25">
      <c r="A349" s="117" t="s">
        <v>136</v>
      </c>
      <c r="B349" s="1231"/>
      <c r="C349" s="1231"/>
      <c r="D349" s="1206"/>
      <c r="E349" s="97"/>
      <c r="F349" s="98"/>
      <c r="G349" s="129"/>
      <c r="H349" s="3">
        <f t="shared" si="34"/>
        <v>0</v>
      </c>
    </row>
    <row r="350" spans="1:8" ht="15.75" thickBot="1" x14ac:dyDescent="0.3">
      <c r="A350" s="150" t="s">
        <v>137</v>
      </c>
      <c r="B350" s="1232"/>
      <c r="C350" s="1232"/>
      <c r="D350" s="1207"/>
      <c r="E350" s="167"/>
      <c r="F350" s="167"/>
      <c r="G350" s="171"/>
      <c r="H350" s="3">
        <f t="shared" si="34"/>
        <v>0</v>
      </c>
    </row>
    <row r="351" spans="1:8" x14ac:dyDescent="0.25">
      <c r="A351" s="57"/>
      <c r="B351" s="57"/>
      <c r="C351" s="57"/>
      <c r="D351" s="57"/>
      <c r="E351" s="57"/>
      <c r="F351" s="57"/>
      <c r="G351" s="57"/>
    </row>
    <row r="352" spans="1:8" ht="15.75" thickBot="1" x14ac:dyDescent="0.3">
      <c r="A352" s="57"/>
      <c r="B352" s="57"/>
      <c r="C352" s="57"/>
      <c r="D352" s="57"/>
      <c r="E352" s="57"/>
      <c r="F352" s="57"/>
      <c r="G352" s="57"/>
    </row>
    <row r="353" spans="1:8" ht="39" thickBot="1" x14ac:dyDescent="0.3">
      <c r="A353" s="32" t="s">
        <v>50</v>
      </c>
      <c r="B353" s="169" t="s">
        <v>149</v>
      </c>
      <c r="C353" s="169" t="s">
        <v>150</v>
      </c>
      <c r="D353" s="169" t="s">
        <v>182</v>
      </c>
      <c r="E353" s="43" t="s">
        <v>187</v>
      </c>
      <c r="F353" s="43" t="s">
        <v>188</v>
      </c>
      <c r="G353" s="170" t="s">
        <v>185</v>
      </c>
    </row>
    <row r="354" spans="1:8" x14ac:dyDescent="0.25">
      <c r="A354" s="180" t="s">
        <v>139</v>
      </c>
      <c r="B354" s="1242" t="s">
        <v>226</v>
      </c>
      <c r="C354" s="1242" t="s">
        <v>227</v>
      </c>
      <c r="D354" s="1243" t="s">
        <v>236</v>
      </c>
      <c r="E354" s="121" t="e">
        <f>+INVERSIÓN!#REF!</f>
        <v>#REF!</v>
      </c>
      <c r="F354" s="183">
        <v>0</v>
      </c>
      <c r="G354" s="159"/>
      <c r="H354" s="3">
        <f t="shared" ref="H354:H365" si="35">LEN(G354)</f>
        <v>0</v>
      </c>
    </row>
    <row r="355" spans="1:8" x14ac:dyDescent="0.25">
      <c r="A355" s="133" t="s">
        <v>140</v>
      </c>
      <c r="B355" s="1231"/>
      <c r="C355" s="1231"/>
      <c r="D355" s="1206"/>
      <c r="E355" s="74"/>
      <c r="F355" s="134"/>
      <c r="G355" s="37"/>
      <c r="H355" s="3">
        <f t="shared" si="35"/>
        <v>0</v>
      </c>
    </row>
    <row r="356" spans="1:8" x14ac:dyDescent="0.25">
      <c r="A356" s="133" t="s">
        <v>141</v>
      </c>
      <c r="B356" s="1231"/>
      <c r="C356" s="1231"/>
      <c r="D356" s="1206"/>
      <c r="E356" s="74"/>
      <c r="F356" s="134"/>
      <c r="G356" s="37"/>
      <c r="H356" s="3">
        <f t="shared" si="35"/>
        <v>0</v>
      </c>
    </row>
    <row r="357" spans="1:8" x14ac:dyDescent="0.25">
      <c r="A357" s="133" t="s">
        <v>142</v>
      </c>
      <c r="B357" s="1231"/>
      <c r="C357" s="1231"/>
      <c r="D357" s="1206"/>
      <c r="E357" s="74"/>
      <c r="F357" s="134"/>
      <c r="G357" s="37"/>
      <c r="H357" s="3">
        <f t="shared" si="35"/>
        <v>0</v>
      </c>
    </row>
    <row r="358" spans="1:8" x14ac:dyDescent="0.25">
      <c r="A358" s="133" t="s">
        <v>143</v>
      </c>
      <c r="B358" s="1231"/>
      <c r="C358" s="1231"/>
      <c r="D358" s="1206"/>
      <c r="E358" s="74"/>
      <c r="F358" s="134"/>
      <c r="G358" s="37"/>
      <c r="H358" s="3">
        <f t="shared" si="35"/>
        <v>0</v>
      </c>
    </row>
    <row r="359" spans="1:8" x14ac:dyDescent="0.25">
      <c r="A359" s="133" t="s">
        <v>144</v>
      </c>
      <c r="B359" s="1231"/>
      <c r="C359" s="1231"/>
      <c r="D359" s="1206"/>
      <c r="E359" s="74"/>
      <c r="F359" s="134"/>
      <c r="G359" s="37"/>
      <c r="H359" s="3">
        <f t="shared" si="35"/>
        <v>0</v>
      </c>
    </row>
    <row r="360" spans="1:8" x14ac:dyDescent="0.25">
      <c r="A360" s="133" t="s">
        <v>132</v>
      </c>
      <c r="B360" s="1231"/>
      <c r="C360" s="1231"/>
      <c r="D360" s="1206"/>
      <c r="E360" s="74"/>
      <c r="F360" s="134"/>
      <c r="G360" s="37"/>
      <c r="H360" s="3">
        <f t="shared" si="35"/>
        <v>0</v>
      </c>
    </row>
    <row r="361" spans="1:8" x14ac:dyDescent="0.25">
      <c r="A361" s="35" t="s">
        <v>133</v>
      </c>
      <c r="B361" s="1231"/>
      <c r="C361" s="1231"/>
      <c r="D361" s="1206"/>
      <c r="E361" s="74"/>
      <c r="F361" s="73"/>
      <c r="G361" s="37"/>
      <c r="H361" s="3">
        <f t="shared" si="35"/>
        <v>0</v>
      </c>
    </row>
    <row r="362" spans="1:8" x14ac:dyDescent="0.25">
      <c r="A362" s="35" t="s">
        <v>134</v>
      </c>
      <c r="B362" s="1231"/>
      <c r="C362" s="1231"/>
      <c r="D362" s="1206"/>
      <c r="E362" s="74"/>
      <c r="F362" s="73"/>
      <c r="G362" s="37"/>
      <c r="H362" s="3">
        <f t="shared" si="35"/>
        <v>0</v>
      </c>
    </row>
    <row r="363" spans="1:8" x14ac:dyDescent="0.25">
      <c r="A363" s="72" t="s">
        <v>135</v>
      </c>
      <c r="B363" s="1231"/>
      <c r="C363" s="1231"/>
      <c r="D363" s="1206"/>
      <c r="E363" s="97"/>
      <c r="F363" s="98"/>
      <c r="G363" s="129"/>
      <c r="H363" s="3">
        <f t="shared" si="35"/>
        <v>0</v>
      </c>
    </row>
    <row r="364" spans="1:8" x14ac:dyDescent="0.25">
      <c r="A364" s="72" t="s">
        <v>136</v>
      </c>
      <c r="B364" s="1231"/>
      <c r="C364" s="1231"/>
      <c r="D364" s="1206"/>
      <c r="E364" s="97"/>
      <c r="F364" s="98"/>
      <c r="G364" s="129"/>
      <c r="H364" s="3">
        <f t="shared" si="35"/>
        <v>0</v>
      </c>
    </row>
    <row r="365" spans="1:8" ht="15.75" thickBot="1" x14ac:dyDescent="0.3">
      <c r="A365" s="150" t="s">
        <v>137</v>
      </c>
      <c r="B365" s="1232"/>
      <c r="C365" s="1232"/>
      <c r="D365" s="1207"/>
      <c r="E365" s="167"/>
      <c r="F365" s="167"/>
      <c r="G365" s="171"/>
      <c r="H365" s="3">
        <f t="shared" si="35"/>
        <v>0</v>
      </c>
    </row>
    <row r="366" spans="1:8" x14ac:dyDescent="0.25">
      <c r="A366" s="57"/>
      <c r="B366" s="100"/>
      <c r="C366" s="100"/>
      <c r="D366" s="156"/>
      <c r="E366" s="116"/>
      <c r="F366" s="116"/>
      <c r="G366" s="71"/>
      <c r="H366" s="3"/>
    </row>
    <row r="367" spans="1:8" x14ac:dyDescent="0.25">
      <c r="A367" s="57"/>
      <c r="B367" s="100"/>
      <c r="C367" s="100"/>
      <c r="D367" s="156"/>
      <c r="E367" s="116"/>
      <c r="F367" s="116"/>
      <c r="G367" s="71"/>
      <c r="H367" s="3"/>
    </row>
    <row r="368" spans="1:8" hidden="1" x14ac:dyDescent="0.25">
      <c r="A368" s="39" t="s">
        <v>143</v>
      </c>
      <c r="B368" s="36"/>
      <c r="C368" s="36"/>
      <c r="D368" s="36"/>
      <c r="E368" s="36"/>
      <c r="F368" s="36"/>
      <c r="G368" s="37"/>
    </row>
    <row r="369" spans="1:7" hidden="1" x14ac:dyDescent="0.25">
      <c r="A369" s="39" t="s">
        <v>144</v>
      </c>
      <c r="B369" s="36"/>
      <c r="C369" s="36"/>
      <c r="D369" s="36"/>
      <c r="E369" s="36"/>
      <c r="F369" s="36"/>
      <c r="G369" s="37"/>
    </row>
    <row r="370" spans="1:7" hidden="1" x14ac:dyDescent="0.25">
      <c r="A370" s="48" t="s">
        <v>132</v>
      </c>
      <c r="B370" s="49"/>
      <c r="C370" s="49"/>
      <c r="D370" s="49"/>
      <c r="E370" s="49"/>
      <c r="F370" s="49"/>
      <c r="G370" s="50"/>
    </row>
    <row r="371" spans="1:7" hidden="1" x14ac:dyDescent="0.25">
      <c r="A371" s="39" t="s">
        <v>133</v>
      </c>
      <c r="B371" s="36"/>
      <c r="C371" s="36"/>
      <c r="D371" s="36"/>
      <c r="E371" s="36"/>
      <c r="F371" s="36"/>
      <c r="G371" s="37"/>
    </row>
    <row r="372" spans="1:7" hidden="1" x14ac:dyDescent="0.25">
      <c r="A372" s="39" t="s">
        <v>134</v>
      </c>
      <c r="B372" s="36"/>
      <c r="C372" s="36"/>
      <c r="D372" s="36"/>
      <c r="E372" s="36"/>
      <c r="F372" s="36"/>
      <c r="G372" s="37"/>
    </row>
    <row r="373" spans="1:7" hidden="1" x14ac:dyDescent="0.25">
      <c r="A373" s="39" t="s">
        <v>135</v>
      </c>
      <c r="B373" s="36"/>
      <c r="C373" s="36"/>
      <c r="D373" s="36"/>
      <c r="E373" s="36"/>
      <c r="F373" s="36"/>
      <c r="G373" s="37"/>
    </row>
    <row r="374" spans="1:7" hidden="1" x14ac:dyDescent="0.25">
      <c r="A374" s="39" t="s">
        <v>136</v>
      </c>
      <c r="B374" s="36"/>
      <c r="C374" s="36"/>
      <c r="D374" s="36"/>
      <c r="E374" s="36"/>
      <c r="F374" s="36"/>
      <c r="G374" s="37"/>
    </row>
    <row r="375" spans="1:7" ht="15.75" hidden="1" thickBot="1" x14ac:dyDescent="0.3">
      <c r="A375" s="40" t="s">
        <v>137</v>
      </c>
      <c r="B375" s="38"/>
      <c r="C375" s="38"/>
      <c r="D375" s="38"/>
      <c r="E375" s="38"/>
      <c r="F375" s="38"/>
      <c r="G375" s="42"/>
    </row>
    <row r="376" spans="1:7" ht="15.75" hidden="1" thickBot="1" x14ac:dyDescent="0.3">
      <c r="A376" s="51"/>
      <c r="G376" s="52"/>
    </row>
    <row r="377" spans="1:7" ht="20.25" hidden="1" x14ac:dyDescent="0.3">
      <c r="A377" s="1190" t="s">
        <v>189</v>
      </c>
      <c r="B377" s="1191"/>
      <c r="C377" s="1191"/>
      <c r="D377" s="1191"/>
      <c r="E377" s="1191"/>
      <c r="F377" s="1191"/>
      <c r="G377" s="1192"/>
    </row>
    <row r="378" spans="1:7" ht="39" hidden="1" thickBot="1" x14ac:dyDescent="0.3">
      <c r="A378" s="32" t="s">
        <v>63</v>
      </c>
      <c r="B378" s="43" t="s">
        <v>149</v>
      </c>
      <c r="C378" s="43" t="s">
        <v>150</v>
      </c>
      <c r="D378" s="43" t="s">
        <v>182</v>
      </c>
      <c r="E378" s="43" t="s">
        <v>190</v>
      </c>
      <c r="F378" s="43" t="s">
        <v>191</v>
      </c>
      <c r="G378" s="44" t="s">
        <v>185</v>
      </c>
    </row>
    <row r="379" spans="1:7" hidden="1" x14ac:dyDescent="0.25">
      <c r="A379" s="39" t="s">
        <v>139</v>
      </c>
      <c r="B379" s="36"/>
      <c r="C379" s="36"/>
      <c r="D379" s="36"/>
      <c r="E379" s="36"/>
      <c r="F379" s="36"/>
      <c r="G379" s="37"/>
    </row>
    <row r="380" spans="1:7" hidden="1" x14ac:dyDescent="0.25">
      <c r="A380" s="39" t="s">
        <v>140</v>
      </c>
      <c r="B380" s="36"/>
      <c r="C380" s="36"/>
      <c r="D380" s="36"/>
      <c r="E380" s="36"/>
      <c r="F380" s="36"/>
      <c r="G380" s="37"/>
    </row>
    <row r="381" spans="1:7" hidden="1" x14ac:dyDescent="0.25">
      <c r="A381" s="39" t="s">
        <v>141</v>
      </c>
      <c r="B381" s="36"/>
      <c r="C381" s="36"/>
      <c r="D381" s="36"/>
      <c r="E381" s="36"/>
      <c r="F381" s="36"/>
      <c r="G381" s="37"/>
    </row>
    <row r="382" spans="1:7" hidden="1" x14ac:dyDescent="0.25">
      <c r="A382" s="39" t="s">
        <v>142</v>
      </c>
      <c r="B382" s="36"/>
      <c r="C382" s="36"/>
      <c r="D382" s="36"/>
      <c r="E382" s="36"/>
      <c r="F382" s="36"/>
      <c r="G382" s="37"/>
    </row>
    <row r="383" spans="1:7" hidden="1" x14ac:dyDescent="0.25">
      <c r="A383" s="39" t="s">
        <v>143</v>
      </c>
      <c r="B383" s="36"/>
      <c r="C383" s="36"/>
      <c r="D383" s="36"/>
      <c r="E383" s="36"/>
      <c r="F383" s="36"/>
      <c r="G383" s="37"/>
    </row>
    <row r="384" spans="1:7" hidden="1" x14ac:dyDescent="0.25">
      <c r="A384" s="39" t="s">
        <v>144</v>
      </c>
      <c r="B384" s="36"/>
      <c r="C384" s="36"/>
      <c r="D384" s="36"/>
      <c r="E384" s="36"/>
      <c r="F384" s="36"/>
      <c r="G384" s="37"/>
    </row>
    <row r="385" spans="1:7" hidden="1" x14ac:dyDescent="0.25">
      <c r="A385" s="48" t="s">
        <v>132</v>
      </c>
      <c r="B385" s="49"/>
      <c r="C385" s="49"/>
      <c r="D385" s="49"/>
      <c r="E385" s="49"/>
      <c r="F385" s="49"/>
      <c r="G385" s="50"/>
    </row>
    <row r="386" spans="1:7" hidden="1" x14ac:dyDescent="0.25">
      <c r="A386" s="39" t="s">
        <v>133</v>
      </c>
      <c r="B386" s="36"/>
      <c r="C386" s="36"/>
      <c r="D386" s="36"/>
      <c r="E386" s="36"/>
      <c r="F386" s="36"/>
      <c r="G386" s="37"/>
    </row>
    <row r="387" spans="1:7" hidden="1" x14ac:dyDescent="0.25">
      <c r="A387" s="39" t="s">
        <v>134</v>
      </c>
      <c r="B387" s="36"/>
      <c r="C387" s="36"/>
      <c r="D387" s="36"/>
      <c r="E387" s="36"/>
      <c r="F387" s="36"/>
      <c r="G387" s="37"/>
    </row>
    <row r="388" spans="1:7" hidden="1" x14ac:dyDescent="0.25">
      <c r="A388" s="39" t="s">
        <v>135</v>
      </c>
      <c r="B388" s="36"/>
      <c r="C388" s="36"/>
      <c r="D388" s="36"/>
      <c r="E388" s="36"/>
      <c r="F388" s="36"/>
      <c r="G388" s="37"/>
    </row>
    <row r="389" spans="1:7" hidden="1" x14ac:dyDescent="0.25">
      <c r="A389" s="39" t="s">
        <v>136</v>
      </c>
      <c r="B389" s="36"/>
      <c r="C389" s="36"/>
      <c r="D389" s="36"/>
      <c r="E389" s="36"/>
      <c r="F389" s="36"/>
      <c r="G389" s="37"/>
    </row>
    <row r="390" spans="1:7" ht="15.75" hidden="1" thickBot="1" x14ac:dyDescent="0.3">
      <c r="A390" s="40" t="s">
        <v>137</v>
      </c>
      <c r="B390" s="38"/>
      <c r="C390" s="38"/>
      <c r="D390" s="38"/>
      <c r="E390" s="38"/>
      <c r="F390" s="38"/>
      <c r="G390" s="42"/>
    </row>
    <row r="391" spans="1:7" ht="15.75" hidden="1" thickBot="1" x14ac:dyDescent="0.3">
      <c r="A391" s="51"/>
      <c r="G391" s="52"/>
    </row>
    <row r="392" spans="1:7" ht="20.25" hidden="1" x14ac:dyDescent="0.3">
      <c r="A392" s="1190" t="s">
        <v>192</v>
      </c>
      <c r="B392" s="1191"/>
      <c r="C392" s="1191"/>
      <c r="D392" s="1191"/>
      <c r="E392" s="1191"/>
      <c r="F392" s="1191"/>
      <c r="G392" s="1192"/>
    </row>
    <row r="393" spans="1:7" ht="39" hidden="1" thickBot="1" x14ac:dyDescent="0.3">
      <c r="A393" s="32" t="s">
        <v>64</v>
      </c>
      <c r="B393" s="43" t="s">
        <v>149</v>
      </c>
      <c r="C393" s="43" t="s">
        <v>150</v>
      </c>
      <c r="D393" s="43" t="s">
        <v>182</v>
      </c>
      <c r="E393" s="43" t="s">
        <v>193</v>
      </c>
      <c r="F393" s="43" t="s">
        <v>194</v>
      </c>
      <c r="G393" s="44" t="s">
        <v>185</v>
      </c>
    </row>
    <row r="394" spans="1:7" hidden="1" x14ac:dyDescent="0.25">
      <c r="A394" s="39" t="s">
        <v>139</v>
      </c>
      <c r="B394" s="36"/>
      <c r="C394" s="36"/>
      <c r="D394" s="36"/>
      <c r="E394" s="36"/>
      <c r="F394" s="36"/>
      <c r="G394" s="37"/>
    </row>
    <row r="395" spans="1:7" hidden="1" x14ac:dyDescent="0.25">
      <c r="A395" s="39" t="s">
        <v>140</v>
      </c>
      <c r="B395" s="36"/>
      <c r="C395" s="36"/>
      <c r="D395" s="36"/>
      <c r="E395" s="36"/>
      <c r="F395" s="36"/>
      <c r="G395" s="37"/>
    </row>
    <row r="396" spans="1:7" hidden="1" x14ac:dyDescent="0.25">
      <c r="A396" s="39" t="s">
        <v>141</v>
      </c>
      <c r="B396" s="36"/>
      <c r="C396" s="36"/>
      <c r="D396" s="36"/>
      <c r="E396" s="36"/>
      <c r="F396" s="36"/>
      <c r="G396" s="37"/>
    </row>
    <row r="397" spans="1:7" hidden="1" x14ac:dyDescent="0.25">
      <c r="A397" s="39" t="s">
        <v>142</v>
      </c>
      <c r="B397" s="36"/>
      <c r="C397" s="36"/>
      <c r="D397" s="36"/>
      <c r="E397" s="36"/>
      <c r="F397" s="36"/>
      <c r="G397" s="37"/>
    </row>
    <row r="398" spans="1:7" hidden="1" x14ac:dyDescent="0.25">
      <c r="A398" s="39" t="s">
        <v>143</v>
      </c>
      <c r="B398" s="36"/>
      <c r="C398" s="36"/>
      <c r="D398" s="36"/>
      <c r="E398" s="36"/>
      <c r="F398" s="36"/>
      <c r="G398" s="37"/>
    </row>
    <row r="399" spans="1:7" hidden="1" x14ac:dyDescent="0.25">
      <c r="A399" s="39" t="s">
        <v>144</v>
      </c>
      <c r="B399" s="36"/>
      <c r="C399" s="36"/>
      <c r="D399" s="36"/>
      <c r="E399" s="36"/>
      <c r="F399" s="36"/>
      <c r="G399" s="37"/>
    </row>
    <row r="400" spans="1:7" hidden="1" x14ac:dyDescent="0.25">
      <c r="A400" s="48" t="s">
        <v>132</v>
      </c>
      <c r="B400" s="49"/>
      <c r="C400" s="49"/>
      <c r="D400" s="49"/>
      <c r="E400" s="49"/>
      <c r="F400" s="49"/>
      <c r="G400" s="50"/>
    </row>
    <row r="401" spans="1:9" hidden="1" x14ac:dyDescent="0.25">
      <c r="A401" s="39" t="s">
        <v>133</v>
      </c>
      <c r="B401" s="36"/>
      <c r="C401" s="36"/>
      <c r="D401" s="36"/>
      <c r="E401" s="36"/>
      <c r="F401" s="36"/>
      <c r="G401" s="37"/>
    </row>
    <row r="402" spans="1:9" hidden="1" x14ac:dyDescent="0.25">
      <c r="A402" s="39" t="s">
        <v>134</v>
      </c>
      <c r="B402" s="36"/>
      <c r="C402" s="36"/>
      <c r="D402" s="36"/>
      <c r="E402" s="36"/>
      <c r="F402" s="36"/>
      <c r="G402" s="37"/>
    </row>
    <row r="403" spans="1:9" hidden="1" x14ac:dyDescent="0.25">
      <c r="A403" s="39" t="s">
        <v>135</v>
      </c>
      <c r="B403" s="36"/>
      <c r="C403" s="36"/>
      <c r="D403" s="36"/>
      <c r="E403" s="36"/>
      <c r="F403" s="36"/>
      <c r="G403" s="37"/>
    </row>
    <row r="404" spans="1:9" hidden="1" x14ac:dyDescent="0.25">
      <c r="A404" s="39" t="s">
        <v>136</v>
      </c>
      <c r="B404" s="36"/>
      <c r="C404" s="36"/>
      <c r="D404" s="36"/>
      <c r="E404" s="36"/>
      <c r="F404" s="36"/>
      <c r="G404" s="37"/>
    </row>
    <row r="405" spans="1:9" ht="15.75" hidden="1" thickBot="1" x14ac:dyDescent="0.3">
      <c r="A405" s="40" t="s">
        <v>137</v>
      </c>
      <c r="B405" s="38"/>
      <c r="C405" s="38"/>
      <c r="D405" s="38"/>
      <c r="E405" s="38"/>
      <c r="F405" s="38"/>
      <c r="G405" s="42"/>
    </row>
    <row r="407" spans="1:9" ht="21" hidden="1" thickBot="1" x14ac:dyDescent="0.35">
      <c r="A407" s="1239" t="s">
        <v>195</v>
      </c>
      <c r="B407" s="1240"/>
      <c r="C407" s="1240"/>
      <c r="D407" s="1240"/>
      <c r="E407" s="1240"/>
      <c r="F407" s="1240"/>
      <c r="G407" s="1240"/>
      <c r="H407" s="1241"/>
    </row>
    <row r="408" spans="1:9" ht="38.25" hidden="1" x14ac:dyDescent="0.25">
      <c r="A408" s="58" t="s">
        <v>49</v>
      </c>
      <c r="B408" s="59" t="s">
        <v>196</v>
      </c>
      <c r="C408" s="79" t="s">
        <v>152</v>
      </c>
      <c r="D408" s="79" t="s">
        <v>153</v>
      </c>
      <c r="E408" s="79" t="s">
        <v>197</v>
      </c>
      <c r="F408" s="79" t="s">
        <v>198</v>
      </c>
      <c r="G408" s="79" t="s">
        <v>199</v>
      </c>
      <c r="H408" s="61" t="s">
        <v>185</v>
      </c>
    </row>
    <row r="409" spans="1:9" hidden="1" x14ac:dyDescent="0.25">
      <c r="A409" s="35" t="s">
        <v>132</v>
      </c>
      <c r="B409" s="1301" t="s">
        <v>240</v>
      </c>
      <c r="C409" s="1242" t="s">
        <v>241</v>
      </c>
      <c r="D409" s="1302">
        <v>33</v>
      </c>
      <c r="E409" s="78">
        <v>46</v>
      </c>
      <c r="F409" s="45"/>
      <c r="G409" s="45">
        <f t="shared" ref="G409:G414" si="36">F409/E409</f>
        <v>0</v>
      </c>
      <c r="H409" s="46"/>
      <c r="I409" s="3">
        <f t="shared" ref="I409:I414" si="37">LEN(H409)</f>
        <v>0</v>
      </c>
    </row>
    <row r="410" spans="1:9" hidden="1" x14ac:dyDescent="0.25">
      <c r="A410" s="35" t="s">
        <v>133</v>
      </c>
      <c r="B410" s="1228"/>
      <c r="C410" s="1231"/>
      <c r="D410" s="1237"/>
      <c r="E410" s="78">
        <v>46</v>
      </c>
      <c r="F410" s="45"/>
      <c r="G410" s="45">
        <f t="shared" si="36"/>
        <v>0</v>
      </c>
      <c r="H410" s="46"/>
      <c r="I410" s="3">
        <f t="shared" si="37"/>
        <v>0</v>
      </c>
    </row>
    <row r="411" spans="1:9" hidden="1" x14ac:dyDescent="0.25">
      <c r="A411" s="35" t="s">
        <v>134</v>
      </c>
      <c r="B411" s="1228"/>
      <c r="C411" s="1231"/>
      <c r="D411" s="1237"/>
      <c r="E411" s="78">
        <v>46</v>
      </c>
      <c r="F411" s="45"/>
      <c r="G411" s="45">
        <f t="shared" si="36"/>
        <v>0</v>
      </c>
      <c r="H411" s="46"/>
      <c r="I411" s="3">
        <f t="shared" si="37"/>
        <v>0</v>
      </c>
    </row>
    <row r="412" spans="1:9" hidden="1" x14ac:dyDescent="0.25">
      <c r="A412" s="35" t="s">
        <v>135</v>
      </c>
      <c r="B412" s="1228"/>
      <c r="C412" s="1231"/>
      <c r="D412" s="1237"/>
      <c r="E412" s="78">
        <v>46</v>
      </c>
      <c r="F412" s="45">
        <v>44.39</v>
      </c>
      <c r="G412" s="122">
        <f t="shared" si="36"/>
        <v>0.96499999999999997</v>
      </c>
      <c r="H412" s="46" t="s">
        <v>249</v>
      </c>
      <c r="I412" s="3">
        <f>LEN(H412)</f>
        <v>190</v>
      </c>
    </row>
    <row r="413" spans="1:9" hidden="1" x14ac:dyDescent="0.25">
      <c r="A413" s="35" t="s">
        <v>136</v>
      </c>
      <c r="B413" s="1228"/>
      <c r="C413" s="1231"/>
      <c r="D413" s="1237"/>
      <c r="E413" s="78">
        <v>46</v>
      </c>
      <c r="F413" s="45">
        <f>+[2]GESTIÓN!U14</f>
        <v>45.54</v>
      </c>
      <c r="G413" s="122">
        <f t="shared" si="36"/>
        <v>0.99</v>
      </c>
      <c r="H413" s="46" t="s">
        <v>258</v>
      </c>
      <c r="I413" s="3">
        <f t="shared" si="37"/>
        <v>199</v>
      </c>
    </row>
    <row r="414" spans="1:9" ht="15.75" hidden="1" thickBot="1" x14ac:dyDescent="0.3">
      <c r="A414" s="106" t="s">
        <v>137</v>
      </c>
      <c r="B414" s="1229"/>
      <c r="C414" s="1232"/>
      <c r="D414" s="1238"/>
      <c r="E414" s="123">
        <v>46</v>
      </c>
      <c r="F414" s="124">
        <v>45.92</v>
      </c>
      <c r="G414" s="125">
        <f t="shared" si="36"/>
        <v>0.99826086956521742</v>
      </c>
      <c r="H414" s="119" t="s">
        <v>259</v>
      </c>
      <c r="I414" s="3">
        <f t="shared" si="37"/>
        <v>193</v>
      </c>
    </row>
    <row r="415" spans="1:9" hidden="1" x14ac:dyDescent="0.25">
      <c r="A415" s="57"/>
      <c r="B415" s="100"/>
      <c r="C415" s="77"/>
      <c r="D415" s="57"/>
      <c r="E415" s="57"/>
      <c r="F415" s="57"/>
      <c r="G415" s="57"/>
      <c r="H415" s="57"/>
    </row>
    <row r="416" spans="1:9" hidden="1" x14ac:dyDescent="0.25">
      <c r="A416" s="57"/>
      <c r="B416" s="57"/>
      <c r="C416" s="57"/>
      <c r="D416" s="57"/>
      <c r="E416" s="57"/>
      <c r="F416" s="57"/>
      <c r="G416" s="57"/>
      <c r="H416" s="57"/>
    </row>
    <row r="417" spans="1:9" ht="39" hidden="1" thickBot="1" x14ac:dyDescent="0.3">
      <c r="A417" s="62" t="s">
        <v>49</v>
      </c>
      <c r="B417" s="63" t="s">
        <v>196</v>
      </c>
      <c r="C417" s="80" t="s">
        <v>152</v>
      </c>
      <c r="D417" s="80" t="s">
        <v>153</v>
      </c>
      <c r="E417" s="80" t="s">
        <v>197</v>
      </c>
      <c r="F417" s="80" t="s">
        <v>198</v>
      </c>
      <c r="G417" s="80" t="s">
        <v>199</v>
      </c>
      <c r="H417" s="64" t="s">
        <v>185</v>
      </c>
    </row>
    <row r="418" spans="1:9" hidden="1" x14ac:dyDescent="0.25">
      <c r="A418" s="81" t="s">
        <v>132</v>
      </c>
      <c r="B418" s="1227" t="s">
        <v>242</v>
      </c>
      <c r="C418" s="1230" t="s">
        <v>243</v>
      </c>
      <c r="D418" s="1302">
        <v>34</v>
      </c>
      <c r="E418" s="83">
        <v>5</v>
      </c>
      <c r="F418" s="82"/>
      <c r="G418" s="82">
        <f t="shared" ref="G418:G423" si="38">F418/E418</f>
        <v>0</v>
      </c>
      <c r="H418" s="84"/>
      <c r="I418" s="3">
        <f t="shared" ref="I418:I423" si="39">LEN(H418)</f>
        <v>0</v>
      </c>
    </row>
    <row r="419" spans="1:9" hidden="1" x14ac:dyDescent="0.25">
      <c r="A419" s="35" t="s">
        <v>133</v>
      </c>
      <c r="B419" s="1228"/>
      <c r="C419" s="1231"/>
      <c r="D419" s="1237"/>
      <c r="E419" s="69">
        <v>5</v>
      </c>
      <c r="F419" s="45"/>
      <c r="G419" s="45">
        <f t="shared" si="38"/>
        <v>0</v>
      </c>
      <c r="H419" s="46"/>
      <c r="I419" s="3">
        <f t="shared" si="39"/>
        <v>0</v>
      </c>
    </row>
    <row r="420" spans="1:9" hidden="1" x14ac:dyDescent="0.25">
      <c r="A420" s="35" t="s">
        <v>134</v>
      </c>
      <c r="B420" s="1228"/>
      <c r="C420" s="1231"/>
      <c r="D420" s="1237"/>
      <c r="E420" s="69">
        <v>5</v>
      </c>
      <c r="F420" s="45"/>
      <c r="G420" s="45">
        <f t="shared" si="38"/>
        <v>0</v>
      </c>
      <c r="H420" s="46"/>
      <c r="I420" s="3">
        <f t="shared" si="39"/>
        <v>0</v>
      </c>
    </row>
    <row r="421" spans="1:9" hidden="1" x14ac:dyDescent="0.25">
      <c r="A421" s="35" t="s">
        <v>135</v>
      </c>
      <c r="B421" s="1228"/>
      <c r="C421" s="1231"/>
      <c r="D421" s="1237"/>
      <c r="E421" s="69">
        <v>5</v>
      </c>
      <c r="F421" s="45">
        <v>1.54</v>
      </c>
      <c r="G421" s="122">
        <f t="shared" si="38"/>
        <v>0.308</v>
      </c>
      <c r="H421" s="46" t="s">
        <v>244</v>
      </c>
      <c r="I421" s="3">
        <f>LEN(H421)</f>
        <v>200</v>
      </c>
    </row>
    <row r="422" spans="1:9" hidden="1" x14ac:dyDescent="0.25">
      <c r="A422" s="35" t="s">
        <v>136</v>
      </c>
      <c r="B422" s="1228"/>
      <c r="C422" s="1231"/>
      <c r="D422" s="1237"/>
      <c r="E422" s="69">
        <v>5</v>
      </c>
      <c r="F422" s="126">
        <f>+[2]GESTIÓN!U15</f>
        <v>2.5379999999999998</v>
      </c>
      <c r="G422" s="122">
        <f t="shared" si="38"/>
        <v>0.50759999999999994</v>
      </c>
      <c r="H422" s="46" t="s">
        <v>251</v>
      </c>
      <c r="I422" s="3">
        <f t="shared" si="39"/>
        <v>121</v>
      </c>
    </row>
    <row r="423" spans="1:9" ht="15.75" hidden="1" thickBot="1" x14ac:dyDescent="0.3">
      <c r="A423" s="106" t="s">
        <v>137</v>
      </c>
      <c r="B423" s="1229"/>
      <c r="C423" s="1232"/>
      <c r="D423" s="1238"/>
      <c r="E423" s="127">
        <v>5</v>
      </c>
      <c r="F423" s="124">
        <v>5.49</v>
      </c>
      <c r="G423" s="125">
        <f t="shared" si="38"/>
        <v>1.0980000000000001</v>
      </c>
      <c r="H423" s="119" t="s">
        <v>260</v>
      </c>
      <c r="I423" s="3">
        <f t="shared" si="39"/>
        <v>121</v>
      </c>
    </row>
    <row r="424" spans="1:9" hidden="1" x14ac:dyDescent="0.25">
      <c r="A424" s="57"/>
      <c r="B424" s="57"/>
      <c r="C424" s="57"/>
      <c r="D424" s="57"/>
      <c r="E424" s="57"/>
      <c r="F424" s="57"/>
      <c r="G424" s="57"/>
      <c r="H424" s="57"/>
    </row>
    <row r="425" spans="1:9" hidden="1" x14ac:dyDescent="0.25">
      <c r="A425" s="57"/>
      <c r="B425" s="57"/>
      <c r="C425" s="57"/>
      <c r="D425" s="57"/>
      <c r="E425" s="57"/>
      <c r="F425" s="57"/>
      <c r="G425" s="57"/>
      <c r="H425" s="57"/>
    </row>
    <row r="426" spans="1:9" ht="39" hidden="1" thickBot="1" x14ac:dyDescent="0.3">
      <c r="A426" s="62" t="s">
        <v>49</v>
      </c>
      <c r="B426" s="63" t="s">
        <v>196</v>
      </c>
      <c r="C426" s="80" t="s">
        <v>152</v>
      </c>
      <c r="D426" s="80" t="s">
        <v>153</v>
      </c>
      <c r="E426" s="80" t="s">
        <v>197</v>
      </c>
      <c r="F426" s="80" t="s">
        <v>198</v>
      </c>
      <c r="G426" s="80" t="s">
        <v>199</v>
      </c>
      <c r="H426" s="64" t="s">
        <v>185</v>
      </c>
    </row>
    <row r="427" spans="1:9" hidden="1" x14ac:dyDescent="0.25">
      <c r="A427" s="81" t="s">
        <v>132</v>
      </c>
      <c r="B427" s="1227"/>
      <c r="C427" s="1230" t="s">
        <v>243</v>
      </c>
      <c r="D427" s="1233"/>
      <c r="E427" s="83">
        <v>54</v>
      </c>
      <c r="F427" s="82"/>
      <c r="G427" s="82">
        <f t="shared" ref="G427:G432" si="40">F427/E427</f>
        <v>0</v>
      </c>
      <c r="H427" s="84"/>
      <c r="I427" s="3">
        <f t="shared" ref="I427:I432" si="41">LEN(H427)</f>
        <v>0</v>
      </c>
    </row>
    <row r="428" spans="1:9" hidden="1" x14ac:dyDescent="0.25">
      <c r="A428" s="35" t="s">
        <v>133</v>
      </c>
      <c r="B428" s="1228"/>
      <c r="C428" s="1231"/>
      <c r="D428" s="1234"/>
      <c r="E428" s="69">
        <v>54</v>
      </c>
      <c r="F428" s="45"/>
      <c r="G428" s="45">
        <f t="shared" si="40"/>
        <v>0</v>
      </c>
      <c r="H428" s="46"/>
      <c r="I428" s="3">
        <f t="shared" si="41"/>
        <v>0</v>
      </c>
    </row>
    <row r="429" spans="1:9" hidden="1" x14ac:dyDescent="0.25">
      <c r="A429" s="35" t="s">
        <v>134</v>
      </c>
      <c r="B429" s="1228"/>
      <c r="C429" s="1231"/>
      <c r="D429" s="1234"/>
      <c r="E429" s="69">
        <v>54</v>
      </c>
      <c r="F429" s="45"/>
      <c r="G429" s="45">
        <f t="shared" si="40"/>
        <v>0</v>
      </c>
      <c r="H429" s="46"/>
      <c r="I429" s="3">
        <f t="shared" si="41"/>
        <v>0</v>
      </c>
    </row>
    <row r="430" spans="1:9" hidden="1" x14ac:dyDescent="0.25">
      <c r="A430" s="35" t="s">
        <v>135</v>
      </c>
      <c r="B430" s="1228"/>
      <c r="C430" s="1231"/>
      <c r="D430" s="1234"/>
      <c r="E430" s="69">
        <v>54</v>
      </c>
      <c r="F430" s="45">
        <v>4.24</v>
      </c>
      <c r="G430" s="122">
        <f t="shared" si="40"/>
        <v>7.8518518518518529E-2</v>
      </c>
      <c r="H430" s="46" t="s">
        <v>248</v>
      </c>
      <c r="I430" s="3">
        <f>LEN(H430)</f>
        <v>170</v>
      </c>
    </row>
    <row r="431" spans="1:9" hidden="1" x14ac:dyDescent="0.25">
      <c r="A431" s="35" t="s">
        <v>136</v>
      </c>
      <c r="B431" s="1228"/>
      <c r="C431" s="1231"/>
      <c r="D431" s="1234"/>
      <c r="E431" s="69">
        <v>54</v>
      </c>
      <c r="F431" s="126">
        <f>+[2]GESTIÓN!U17</f>
        <v>4.8070000000000004</v>
      </c>
      <c r="G431" s="122">
        <f t="shared" si="40"/>
        <v>8.9018518518518525E-2</v>
      </c>
      <c r="H431" s="46" t="s">
        <v>252</v>
      </c>
      <c r="I431" s="3">
        <f t="shared" si="41"/>
        <v>200</v>
      </c>
    </row>
    <row r="432" spans="1:9" ht="15.75" hidden="1" thickBot="1" x14ac:dyDescent="0.3">
      <c r="A432" s="106" t="s">
        <v>137</v>
      </c>
      <c r="B432" s="1229"/>
      <c r="C432" s="1232"/>
      <c r="D432" s="1235"/>
      <c r="E432" s="70">
        <v>54</v>
      </c>
      <c r="F432" s="47">
        <f>+[2]GESTIÓN!W17</f>
        <v>5.24</v>
      </c>
      <c r="G432" s="128">
        <f t="shared" si="40"/>
        <v>9.7037037037037047E-2</v>
      </c>
      <c r="H432" s="119" t="s">
        <v>261</v>
      </c>
      <c r="I432" s="3">
        <f t="shared" si="41"/>
        <v>198</v>
      </c>
    </row>
    <row r="433" spans="1:9" hidden="1" x14ac:dyDescent="0.25">
      <c r="A433" s="57"/>
      <c r="B433" s="57"/>
      <c r="C433" s="57"/>
      <c r="D433" s="57"/>
      <c r="E433" s="57"/>
      <c r="F433" s="57"/>
      <c r="G433" s="57"/>
      <c r="H433" s="57"/>
    </row>
    <row r="434" spans="1:9" hidden="1" x14ac:dyDescent="0.25">
      <c r="A434" s="57"/>
      <c r="B434" s="57"/>
      <c r="C434" s="57"/>
      <c r="D434" s="57"/>
      <c r="E434" s="57"/>
      <c r="F434" s="57"/>
      <c r="G434" s="57"/>
      <c r="H434" s="57"/>
    </row>
    <row r="435" spans="1:9" ht="39" hidden="1" thickBot="1" x14ac:dyDescent="0.3">
      <c r="A435" s="62" t="s">
        <v>49</v>
      </c>
      <c r="B435" s="63" t="s">
        <v>196</v>
      </c>
      <c r="C435" s="80" t="s">
        <v>152</v>
      </c>
      <c r="D435" s="80" t="s">
        <v>153</v>
      </c>
      <c r="E435" s="80" t="s">
        <v>197</v>
      </c>
      <c r="F435" s="80" t="s">
        <v>198</v>
      </c>
      <c r="G435" s="80" t="s">
        <v>199</v>
      </c>
      <c r="H435" s="64" t="s">
        <v>185</v>
      </c>
    </row>
    <row r="436" spans="1:9" hidden="1" x14ac:dyDescent="0.25">
      <c r="A436" s="81" t="s">
        <v>132</v>
      </c>
      <c r="B436" s="1227" t="s">
        <v>245</v>
      </c>
      <c r="C436" s="1230" t="s">
        <v>246</v>
      </c>
      <c r="D436" s="1236">
        <v>33</v>
      </c>
      <c r="E436" s="83">
        <v>0.27</v>
      </c>
      <c r="F436" s="82"/>
      <c r="G436" s="82">
        <f t="shared" ref="G436:G441" si="42">F436/E436</f>
        <v>0</v>
      </c>
      <c r="H436" s="84"/>
      <c r="I436" s="3">
        <f t="shared" ref="I436:I441" si="43">LEN(H436)</f>
        <v>0</v>
      </c>
    </row>
    <row r="437" spans="1:9" hidden="1" x14ac:dyDescent="0.25">
      <c r="A437" s="35" t="s">
        <v>133</v>
      </c>
      <c r="B437" s="1228"/>
      <c r="C437" s="1231"/>
      <c r="D437" s="1237"/>
      <c r="E437" s="69">
        <v>0.27</v>
      </c>
      <c r="F437" s="45"/>
      <c r="G437" s="45">
        <f t="shared" si="42"/>
        <v>0</v>
      </c>
      <c r="H437" s="46"/>
      <c r="I437" s="3">
        <f t="shared" si="43"/>
        <v>0</v>
      </c>
    </row>
    <row r="438" spans="1:9" hidden="1" x14ac:dyDescent="0.25">
      <c r="A438" s="35" t="s">
        <v>134</v>
      </c>
      <c r="B438" s="1228"/>
      <c r="C438" s="1231"/>
      <c r="D438" s="1237"/>
      <c r="E438" s="69">
        <v>0.27</v>
      </c>
      <c r="F438" s="45"/>
      <c r="G438" s="45">
        <f t="shared" si="42"/>
        <v>0</v>
      </c>
      <c r="H438" s="46"/>
      <c r="I438" s="3">
        <f t="shared" si="43"/>
        <v>0</v>
      </c>
    </row>
    <row r="439" spans="1:9" hidden="1" x14ac:dyDescent="0.25">
      <c r="A439" s="35" t="s">
        <v>135</v>
      </c>
      <c r="B439" s="1228"/>
      <c r="C439" s="1231"/>
      <c r="D439" s="1237"/>
      <c r="E439" s="69">
        <v>0.27</v>
      </c>
      <c r="F439" s="45">
        <v>0.14000000000000001</v>
      </c>
      <c r="G439" s="122">
        <f t="shared" si="42"/>
        <v>0.51851851851851849</v>
      </c>
      <c r="H439" s="46" t="s">
        <v>247</v>
      </c>
      <c r="I439" s="3">
        <f>LEN(H439)</f>
        <v>193</v>
      </c>
    </row>
    <row r="440" spans="1:9" hidden="1" x14ac:dyDescent="0.25">
      <c r="A440" s="35" t="s">
        <v>136</v>
      </c>
      <c r="B440" s="1228"/>
      <c r="C440" s="1231"/>
      <c r="D440" s="1237"/>
      <c r="E440" s="69">
        <v>0.27</v>
      </c>
      <c r="F440" s="126">
        <f>+[2]GESTIÓN!U18</f>
        <v>0.2</v>
      </c>
      <c r="G440" s="122">
        <f t="shared" si="42"/>
        <v>0.7407407407407407</v>
      </c>
      <c r="H440" s="46" t="s">
        <v>253</v>
      </c>
      <c r="I440" s="3">
        <f t="shared" si="43"/>
        <v>154</v>
      </c>
    </row>
    <row r="441" spans="1:9" ht="15.75" hidden="1" thickBot="1" x14ac:dyDescent="0.3">
      <c r="A441" s="106" t="s">
        <v>137</v>
      </c>
      <c r="B441" s="1229"/>
      <c r="C441" s="1232"/>
      <c r="D441" s="1238"/>
      <c r="E441" s="127">
        <v>0.27</v>
      </c>
      <c r="F441" s="124">
        <v>0.26</v>
      </c>
      <c r="G441" s="125">
        <f t="shared" si="42"/>
        <v>0.96296296296296291</v>
      </c>
      <c r="H441" s="119" t="s">
        <v>267</v>
      </c>
      <c r="I441" s="3">
        <f t="shared" si="43"/>
        <v>148</v>
      </c>
    </row>
    <row r="442" spans="1:9" x14ac:dyDescent="0.25">
      <c r="A442" s="57"/>
      <c r="B442" s="100"/>
      <c r="C442" s="100"/>
      <c r="D442" s="172"/>
      <c r="E442" s="77"/>
      <c r="F442" s="57"/>
      <c r="G442" s="173"/>
      <c r="H442" s="57"/>
      <c r="I442" s="3"/>
    </row>
    <row r="443" spans="1:9" ht="15.75" thickBot="1" x14ac:dyDescent="0.3">
      <c r="A443" s="57"/>
      <c r="B443" s="100"/>
      <c r="C443" s="100"/>
      <c r="D443" s="172"/>
      <c r="E443" s="77"/>
      <c r="F443" s="57"/>
      <c r="G443" s="173"/>
      <c r="H443" s="57"/>
      <c r="I443" s="3"/>
    </row>
    <row r="444" spans="1:9" ht="21" thickBot="1" x14ac:dyDescent="0.35">
      <c r="A444" s="1239" t="s">
        <v>268</v>
      </c>
      <c r="B444" s="1240"/>
      <c r="C444" s="1240"/>
      <c r="D444" s="1240"/>
      <c r="E444" s="1240"/>
      <c r="F444" s="1240"/>
      <c r="G444" s="1240"/>
      <c r="H444" s="1241"/>
    </row>
    <row r="445" spans="1:9" ht="38.25" x14ac:dyDescent="0.25">
      <c r="A445" s="32" t="s">
        <v>50</v>
      </c>
      <c r="B445" s="59" t="s">
        <v>196</v>
      </c>
      <c r="C445" s="79" t="s">
        <v>152</v>
      </c>
      <c r="D445" s="79" t="s">
        <v>162</v>
      </c>
      <c r="E445" s="79" t="s">
        <v>284</v>
      </c>
      <c r="F445" s="79" t="s">
        <v>285</v>
      </c>
      <c r="G445" s="79" t="s">
        <v>286</v>
      </c>
      <c r="H445" s="61" t="s">
        <v>185</v>
      </c>
    </row>
    <row r="446" spans="1:9" x14ac:dyDescent="0.25">
      <c r="A446" s="180" t="s">
        <v>139</v>
      </c>
      <c r="B446" s="1301" t="s">
        <v>240</v>
      </c>
      <c r="C446" s="1242" t="s">
        <v>241</v>
      </c>
      <c r="D446" s="1302">
        <v>33</v>
      </c>
      <c r="E446" s="184">
        <v>56</v>
      </c>
      <c r="F446" s="185" t="e">
        <f>+#REF!</f>
        <v>#REF!</v>
      </c>
      <c r="G446" s="190" t="e">
        <f t="shared" ref="G446:G457" si="44">F446/E446</f>
        <v>#REF!</v>
      </c>
      <c r="H446" s="186"/>
      <c r="I446" s="3">
        <f t="shared" ref="I446:I457" si="45">LEN(H446)</f>
        <v>0</v>
      </c>
    </row>
    <row r="447" spans="1:9" x14ac:dyDescent="0.25">
      <c r="A447" s="133" t="s">
        <v>140</v>
      </c>
      <c r="B447" s="1228"/>
      <c r="C447" s="1231"/>
      <c r="D447" s="1237"/>
      <c r="E447" s="78">
        <v>56</v>
      </c>
      <c r="F447" s="45"/>
      <c r="G447" s="189">
        <f t="shared" si="44"/>
        <v>0</v>
      </c>
      <c r="H447" s="46"/>
      <c r="I447" s="3">
        <f t="shared" si="45"/>
        <v>0</v>
      </c>
    </row>
    <row r="448" spans="1:9" x14ac:dyDescent="0.25">
      <c r="A448" s="133" t="s">
        <v>141</v>
      </c>
      <c r="B448" s="1228"/>
      <c r="C448" s="1231"/>
      <c r="D448" s="1237"/>
      <c r="E448" s="78">
        <v>56</v>
      </c>
      <c r="F448" s="45"/>
      <c r="G448" s="189">
        <f t="shared" si="44"/>
        <v>0</v>
      </c>
      <c r="H448" s="46"/>
      <c r="I448" s="3">
        <f t="shared" si="45"/>
        <v>0</v>
      </c>
    </row>
    <row r="449" spans="1:9" x14ac:dyDescent="0.25">
      <c r="A449" s="133" t="s">
        <v>142</v>
      </c>
      <c r="B449" s="1228"/>
      <c r="C449" s="1231"/>
      <c r="D449" s="1237"/>
      <c r="E449" s="78">
        <v>56</v>
      </c>
      <c r="F449" s="45"/>
      <c r="G449" s="189">
        <f t="shared" si="44"/>
        <v>0</v>
      </c>
      <c r="H449" s="46"/>
      <c r="I449" s="3">
        <f t="shared" si="45"/>
        <v>0</v>
      </c>
    </row>
    <row r="450" spans="1:9" x14ac:dyDescent="0.25">
      <c r="A450" s="133" t="s">
        <v>143</v>
      </c>
      <c r="B450" s="1228"/>
      <c r="C450" s="1231"/>
      <c r="D450" s="1237"/>
      <c r="E450" s="78">
        <v>56</v>
      </c>
      <c r="F450" s="45"/>
      <c r="G450" s="189">
        <f t="shared" si="44"/>
        <v>0</v>
      </c>
      <c r="H450" s="46"/>
      <c r="I450" s="3">
        <f t="shared" si="45"/>
        <v>0</v>
      </c>
    </row>
    <row r="451" spans="1:9" x14ac:dyDescent="0.25">
      <c r="A451" s="133" t="s">
        <v>144</v>
      </c>
      <c r="B451" s="1228"/>
      <c r="C451" s="1231"/>
      <c r="D451" s="1237"/>
      <c r="E451" s="78">
        <v>56</v>
      </c>
      <c r="F451" s="45"/>
      <c r="G451" s="189">
        <f t="shared" si="44"/>
        <v>0</v>
      </c>
      <c r="H451" s="46"/>
      <c r="I451" s="3">
        <f t="shared" si="45"/>
        <v>0</v>
      </c>
    </row>
    <row r="452" spans="1:9" x14ac:dyDescent="0.25">
      <c r="A452" s="133" t="s">
        <v>132</v>
      </c>
      <c r="B452" s="1228"/>
      <c r="C452" s="1231"/>
      <c r="D452" s="1237"/>
      <c r="E452" s="78">
        <v>56</v>
      </c>
      <c r="F452" s="45"/>
      <c r="G452" s="189">
        <f t="shared" si="44"/>
        <v>0</v>
      </c>
      <c r="H452" s="46"/>
      <c r="I452" s="3">
        <f t="shared" si="45"/>
        <v>0</v>
      </c>
    </row>
    <row r="453" spans="1:9" x14ac:dyDescent="0.25">
      <c r="A453" s="35" t="s">
        <v>133</v>
      </c>
      <c r="B453" s="1228"/>
      <c r="C453" s="1231"/>
      <c r="D453" s="1237"/>
      <c r="E453" s="78">
        <v>56</v>
      </c>
      <c r="F453" s="45"/>
      <c r="G453" s="189">
        <f t="shared" si="44"/>
        <v>0</v>
      </c>
      <c r="H453" s="46"/>
      <c r="I453" s="3">
        <f t="shared" si="45"/>
        <v>0</v>
      </c>
    </row>
    <row r="454" spans="1:9" x14ac:dyDescent="0.25">
      <c r="A454" s="35" t="s">
        <v>134</v>
      </c>
      <c r="B454" s="1228"/>
      <c r="C454" s="1231"/>
      <c r="D454" s="1237"/>
      <c r="E454" s="78">
        <v>56</v>
      </c>
      <c r="F454" s="45"/>
      <c r="G454" s="189">
        <f t="shared" si="44"/>
        <v>0</v>
      </c>
      <c r="H454" s="46"/>
      <c r="I454" s="3">
        <f t="shared" si="45"/>
        <v>0</v>
      </c>
    </row>
    <row r="455" spans="1:9" x14ac:dyDescent="0.25">
      <c r="A455" s="35" t="s">
        <v>135</v>
      </c>
      <c r="B455" s="1228"/>
      <c r="C455" s="1231"/>
      <c r="D455" s="1237"/>
      <c r="E455" s="78">
        <v>56</v>
      </c>
      <c r="F455" s="45"/>
      <c r="G455" s="189">
        <f t="shared" si="44"/>
        <v>0</v>
      </c>
      <c r="H455" s="46"/>
      <c r="I455" s="3">
        <f t="shared" si="45"/>
        <v>0</v>
      </c>
    </row>
    <row r="456" spans="1:9" x14ac:dyDescent="0.25">
      <c r="A456" s="35" t="s">
        <v>136</v>
      </c>
      <c r="B456" s="1228"/>
      <c r="C456" s="1231"/>
      <c r="D456" s="1237"/>
      <c r="E456" s="78">
        <v>56</v>
      </c>
      <c r="F456" s="45"/>
      <c r="G456" s="189">
        <f t="shared" si="44"/>
        <v>0</v>
      </c>
      <c r="H456" s="46"/>
      <c r="I456" s="3">
        <f t="shared" si="45"/>
        <v>0</v>
      </c>
    </row>
    <row r="457" spans="1:9" ht="15.75" thickBot="1" x14ac:dyDescent="0.3">
      <c r="A457" s="150" t="s">
        <v>137</v>
      </c>
      <c r="B457" s="1229"/>
      <c r="C457" s="1232"/>
      <c r="D457" s="1238"/>
      <c r="E457" s="187">
        <v>56</v>
      </c>
      <c r="F457" s="47"/>
      <c r="G457" s="191">
        <f t="shared" si="44"/>
        <v>0</v>
      </c>
      <c r="H457" s="168"/>
      <c r="I457" s="3">
        <f t="shared" si="45"/>
        <v>0</v>
      </c>
    </row>
    <row r="458" spans="1:9" x14ac:dyDescent="0.25">
      <c r="A458" s="57"/>
      <c r="B458" s="100"/>
      <c r="C458" s="77"/>
      <c r="D458" s="57"/>
      <c r="E458" s="57"/>
      <c r="F458" s="57"/>
      <c r="G458" s="57"/>
      <c r="H458" s="57"/>
    </row>
    <row r="459" spans="1:9" ht="15.75" thickBot="1" x14ac:dyDescent="0.3">
      <c r="A459" s="57"/>
      <c r="B459" s="57"/>
      <c r="C459" s="57"/>
      <c r="D459" s="57"/>
      <c r="E459" s="57"/>
      <c r="F459" s="57"/>
      <c r="G459" s="57"/>
      <c r="H459" s="57"/>
    </row>
    <row r="460" spans="1:9" ht="38.25" x14ac:dyDescent="0.25">
      <c r="A460" s="58" t="s">
        <v>50</v>
      </c>
      <c r="B460" s="59" t="s">
        <v>196</v>
      </c>
      <c r="C460" s="79" t="s">
        <v>152</v>
      </c>
      <c r="D460" s="79" t="s">
        <v>162</v>
      </c>
      <c r="E460" s="79" t="s">
        <v>284</v>
      </c>
      <c r="F460" s="79" t="s">
        <v>285</v>
      </c>
      <c r="G460" s="79" t="s">
        <v>286</v>
      </c>
      <c r="H460" s="61" t="s">
        <v>185</v>
      </c>
    </row>
    <row r="461" spans="1:9" x14ac:dyDescent="0.25">
      <c r="A461" s="155" t="s">
        <v>139</v>
      </c>
      <c r="B461" s="1295" t="s">
        <v>242</v>
      </c>
      <c r="C461" s="1297" t="s">
        <v>243</v>
      </c>
      <c r="D461" s="1299">
        <v>34</v>
      </c>
      <c r="E461" s="188">
        <v>50</v>
      </c>
      <c r="F461" s="185" t="e">
        <f>+#REF!</f>
        <v>#REF!</v>
      </c>
      <c r="G461" s="190" t="e">
        <f t="shared" ref="G461:G472" si="46">F461/E461</f>
        <v>#REF!</v>
      </c>
      <c r="H461" s="186"/>
      <c r="I461" s="3">
        <f t="shared" ref="I461:I472" si="47">LEN(H461)</f>
        <v>0</v>
      </c>
    </row>
    <row r="462" spans="1:9" x14ac:dyDescent="0.25">
      <c r="A462" s="35" t="s">
        <v>140</v>
      </c>
      <c r="B462" s="1295"/>
      <c r="C462" s="1297"/>
      <c r="D462" s="1299"/>
      <c r="E462" s="69">
        <v>50</v>
      </c>
      <c r="F462" s="45"/>
      <c r="G462" s="192">
        <f t="shared" si="46"/>
        <v>0</v>
      </c>
      <c r="H462" s="46"/>
      <c r="I462" s="3">
        <f t="shared" si="47"/>
        <v>0</v>
      </c>
    </row>
    <row r="463" spans="1:9" x14ac:dyDescent="0.25">
      <c r="A463" s="35" t="s">
        <v>141</v>
      </c>
      <c r="B463" s="1295"/>
      <c r="C463" s="1297"/>
      <c r="D463" s="1299"/>
      <c r="E463" s="69">
        <v>50</v>
      </c>
      <c r="F463" s="45"/>
      <c r="G463" s="192">
        <f t="shared" si="46"/>
        <v>0</v>
      </c>
      <c r="H463" s="46"/>
      <c r="I463" s="3">
        <f t="shared" si="47"/>
        <v>0</v>
      </c>
    </row>
    <row r="464" spans="1:9" x14ac:dyDescent="0.25">
      <c r="A464" s="35" t="s">
        <v>142</v>
      </c>
      <c r="B464" s="1295"/>
      <c r="C464" s="1297"/>
      <c r="D464" s="1299"/>
      <c r="E464" s="69">
        <v>50</v>
      </c>
      <c r="F464" s="45"/>
      <c r="G464" s="192">
        <f t="shared" si="46"/>
        <v>0</v>
      </c>
      <c r="H464" s="46"/>
      <c r="I464" s="3">
        <f t="shared" si="47"/>
        <v>0</v>
      </c>
    </row>
    <row r="465" spans="1:9" x14ac:dyDescent="0.25">
      <c r="A465" s="35" t="s">
        <v>143</v>
      </c>
      <c r="B465" s="1295"/>
      <c r="C465" s="1297"/>
      <c r="D465" s="1299"/>
      <c r="E465" s="69">
        <v>50</v>
      </c>
      <c r="F465" s="45"/>
      <c r="G465" s="192">
        <f t="shared" si="46"/>
        <v>0</v>
      </c>
      <c r="H465" s="46"/>
      <c r="I465" s="3">
        <f t="shared" si="47"/>
        <v>0</v>
      </c>
    </row>
    <row r="466" spans="1:9" x14ac:dyDescent="0.25">
      <c r="A466" s="35" t="s">
        <v>144</v>
      </c>
      <c r="B466" s="1295"/>
      <c r="C466" s="1297"/>
      <c r="D466" s="1299"/>
      <c r="E466" s="69">
        <v>50</v>
      </c>
      <c r="F466" s="45"/>
      <c r="G466" s="192">
        <f t="shared" si="46"/>
        <v>0</v>
      </c>
      <c r="H466" s="46"/>
      <c r="I466" s="3">
        <f t="shared" si="47"/>
        <v>0</v>
      </c>
    </row>
    <row r="467" spans="1:9" x14ac:dyDescent="0.25">
      <c r="A467" s="35" t="s">
        <v>132</v>
      </c>
      <c r="B467" s="1295"/>
      <c r="C467" s="1297"/>
      <c r="D467" s="1299"/>
      <c r="E467" s="69">
        <v>50</v>
      </c>
      <c r="F467" s="45"/>
      <c r="G467" s="192">
        <f t="shared" si="46"/>
        <v>0</v>
      </c>
      <c r="H467" s="46"/>
      <c r="I467" s="3">
        <f t="shared" si="47"/>
        <v>0</v>
      </c>
    </row>
    <row r="468" spans="1:9" x14ac:dyDescent="0.25">
      <c r="A468" s="35" t="s">
        <v>133</v>
      </c>
      <c r="B468" s="1295"/>
      <c r="C468" s="1297"/>
      <c r="D468" s="1299"/>
      <c r="E468" s="69">
        <v>50</v>
      </c>
      <c r="F468" s="45"/>
      <c r="G468" s="192">
        <f t="shared" si="46"/>
        <v>0</v>
      </c>
      <c r="H468" s="46"/>
      <c r="I468" s="3">
        <f t="shared" si="47"/>
        <v>0</v>
      </c>
    </row>
    <row r="469" spans="1:9" x14ac:dyDescent="0.25">
      <c r="A469" s="35" t="s">
        <v>134</v>
      </c>
      <c r="B469" s="1295"/>
      <c r="C469" s="1297"/>
      <c r="D469" s="1299"/>
      <c r="E469" s="69">
        <v>50</v>
      </c>
      <c r="F469" s="45"/>
      <c r="G469" s="192">
        <f t="shared" si="46"/>
        <v>0</v>
      </c>
      <c r="H469" s="46"/>
      <c r="I469" s="3">
        <f t="shared" si="47"/>
        <v>0</v>
      </c>
    </row>
    <row r="470" spans="1:9" x14ac:dyDescent="0.25">
      <c r="A470" s="35" t="s">
        <v>135</v>
      </c>
      <c r="B470" s="1295"/>
      <c r="C470" s="1297"/>
      <c r="D470" s="1299"/>
      <c r="E470" s="69">
        <v>50</v>
      </c>
      <c r="F470" s="45"/>
      <c r="G470" s="192">
        <f t="shared" si="46"/>
        <v>0</v>
      </c>
      <c r="H470" s="46"/>
      <c r="I470" s="3">
        <f t="shared" si="47"/>
        <v>0</v>
      </c>
    </row>
    <row r="471" spans="1:9" x14ac:dyDescent="0.25">
      <c r="A471" s="35" t="s">
        <v>136</v>
      </c>
      <c r="B471" s="1295"/>
      <c r="C471" s="1297"/>
      <c r="D471" s="1299"/>
      <c r="E471" s="69">
        <v>50</v>
      </c>
      <c r="F471" s="45"/>
      <c r="G471" s="192">
        <f t="shared" si="46"/>
        <v>0</v>
      </c>
      <c r="H471" s="46"/>
      <c r="I471" s="3">
        <f t="shared" si="47"/>
        <v>0</v>
      </c>
    </row>
    <row r="472" spans="1:9" ht="15.75" thickBot="1" x14ac:dyDescent="0.3">
      <c r="A472" s="150" t="s">
        <v>137</v>
      </c>
      <c r="B472" s="1296"/>
      <c r="C472" s="1298"/>
      <c r="D472" s="1300"/>
      <c r="E472" s="70">
        <v>50</v>
      </c>
      <c r="F472" s="47"/>
      <c r="G472" s="193">
        <f t="shared" si="46"/>
        <v>0</v>
      </c>
      <c r="H472" s="168"/>
      <c r="I472" s="3">
        <f t="shared" si="47"/>
        <v>0</v>
      </c>
    </row>
    <row r="473" spans="1:9" x14ac:dyDescent="0.25">
      <c r="A473" s="57"/>
      <c r="B473" s="57"/>
      <c r="C473" s="57"/>
      <c r="D473" s="57"/>
      <c r="E473" s="57"/>
      <c r="F473" s="57"/>
      <c r="G473" s="57"/>
      <c r="H473" s="57"/>
    </row>
    <row r="474" spans="1:9" ht="15.75" thickBot="1" x14ac:dyDescent="0.3">
      <c r="A474" s="57"/>
      <c r="B474" s="57"/>
      <c r="C474" s="57"/>
      <c r="D474" s="57"/>
      <c r="E474" s="57"/>
      <c r="F474" s="57"/>
      <c r="G474" s="57"/>
      <c r="H474" s="57"/>
    </row>
    <row r="475" spans="1:9" ht="38.25" x14ac:dyDescent="0.25">
      <c r="A475" s="58" t="s">
        <v>50</v>
      </c>
      <c r="B475" s="59" t="s">
        <v>196</v>
      </c>
      <c r="C475" s="79" t="s">
        <v>152</v>
      </c>
      <c r="D475" s="79" t="s">
        <v>162</v>
      </c>
      <c r="E475" s="79" t="s">
        <v>284</v>
      </c>
      <c r="F475" s="79" t="s">
        <v>285</v>
      </c>
      <c r="G475" s="79" t="s">
        <v>286</v>
      </c>
      <c r="H475" s="61" t="s">
        <v>185</v>
      </c>
    </row>
    <row r="476" spans="1:9" x14ac:dyDescent="0.25">
      <c r="A476" s="155" t="s">
        <v>139</v>
      </c>
      <c r="B476" s="1295"/>
      <c r="C476" s="1297" t="s">
        <v>243</v>
      </c>
      <c r="D476" s="1303"/>
      <c r="E476" s="188">
        <v>590</v>
      </c>
      <c r="F476" s="185" t="e">
        <f>+#REF!</f>
        <v>#REF!</v>
      </c>
      <c r="G476" s="190" t="e">
        <f t="shared" ref="G476:G487" si="48">F476/E476</f>
        <v>#REF!</v>
      </c>
      <c r="H476" s="186"/>
      <c r="I476" s="3">
        <f t="shared" ref="I476:I487" si="49">LEN(H476)</f>
        <v>0</v>
      </c>
    </row>
    <row r="477" spans="1:9" x14ac:dyDescent="0.25">
      <c r="A477" s="35" t="s">
        <v>140</v>
      </c>
      <c r="B477" s="1295"/>
      <c r="C477" s="1297"/>
      <c r="D477" s="1303"/>
      <c r="E477" s="69">
        <v>590</v>
      </c>
      <c r="F477" s="45"/>
      <c r="G477" s="189">
        <f t="shared" si="48"/>
        <v>0</v>
      </c>
      <c r="H477" s="46"/>
      <c r="I477" s="3">
        <f t="shared" si="49"/>
        <v>0</v>
      </c>
    </row>
    <row r="478" spans="1:9" x14ac:dyDescent="0.25">
      <c r="A478" s="35" t="s">
        <v>141</v>
      </c>
      <c r="B478" s="1295"/>
      <c r="C478" s="1297"/>
      <c r="D478" s="1303"/>
      <c r="E478" s="69">
        <v>590</v>
      </c>
      <c r="F478" s="45"/>
      <c r="G478" s="189">
        <f t="shared" si="48"/>
        <v>0</v>
      </c>
      <c r="H478" s="46"/>
      <c r="I478" s="3">
        <f t="shared" si="49"/>
        <v>0</v>
      </c>
    </row>
    <row r="479" spans="1:9" x14ac:dyDescent="0.25">
      <c r="A479" s="35" t="s">
        <v>142</v>
      </c>
      <c r="B479" s="1295"/>
      <c r="C479" s="1297"/>
      <c r="D479" s="1303"/>
      <c r="E479" s="69">
        <v>590</v>
      </c>
      <c r="F479" s="45"/>
      <c r="G479" s="189">
        <f t="shared" si="48"/>
        <v>0</v>
      </c>
      <c r="H479" s="46"/>
      <c r="I479" s="3">
        <f t="shared" si="49"/>
        <v>0</v>
      </c>
    </row>
    <row r="480" spans="1:9" x14ac:dyDescent="0.25">
      <c r="A480" s="35" t="s">
        <v>143</v>
      </c>
      <c r="B480" s="1295"/>
      <c r="C480" s="1297"/>
      <c r="D480" s="1303"/>
      <c r="E480" s="69">
        <v>590</v>
      </c>
      <c r="F480" s="45"/>
      <c r="G480" s="189">
        <f t="shared" si="48"/>
        <v>0</v>
      </c>
      <c r="H480" s="46"/>
      <c r="I480" s="3">
        <f t="shared" si="49"/>
        <v>0</v>
      </c>
    </row>
    <row r="481" spans="1:9" x14ac:dyDescent="0.25">
      <c r="A481" s="35" t="s">
        <v>144</v>
      </c>
      <c r="B481" s="1295"/>
      <c r="C481" s="1297"/>
      <c r="D481" s="1303"/>
      <c r="E481" s="69">
        <v>590</v>
      </c>
      <c r="F481" s="45"/>
      <c r="G481" s="189">
        <f t="shared" si="48"/>
        <v>0</v>
      </c>
      <c r="H481" s="46"/>
      <c r="I481" s="3">
        <f t="shared" si="49"/>
        <v>0</v>
      </c>
    </row>
    <row r="482" spans="1:9" x14ac:dyDescent="0.25">
      <c r="A482" s="35" t="s">
        <v>132</v>
      </c>
      <c r="B482" s="1295"/>
      <c r="C482" s="1297"/>
      <c r="D482" s="1303"/>
      <c r="E482" s="69">
        <v>590</v>
      </c>
      <c r="F482" s="45"/>
      <c r="G482" s="189">
        <f t="shared" si="48"/>
        <v>0</v>
      </c>
      <c r="H482" s="46"/>
      <c r="I482" s="3">
        <f t="shared" si="49"/>
        <v>0</v>
      </c>
    </row>
    <row r="483" spans="1:9" x14ac:dyDescent="0.25">
      <c r="A483" s="35" t="s">
        <v>133</v>
      </c>
      <c r="B483" s="1295"/>
      <c r="C483" s="1297"/>
      <c r="D483" s="1303"/>
      <c r="E483" s="69">
        <v>590</v>
      </c>
      <c r="F483" s="45"/>
      <c r="G483" s="189">
        <f t="shared" si="48"/>
        <v>0</v>
      </c>
      <c r="H483" s="46"/>
      <c r="I483" s="3">
        <f t="shared" si="49"/>
        <v>0</v>
      </c>
    </row>
    <row r="484" spans="1:9" x14ac:dyDescent="0.25">
      <c r="A484" s="35" t="s">
        <v>134</v>
      </c>
      <c r="B484" s="1295"/>
      <c r="C484" s="1297"/>
      <c r="D484" s="1303"/>
      <c r="E484" s="69">
        <v>590</v>
      </c>
      <c r="F484" s="45"/>
      <c r="G484" s="189">
        <f t="shared" si="48"/>
        <v>0</v>
      </c>
      <c r="H484" s="46"/>
      <c r="I484" s="3">
        <f t="shared" si="49"/>
        <v>0</v>
      </c>
    </row>
    <row r="485" spans="1:9" x14ac:dyDescent="0.25">
      <c r="A485" s="35" t="s">
        <v>135</v>
      </c>
      <c r="B485" s="1295"/>
      <c r="C485" s="1297"/>
      <c r="D485" s="1303"/>
      <c r="E485" s="69">
        <v>590</v>
      </c>
      <c r="F485" s="45"/>
      <c r="G485" s="189">
        <f t="shared" si="48"/>
        <v>0</v>
      </c>
      <c r="H485" s="46"/>
      <c r="I485" s="3">
        <f t="shared" si="49"/>
        <v>0</v>
      </c>
    </row>
    <row r="486" spans="1:9" x14ac:dyDescent="0.25">
      <c r="A486" s="35" t="s">
        <v>136</v>
      </c>
      <c r="B486" s="1295"/>
      <c r="C486" s="1297"/>
      <c r="D486" s="1303"/>
      <c r="E486" s="69">
        <v>590</v>
      </c>
      <c r="F486" s="126"/>
      <c r="G486" s="189">
        <f t="shared" si="48"/>
        <v>0</v>
      </c>
      <c r="H486" s="46"/>
      <c r="I486" s="3">
        <f t="shared" si="49"/>
        <v>0</v>
      </c>
    </row>
    <row r="487" spans="1:9" ht="15.75" thickBot="1" x14ac:dyDescent="0.3">
      <c r="A487" s="150" t="s">
        <v>137</v>
      </c>
      <c r="B487" s="1296"/>
      <c r="C487" s="1298"/>
      <c r="D487" s="1304"/>
      <c r="E487" s="70">
        <v>590</v>
      </c>
      <c r="F487" s="47"/>
      <c r="G487" s="191">
        <f t="shared" si="48"/>
        <v>0</v>
      </c>
      <c r="H487" s="168"/>
      <c r="I487" s="3">
        <f t="shared" si="49"/>
        <v>0</v>
      </c>
    </row>
    <row r="488" spans="1:9" x14ac:dyDescent="0.25">
      <c r="A488" s="57"/>
      <c r="B488" s="57"/>
      <c r="C488" s="57"/>
      <c r="D488" s="57"/>
      <c r="E488" s="57"/>
      <c r="F488" s="57"/>
      <c r="G488" s="57"/>
      <c r="H488" s="57"/>
    </row>
    <row r="489" spans="1:9" ht="15.75" thickBot="1" x14ac:dyDescent="0.3">
      <c r="A489" s="57"/>
      <c r="B489" s="57"/>
      <c r="C489" s="57"/>
      <c r="D489" s="57"/>
      <c r="E489" s="57"/>
      <c r="F489" s="57"/>
      <c r="G489" s="57"/>
      <c r="H489" s="57"/>
    </row>
    <row r="490" spans="1:9" ht="38.25" x14ac:dyDescent="0.25">
      <c r="A490" s="58" t="s">
        <v>50</v>
      </c>
      <c r="B490" s="59" t="s">
        <v>196</v>
      </c>
      <c r="C490" s="79" t="s">
        <v>152</v>
      </c>
      <c r="D490" s="79" t="s">
        <v>162</v>
      </c>
      <c r="E490" s="79" t="s">
        <v>284</v>
      </c>
      <c r="F490" s="79" t="s">
        <v>285</v>
      </c>
      <c r="G490" s="79" t="s">
        <v>286</v>
      </c>
      <c r="H490" s="61" t="s">
        <v>185</v>
      </c>
    </row>
    <row r="491" spans="1:9" x14ac:dyDescent="0.25">
      <c r="A491" s="155" t="s">
        <v>139</v>
      </c>
      <c r="B491" s="1295" t="s">
        <v>245</v>
      </c>
      <c r="C491" s="1297" t="s">
        <v>246</v>
      </c>
      <c r="D491" s="1299">
        <v>33</v>
      </c>
      <c r="E491" s="188">
        <v>0.73</v>
      </c>
      <c r="F491" s="185" t="e">
        <f>+#REF!</f>
        <v>#REF!</v>
      </c>
      <c r="G491" s="190" t="e">
        <f t="shared" ref="G491:G502" si="50">F491/E491</f>
        <v>#REF!</v>
      </c>
      <c r="H491" s="186"/>
      <c r="I491" s="3">
        <f t="shared" ref="I491:I502" si="51">LEN(H491)</f>
        <v>0</v>
      </c>
    </row>
    <row r="492" spans="1:9" x14ac:dyDescent="0.25">
      <c r="A492" s="35" t="s">
        <v>140</v>
      </c>
      <c r="B492" s="1295"/>
      <c r="C492" s="1297"/>
      <c r="D492" s="1299"/>
      <c r="E492" s="69">
        <v>0.73</v>
      </c>
      <c r="F492" s="45"/>
      <c r="G492" s="192">
        <f t="shared" si="50"/>
        <v>0</v>
      </c>
      <c r="H492" s="46"/>
      <c r="I492" s="3">
        <f t="shared" si="51"/>
        <v>0</v>
      </c>
    </row>
    <row r="493" spans="1:9" x14ac:dyDescent="0.25">
      <c r="A493" s="35" t="s">
        <v>141</v>
      </c>
      <c r="B493" s="1295"/>
      <c r="C493" s="1297"/>
      <c r="D493" s="1299"/>
      <c r="E493" s="69">
        <v>0.73</v>
      </c>
      <c r="F493" s="45"/>
      <c r="G493" s="192">
        <f t="shared" si="50"/>
        <v>0</v>
      </c>
      <c r="H493" s="46"/>
      <c r="I493" s="3">
        <f t="shared" si="51"/>
        <v>0</v>
      </c>
    </row>
    <row r="494" spans="1:9" x14ac:dyDescent="0.25">
      <c r="A494" s="35" t="s">
        <v>142</v>
      </c>
      <c r="B494" s="1295"/>
      <c r="C494" s="1297"/>
      <c r="D494" s="1299"/>
      <c r="E494" s="69">
        <v>0.73</v>
      </c>
      <c r="F494" s="45"/>
      <c r="G494" s="192">
        <f t="shared" si="50"/>
        <v>0</v>
      </c>
      <c r="H494" s="46"/>
      <c r="I494" s="3">
        <f t="shared" si="51"/>
        <v>0</v>
      </c>
    </row>
    <row r="495" spans="1:9" x14ac:dyDescent="0.25">
      <c r="A495" s="35" t="s">
        <v>143</v>
      </c>
      <c r="B495" s="1295"/>
      <c r="C495" s="1297"/>
      <c r="D495" s="1299"/>
      <c r="E495" s="69">
        <v>0.73</v>
      </c>
      <c r="F495" s="45"/>
      <c r="G495" s="192">
        <f t="shared" si="50"/>
        <v>0</v>
      </c>
      <c r="H495" s="46"/>
      <c r="I495" s="3">
        <f t="shared" si="51"/>
        <v>0</v>
      </c>
    </row>
    <row r="496" spans="1:9" x14ac:dyDescent="0.25">
      <c r="A496" s="35" t="s">
        <v>144</v>
      </c>
      <c r="B496" s="1295"/>
      <c r="C496" s="1297"/>
      <c r="D496" s="1299"/>
      <c r="E496" s="69">
        <v>0.73</v>
      </c>
      <c r="F496" s="45"/>
      <c r="G496" s="192">
        <f t="shared" si="50"/>
        <v>0</v>
      </c>
      <c r="H496" s="46"/>
      <c r="I496" s="3">
        <f t="shared" si="51"/>
        <v>0</v>
      </c>
    </row>
    <row r="497" spans="1:9" x14ac:dyDescent="0.25">
      <c r="A497" s="35" t="s">
        <v>132</v>
      </c>
      <c r="B497" s="1295"/>
      <c r="C497" s="1297"/>
      <c r="D497" s="1299"/>
      <c r="E497" s="69">
        <v>0.73</v>
      </c>
      <c r="F497" s="45"/>
      <c r="G497" s="192">
        <f t="shared" si="50"/>
        <v>0</v>
      </c>
      <c r="H497" s="46"/>
      <c r="I497" s="3">
        <f t="shared" si="51"/>
        <v>0</v>
      </c>
    </row>
    <row r="498" spans="1:9" x14ac:dyDescent="0.25">
      <c r="A498" s="35" t="s">
        <v>133</v>
      </c>
      <c r="B498" s="1295"/>
      <c r="C498" s="1297"/>
      <c r="D498" s="1299"/>
      <c r="E498" s="69">
        <v>0.73</v>
      </c>
      <c r="F498" s="45"/>
      <c r="G498" s="192">
        <f t="shared" si="50"/>
        <v>0</v>
      </c>
      <c r="H498" s="46"/>
      <c r="I498" s="3">
        <f t="shared" si="51"/>
        <v>0</v>
      </c>
    </row>
    <row r="499" spans="1:9" x14ac:dyDescent="0.25">
      <c r="A499" s="35" t="s">
        <v>134</v>
      </c>
      <c r="B499" s="1295"/>
      <c r="C499" s="1297"/>
      <c r="D499" s="1299"/>
      <c r="E499" s="69">
        <v>0.73</v>
      </c>
      <c r="F499" s="45"/>
      <c r="G499" s="192">
        <f t="shared" si="50"/>
        <v>0</v>
      </c>
      <c r="H499" s="46"/>
      <c r="I499" s="3">
        <f t="shared" si="51"/>
        <v>0</v>
      </c>
    </row>
    <row r="500" spans="1:9" x14ac:dyDescent="0.25">
      <c r="A500" s="35" t="s">
        <v>135</v>
      </c>
      <c r="B500" s="1295"/>
      <c r="C500" s="1297"/>
      <c r="D500" s="1299"/>
      <c r="E500" s="69">
        <v>0.73</v>
      </c>
      <c r="F500" s="45"/>
      <c r="G500" s="192">
        <f t="shared" si="50"/>
        <v>0</v>
      </c>
      <c r="H500" s="46"/>
      <c r="I500" s="3">
        <f t="shared" si="51"/>
        <v>0</v>
      </c>
    </row>
    <row r="501" spans="1:9" x14ac:dyDescent="0.25">
      <c r="A501" s="35" t="s">
        <v>136</v>
      </c>
      <c r="B501" s="1295"/>
      <c r="C501" s="1297"/>
      <c r="D501" s="1299"/>
      <c r="E501" s="69">
        <v>0.73</v>
      </c>
      <c r="F501" s="126"/>
      <c r="G501" s="192">
        <f t="shared" si="50"/>
        <v>0</v>
      </c>
      <c r="H501" s="46"/>
      <c r="I501" s="3">
        <f t="shared" si="51"/>
        <v>0</v>
      </c>
    </row>
    <row r="502" spans="1:9" ht="15.75" thickBot="1" x14ac:dyDescent="0.3">
      <c r="A502" s="150" t="s">
        <v>137</v>
      </c>
      <c r="B502" s="1296"/>
      <c r="C502" s="1298"/>
      <c r="D502" s="1300"/>
      <c r="E502" s="70">
        <v>0.73</v>
      </c>
      <c r="F502" s="47"/>
      <c r="G502" s="193">
        <f t="shared" si="50"/>
        <v>0</v>
      </c>
      <c r="H502" s="168"/>
      <c r="I502" s="3">
        <f t="shared" si="51"/>
        <v>0</v>
      </c>
    </row>
    <row r="503" spans="1:9" x14ac:dyDescent="0.25">
      <c r="A503" s="57"/>
      <c r="B503" s="100"/>
      <c r="C503" s="100"/>
      <c r="D503" s="172"/>
      <c r="E503" s="77"/>
      <c r="F503" s="57"/>
      <c r="G503" s="173"/>
      <c r="H503" s="57"/>
      <c r="I503" s="3"/>
    </row>
    <row r="505" spans="1:9" ht="20.25" hidden="1" x14ac:dyDescent="0.3">
      <c r="A505" s="1190" t="s">
        <v>200</v>
      </c>
      <c r="B505" s="1191"/>
      <c r="C505" s="1191"/>
      <c r="D505" s="1191"/>
      <c r="E505" s="1191"/>
      <c r="F505" s="1191"/>
      <c r="G505" s="1191"/>
      <c r="H505" s="1192"/>
    </row>
    <row r="506" spans="1:9" ht="38.25" hidden="1" x14ac:dyDescent="0.25">
      <c r="A506" s="32" t="s">
        <v>62</v>
      </c>
      <c r="B506" s="33" t="s">
        <v>196</v>
      </c>
      <c r="C506" s="53" t="s">
        <v>152</v>
      </c>
      <c r="D506" s="53" t="s">
        <v>167</v>
      </c>
      <c r="E506" s="53" t="s">
        <v>201</v>
      </c>
      <c r="F506" s="53" t="s">
        <v>202</v>
      </c>
      <c r="G506" s="53" t="s">
        <v>203</v>
      </c>
      <c r="H506" s="34" t="s">
        <v>185</v>
      </c>
    </row>
    <row r="507" spans="1:9" hidden="1" x14ac:dyDescent="0.25">
      <c r="A507" s="39" t="s">
        <v>139</v>
      </c>
      <c r="B507" s="36"/>
      <c r="C507" s="36"/>
      <c r="D507" s="36"/>
      <c r="E507" s="36"/>
      <c r="F507" s="36"/>
      <c r="G507" s="36" t="e">
        <f>F507/E507</f>
        <v>#DIV/0!</v>
      </c>
      <c r="H507" s="37"/>
    </row>
    <row r="508" spans="1:9" hidden="1" x14ac:dyDescent="0.25">
      <c r="A508" s="39" t="s">
        <v>140</v>
      </c>
      <c r="B508" s="36"/>
      <c r="C508" s="36"/>
      <c r="D508" s="36"/>
      <c r="E508" s="36"/>
      <c r="F508" s="36"/>
      <c r="G508" s="36" t="e">
        <f t="shared" ref="G508:G518" si="52">F508/E508</f>
        <v>#DIV/0!</v>
      </c>
      <c r="H508" s="37"/>
    </row>
    <row r="509" spans="1:9" hidden="1" x14ac:dyDescent="0.25">
      <c r="A509" s="39" t="s">
        <v>141</v>
      </c>
      <c r="B509" s="36"/>
      <c r="C509" s="36"/>
      <c r="D509" s="36"/>
      <c r="E509" s="36"/>
      <c r="F509" s="36"/>
      <c r="G509" s="36" t="e">
        <f t="shared" si="52"/>
        <v>#DIV/0!</v>
      </c>
      <c r="H509" s="37"/>
    </row>
    <row r="510" spans="1:9" hidden="1" x14ac:dyDescent="0.25">
      <c r="A510" s="39" t="s">
        <v>142</v>
      </c>
      <c r="B510" s="36"/>
      <c r="C510" s="36"/>
      <c r="D510" s="36"/>
      <c r="E510" s="36"/>
      <c r="F510" s="36"/>
      <c r="G510" s="36" t="e">
        <f t="shared" si="52"/>
        <v>#DIV/0!</v>
      </c>
      <c r="H510" s="37"/>
    </row>
    <row r="511" spans="1:9" hidden="1" x14ac:dyDescent="0.25">
      <c r="A511" s="39" t="s">
        <v>143</v>
      </c>
      <c r="B511" s="36"/>
      <c r="C511" s="36"/>
      <c r="D511" s="36"/>
      <c r="E511" s="36"/>
      <c r="F511" s="36"/>
      <c r="G511" s="36" t="e">
        <f t="shared" si="52"/>
        <v>#DIV/0!</v>
      </c>
      <c r="H511" s="37"/>
    </row>
    <row r="512" spans="1:9" hidden="1" x14ac:dyDescent="0.25">
      <c r="A512" s="39" t="s">
        <v>144</v>
      </c>
      <c r="B512" s="36"/>
      <c r="C512" s="36"/>
      <c r="D512" s="36"/>
      <c r="E512" s="36"/>
      <c r="F512" s="36"/>
      <c r="G512" s="36" t="e">
        <f t="shared" si="52"/>
        <v>#DIV/0!</v>
      </c>
      <c r="H512" s="37"/>
    </row>
    <row r="513" spans="1:8" hidden="1" x14ac:dyDescent="0.25">
      <c r="A513" s="39" t="s">
        <v>132</v>
      </c>
      <c r="B513" s="36"/>
      <c r="C513" s="36"/>
      <c r="D513" s="36"/>
      <c r="E513" s="36"/>
      <c r="F513" s="36"/>
      <c r="G513" s="36" t="e">
        <f t="shared" si="52"/>
        <v>#DIV/0!</v>
      </c>
      <c r="H513" s="37"/>
    </row>
    <row r="514" spans="1:8" hidden="1" x14ac:dyDescent="0.25">
      <c r="A514" s="39" t="s">
        <v>133</v>
      </c>
      <c r="B514" s="36"/>
      <c r="C514" s="36"/>
      <c r="D514" s="36"/>
      <c r="E514" s="36"/>
      <c r="F514" s="36"/>
      <c r="G514" s="36" t="e">
        <f t="shared" si="52"/>
        <v>#DIV/0!</v>
      </c>
      <c r="H514" s="37"/>
    </row>
    <row r="515" spans="1:8" hidden="1" x14ac:dyDescent="0.25">
      <c r="A515" s="39" t="s">
        <v>134</v>
      </c>
      <c r="B515" s="36"/>
      <c r="C515" s="36"/>
      <c r="D515" s="36"/>
      <c r="E515" s="36"/>
      <c r="F515" s="36"/>
      <c r="G515" s="36" t="e">
        <f t="shared" si="52"/>
        <v>#DIV/0!</v>
      </c>
      <c r="H515" s="37"/>
    </row>
    <row r="516" spans="1:8" hidden="1" x14ac:dyDescent="0.25">
      <c r="A516" s="39" t="s">
        <v>135</v>
      </c>
      <c r="B516" s="36"/>
      <c r="C516" s="36"/>
      <c r="D516" s="36"/>
      <c r="E516" s="36"/>
      <c r="F516" s="36"/>
      <c r="G516" s="36" t="e">
        <f t="shared" si="52"/>
        <v>#DIV/0!</v>
      </c>
      <c r="H516" s="37"/>
    </row>
    <row r="517" spans="1:8" hidden="1" x14ac:dyDescent="0.25">
      <c r="A517" s="39" t="s">
        <v>136</v>
      </c>
      <c r="B517" s="36"/>
      <c r="C517" s="36"/>
      <c r="D517" s="36"/>
      <c r="E517" s="36"/>
      <c r="F517" s="36"/>
      <c r="G517" s="36" t="e">
        <f t="shared" si="52"/>
        <v>#DIV/0!</v>
      </c>
      <c r="H517" s="37"/>
    </row>
    <row r="518" spans="1:8" ht="15.75" hidden="1" thickBot="1" x14ac:dyDescent="0.3">
      <c r="A518" s="40" t="s">
        <v>137</v>
      </c>
      <c r="B518" s="38"/>
      <c r="C518" s="38"/>
      <c r="D518" s="38"/>
      <c r="E518" s="38"/>
      <c r="F518" s="38"/>
      <c r="G518" s="38" t="e">
        <f t="shared" si="52"/>
        <v>#DIV/0!</v>
      </c>
      <c r="H518" s="42"/>
    </row>
    <row r="520" spans="1:8" ht="20.25" hidden="1" x14ac:dyDescent="0.3">
      <c r="A520" s="1190" t="s">
        <v>200</v>
      </c>
      <c r="B520" s="1191"/>
      <c r="C520" s="1191"/>
      <c r="D520" s="1191"/>
      <c r="E520" s="1191"/>
      <c r="F520" s="1191"/>
      <c r="G520" s="1191"/>
      <c r="H520" s="1192"/>
    </row>
    <row r="521" spans="1:8" ht="38.25" hidden="1" x14ac:dyDescent="0.25">
      <c r="A521" s="32" t="s">
        <v>63</v>
      </c>
      <c r="B521" s="33" t="s">
        <v>196</v>
      </c>
      <c r="C521" s="53" t="s">
        <v>152</v>
      </c>
      <c r="D521" s="53" t="s">
        <v>172</v>
      </c>
      <c r="E521" s="53" t="s">
        <v>205</v>
      </c>
      <c r="F521" s="53" t="s">
        <v>206</v>
      </c>
      <c r="G521" s="53" t="s">
        <v>207</v>
      </c>
      <c r="H521" s="34" t="s">
        <v>185</v>
      </c>
    </row>
    <row r="522" spans="1:8" hidden="1" x14ac:dyDescent="0.25">
      <c r="A522" s="39" t="s">
        <v>139</v>
      </c>
      <c r="B522" s="36"/>
      <c r="C522" s="36"/>
      <c r="D522" s="36"/>
      <c r="E522" s="36"/>
      <c r="F522" s="36"/>
      <c r="G522" s="36" t="e">
        <f>F522/E522</f>
        <v>#DIV/0!</v>
      </c>
      <c r="H522" s="37"/>
    </row>
    <row r="523" spans="1:8" hidden="1" x14ac:dyDescent="0.25">
      <c r="A523" s="39" t="s">
        <v>140</v>
      </c>
      <c r="B523" s="36"/>
      <c r="C523" s="36"/>
      <c r="D523" s="36"/>
      <c r="E523" s="36"/>
      <c r="F523" s="36"/>
      <c r="G523" s="36" t="e">
        <f t="shared" ref="G523:G533" si="53">F523/E523</f>
        <v>#DIV/0!</v>
      </c>
      <c r="H523" s="37"/>
    </row>
    <row r="524" spans="1:8" hidden="1" x14ac:dyDescent="0.25">
      <c r="A524" s="39" t="s">
        <v>141</v>
      </c>
      <c r="B524" s="36"/>
      <c r="C524" s="36"/>
      <c r="D524" s="36"/>
      <c r="E524" s="36"/>
      <c r="F524" s="36"/>
      <c r="G524" s="36" t="e">
        <f t="shared" si="53"/>
        <v>#DIV/0!</v>
      </c>
      <c r="H524" s="37"/>
    </row>
    <row r="525" spans="1:8" hidden="1" x14ac:dyDescent="0.25">
      <c r="A525" s="39" t="s">
        <v>142</v>
      </c>
      <c r="B525" s="36"/>
      <c r="C525" s="36"/>
      <c r="D525" s="36"/>
      <c r="E525" s="36"/>
      <c r="F525" s="36"/>
      <c r="G525" s="36" t="e">
        <f t="shared" si="53"/>
        <v>#DIV/0!</v>
      </c>
      <c r="H525" s="37"/>
    </row>
    <row r="526" spans="1:8" hidden="1" x14ac:dyDescent="0.25">
      <c r="A526" s="39" t="s">
        <v>143</v>
      </c>
      <c r="B526" s="36"/>
      <c r="C526" s="36"/>
      <c r="D526" s="36"/>
      <c r="E526" s="36"/>
      <c r="F526" s="36"/>
      <c r="G526" s="36" t="e">
        <f t="shared" si="53"/>
        <v>#DIV/0!</v>
      </c>
      <c r="H526" s="37"/>
    </row>
    <row r="527" spans="1:8" hidden="1" x14ac:dyDescent="0.25">
      <c r="A527" s="39" t="s">
        <v>144</v>
      </c>
      <c r="B527" s="36"/>
      <c r="C527" s="36"/>
      <c r="D527" s="36"/>
      <c r="E527" s="36"/>
      <c r="F527" s="36"/>
      <c r="G527" s="36" t="e">
        <f t="shared" si="53"/>
        <v>#DIV/0!</v>
      </c>
      <c r="H527" s="37"/>
    </row>
    <row r="528" spans="1:8" hidden="1" x14ac:dyDescent="0.25">
      <c r="A528" s="39" t="s">
        <v>132</v>
      </c>
      <c r="B528" s="36"/>
      <c r="C528" s="36"/>
      <c r="D528" s="36"/>
      <c r="E528" s="36"/>
      <c r="F528" s="36"/>
      <c r="G528" s="36" t="e">
        <f t="shared" si="53"/>
        <v>#DIV/0!</v>
      </c>
      <c r="H528" s="37"/>
    </row>
    <row r="529" spans="1:8" hidden="1" x14ac:dyDescent="0.25">
      <c r="A529" s="39" t="s">
        <v>133</v>
      </c>
      <c r="B529" s="36"/>
      <c r="C529" s="36"/>
      <c r="D529" s="36"/>
      <c r="E529" s="36"/>
      <c r="F529" s="36"/>
      <c r="G529" s="36" t="e">
        <f t="shared" si="53"/>
        <v>#DIV/0!</v>
      </c>
      <c r="H529" s="37"/>
    </row>
    <row r="530" spans="1:8" hidden="1" x14ac:dyDescent="0.25">
      <c r="A530" s="39" t="s">
        <v>134</v>
      </c>
      <c r="B530" s="36"/>
      <c r="C530" s="36"/>
      <c r="D530" s="36"/>
      <c r="E530" s="36"/>
      <c r="F530" s="36"/>
      <c r="G530" s="36" t="e">
        <f t="shared" si="53"/>
        <v>#DIV/0!</v>
      </c>
      <c r="H530" s="37"/>
    </row>
    <row r="531" spans="1:8" hidden="1" x14ac:dyDescent="0.25">
      <c r="A531" s="39" t="s">
        <v>135</v>
      </c>
      <c r="B531" s="36"/>
      <c r="C531" s="36"/>
      <c r="D531" s="36"/>
      <c r="E531" s="36"/>
      <c r="F531" s="36"/>
      <c r="G531" s="36" t="e">
        <f t="shared" si="53"/>
        <v>#DIV/0!</v>
      </c>
      <c r="H531" s="37"/>
    </row>
    <row r="532" spans="1:8" hidden="1" x14ac:dyDescent="0.25">
      <c r="A532" s="39" t="s">
        <v>136</v>
      </c>
      <c r="B532" s="36"/>
      <c r="C532" s="36"/>
      <c r="D532" s="36"/>
      <c r="E532" s="36"/>
      <c r="F532" s="36"/>
      <c r="G532" s="36" t="e">
        <f t="shared" si="53"/>
        <v>#DIV/0!</v>
      </c>
      <c r="H532" s="37"/>
    </row>
    <row r="533" spans="1:8" ht="15.75" hidden="1" thickBot="1" x14ac:dyDescent="0.3">
      <c r="A533" s="40" t="s">
        <v>137</v>
      </c>
      <c r="B533" s="38"/>
      <c r="C533" s="38"/>
      <c r="D533" s="38"/>
      <c r="E533" s="38"/>
      <c r="F533" s="38"/>
      <c r="G533" s="38" t="e">
        <f t="shared" si="53"/>
        <v>#DIV/0!</v>
      </c>
      <c r="H533" s="42"/>
    </row>
    <row r="534" spans="1:8" ht="15.75" hidden="1" thickBot="1" x14ac:dyDescent="0.3"/>
    <row r="535" spans="1:8" ht="20.25" hidden="1" x14ac:dyDescent="0.3">
      <c r="A535" s="1190" t="s">
        <v>204</v>
      </c>
      <c r="B535" s="1191"/>
      <c r="C535" s="1191"/>
      <c r="D535" s="1191"/>
      <c r="E535" s="1191"/>
      <c r="F535" s="1191"/>
      <c r="G535" s="1191"/>
      <c r="H535" s="1192"/>
    </row>
    <row r="536" spans="1:8" ht="38.25" hidden="1" x14ac:dyDescent="0.25">
      <c r="A536" s="32" t="s">
        <v>63</v>
      </c>
      <c r="B536" s="33" t="s">
        <v>196</v>
      </c>
      <c r="C536" s="53" t="s">
        <v>152</v>
      </c>
      <c r="D536" s="53" t="s">
        <v>172</v>
      </c>
      <c r="E536" s="53" t="s">
        <v>205</v>
      </c>
      <c r="F536" s="53" t="s">
        <v>206</v>
      </c>
      <c r="G536" s="53" t="s">
        <v>207</v>
      </c>
      <c r="H536" s="34" t="s">
        <v>185</v>
      </c>
    </row>
    <row r="537" spans="1:8" hidden="1" x14ac:dyDescent="0.25">
      <c r="A537" s="39" t="s">
        <v>139</v>
      </c>
      <c r="B537" s="36"/>
      <c r="C537" s="36"/>
      <c r="D537" s="36"/>
      <c r="E537" s="36"/>
      <c r="F537" s="36"/>
      <c r="G537" s="36" t="e">
        <f>F537/E537</f>
        <v>#DIV/0!</v>
      </c>
      <c r="H537" s="37"/>
    </row>
    <row r="538" spans="1:8" hidden="1" x14ac:dyDescent="0.25">
      <c r="A538" s="39" t="s">
        <v>140</v>
      </c>
      <c r="B538" s="36"/>
      <c r="C538" s="36"/>
      <c r="D538" s="36"/>
      <c r="E538" s="36"/>
      <c r="F538" s="36"/>
      <c r="G538" s="36" t="e">
        <f t="shared" ref="G538:G548" si="54">F538/E538</f>
        <v>#DIV/0!</v>
      </c>
      <c r="H538" s="37"/>
    </row>
    <row r="539" spans="1:8" hidden="1" x14ac:dyDescent="0.25">
      <c r="A539" s="39" t="s">
        <v>141</v>
      </c>
      <c r="B539" s="36"/>
      <c r="C539" s="36"/>
      <c r="D539" s="36"/>
      <c r="E539" s="36"/>
      <c r="F539" s="36"/>
      <c r="G539" s="36" t="e">
        <f t="shared" si="54"/>
        <v>#DIV/0!</v>
      </c>
      <c r="H539" s="37"/>
    </row>
    <row r="540" spans="1:8" hidden="1" x14ac:dyDescent="0.25">
      <c r="A540" s="39" t="s">
        <v>142</v>
      </c>
      <c r="B540" s="36"/>
      <c r="C540" s="36"/>
      <c r="D540" s="36"/>
      <c r="E540" s="36"/>
      <c r="F540" s="36"/>
      <c r="G540" s="36" t="e">
        <f t="shared" si="54"/>
        <v>#DIV/0!</v>
      </c>
      <c r="H540" s="37"/>
    </row>
    <row r="541" spans="1:8" hidden="1" x14ac:dyDescent="0.25">
      <c r="A541" s="39" t="s">
        <v>143</v>
      </c>
      <c r="B541" s="36"/>
      <c r="C541" s="36"/>
      <c r="D541" s="36"/>
      <c r="E541" s="36"/>
      <c r="F541" s="36"/>
      <c r="G541" s="36" t="e">
        <f t="shared" si="54"/>
        <v>#DIV/0!</v>
      </c>
      <c r="H541" s="37"/>
    </row>
    <row r="542" spans="1:8" hidden="1" x14ac:dyDescent="0.25">
      <c r="A542" s="39" t="s">
        <v>144</v>
      </c>
      <c r="B542" s="36"/>
      <c r="C542" s="36"/>
      <c r="D542" s="36"/>
      <c r="E542" s="36"/>
      <c r="F542" s="36"/>
      <c r="G542" s="36" t="e">
        <f t="shared" si="54"/>
        <v>#DIV/0!</v>
      </c>
      <c r="H542" s="37"/>
    </row>
    <row r="543" spans="1:8" hidden="1" x14ac:dyDescent="0.25">
      <c r="A543" s="39" t="s">
        <v>132</v>
      </c>
      <c r="B543" s="36"/>
      <c r="C543" s="36"/>
      <c r="D543" s="36"/>
      <c r="E543" s="36"/>
      <c r="F543" s="36"/>
      <c r="G543" s="36" t="e">
        <f t="shared" si="54"/>
        <v>#DIV/0!</v>
      </c>
      <c r="H543" s="37"/>
    </row>
    <row r="544" spans="1:8" hidden="1" x14ac:dyDescent="0.25">
      <c r="A544" s="39" t="s">
        <v>133</v>
      </c>
      <c r="B544" s="36"/>
      <c r="C544" s="36"/>
      <c r="D544" s="36"/>
      <c r="E544" s="36"/>
      <c r="F544" s="36"/>
      <c r="G544" s="36" t="e">
        <f t="shared" si="54"/>
        <v>#DIV/0!</v>
      </c>
      <c r="H544" s="37"/>
    </row>
    <row r="545" spans="1:8" hidden="1" x14ac:dyDescent="0.25">
      <c r="A545" s="39" t="s">
        <v>134</v>
      </c>
      <c r="B545" s="36"/>
      <c r="C545" s="36"/>
      <c r="D545" s="36"/>
      <c r="E545" s="36"/>
      <c r="F545" s="36"/>
      <c r="G545" s="36" t="e">
        <f t="shared" si="54"/>
        <v>#DIV/0!</v>
      </c>
      <c r="H545" s="37"/>
    </row>
    <row r="546" spans="1:8" hidden="1" x14ac:dyDescent="0.25">
      <c r="A546" s="39" t="s">
        <v>135</v>
      </c>
      <c r="B546" s="36"/>
      <c r="C546" s="36"/>
      <c r="D546" s="36"/>
      <c r="E546" s="36"/>
      <c r="F546" s="36"/>
      <c r="G546" s="36" t="e">
        <f t="shared" si="54"/>
        <v>#DIV/0!</v>
      </c>
      <c r="H546" s="37"/>
    </row>
    <row r="547" spans="1:8" hidden="1" x14ac:dyDescent="0.25">
      <c r="A547" s="39" t="s">
        <v>136</v>
      </c>
      <c r="B547" s="36"/>
      <c r="C547" s="36"/>
      <c r="D547" s="36"/>
      <c r="E547" s="36"/>
      <c r="F547" s="36"/>
      <c r="G547" s="36" t="e">
        <f t="shared" si="54"/>
        <v>#DIV/0!</v>
      </c>
      <c r="H547" s="37"/>
    </row>
    <row r="548" spans="1:8" ht="15.75" hidden="1" thickBot="1" x14ac:dyDescent="0.3">
      <c r="A548" s="40" t="s">
        <v>137</v>
      </c>
      <c r="B548" s="38"/>
      <c r="C548" s="38"/>
      <c r="D548" s="38"/>
      <c r="E548" s="38"/>
      <c r="F548" s="38"/>
      <c r="G548" s="38" t="e">
        <f t="shared" si="54"/>
        <v>#DIV/0!</v>
      </c>
      <c r="H548" s="42"/>
    </row>
    <row r="549" spans="1:8" ht="15.75" hidden="1" thickBot="1" x14ac:dyDescent="0.3"/>
    <row r="550" spans="1:8" ht="20.25" hidden="1" x14ac:dyDescent="0.3">
      <c r="A550" s="1190" t="s">
        <v>208</v>
      </c>
      <c r="B550" s="1191"/>
      <c r="C550" s="1191"/>
      <c r="D550" s="1191"/>
      <c r="E550" s="1191"/>
      <c r="F550" s="1191"/>
      <c r="G550" s="1191"/>
      <c r="H550" s="1192"/>
    </row>
    <row r="551" spans="1:8" ht="63.75" hidden="1" customHeight="1" x14ac:dyDescent="0.25">
      <c r="A551" s="32" t="s">
        <v>64</v>
      </c>
      <c r="B551" s="33" t="s">
        <v>196</v>
      </c>
      <c r="C551" s="53" t="s">
        <v>152</v>
      </c>
      <c r="D551" s="53" t="s">
        <v>177</v>
      </c>
      <c r="E551" s="53" t="s">
        <v>209</v>
      </c>
      <c r="F551" s="53" t="s">
        <v>210</v>
      </c>
      <c r="G551" s="53" t="s">
        <v>211</v>
      </c>
      <c r="H551" s="34" t="s">
        <v>185</v>
      </c>
    </row>
    <row r="552" spans="1:8" hidden="1" x14ac:dyDescent="0.25">
      <c r="A552" s="39" t="s">
        <v>139</v>
      </c>
      <c r="B552" s="36"/>
      <c r="C552" s="36"/>
      <c r="D552" s="36"/>
      <c r="E552" s="36"/>
      <c r="F552" s="36"/>
      <c r="G552" s="36" t="e">
        <f>F552/E552</f>
        <v>#DIV/0!</v>
      </c>
      <c r="H552" s="37"/>
    </row>
    <row r="553" spans="1:8" hidden="1" x14ac:dyDescent="0.25">
      <c r="A553" s="39" t="s">
        <v>140</v>
      </c>
      <c r="B553" s="36"/>
      <c r="C553" s="36"/>
      <c r="D553" s="36"/>
      <c r="E553" s="36"/>
      <c r="F553" s="36"/>
      <c r="G553" s="36" t="e">
        <f t="shared" ref="G553:G563" si="55">F553/E553</f>
        <v>#DIV/0!</v>
      </c>
      <c r="H553" s="37"/>
    </row>
    <row r="554" spans="1:8" hidden="1" x14ac:dyDescent="0.25">
      <c r="A554" s="39" t="s">
        <v>141</v>
      </c>
      <c r="B554" s="36"/>
      <c r="C554" s="36"/>
      <c r="D554" s="36"/>
      <c r="E554" s="36"/>
      <c r="F554" s="36"/>
      <c r="G554" s="36" t="e">
        <f t="shared" si="55"/>
        <v>#DIV/0!</v>
      </c>
      <c r="H554" s="37"/>
    </row>
    <row r="555" spans="1:8" hidden="1" x14ac:dyDescent="0.25">
      <c r="A555" s="39" t="s">
        <v>142</v>
      </c>
      <c r="B555" s="36"/>
      <c r="C555" s="36"/>
      <c r="D555" s="36"/>
      <c r="E555" s="36"/>
      <c r="F555" s="36"/>
      <c r="G555" s="36" t="e">
        <f t="shared" si="55"/>
        <v>#DIV/0!</v>
      </c>
      <c r="H555" s="37"/>
    </row>
    <row r="556" spans="1:8" hidden="1" x14ac:dyDescent="0.25">
      <c r="A556" s="39" t="s">
        <v>143</v>
      </c>
      <c r="B556" s="36"/>
      <c r="C556" s="36"/>
      <c r="D556" s="36"/>
      <c r="E556" s="36"/>
      <c r="F556" s="36"/>
      <c r="G556" s="36" t="e">
        <f t="shared" si="55"/>
        <v>#DIV/0!</v>
      </c>
      <c r="H556" s="37"/>
    </row>
    <row r="557" spans="1:8" hidden="1" x14ac:dyDescent="0.25">
      <c r="A557" s="39" t="s">
        <v>144</v>
      </c>
      <c r="B557" s="36"/>
      <c r="C557" s="36"/>
      <c r="D557" s="36"/>
      <c r="E557" s="36"/>
      <c r="F557" s="36"/>
      <c r="G557" s="36" t="e">
        <f t="shared" si="55"/>
        <v>#DIV/0!</v>
      </c>
      <c r="H557" s="37"/>
    </row>
    <row r="558" spans="1:8" hidden="1" x14ac:dyDescent="0.25">
      <c r="A558" s="39" t="s">
        <v>132</v>
      </c>
      <c r="B558" s="36"/>
      <c r="C558" s="36"/>
      <c r="D558" s="36"/>
      <c r="E558" s="36"/>
      <c r="F558" s="36"/>
      <c r="G558" s="36" t="e">
        <f t="shared" si="55"/>
        <v>#DIV/0!</v>
      </c>
      <c r="H558" s="37"/>
    </row>
    <row r="559" spans="1:8" hidden="1" x14ac:dyDescent="0.25">
      <c r="A559" s="39" t="s">
        <v>133</v>
      </c>
      <c r="B559" s="36"/>
      <c r="C559" s="36"/>
      <c r="D559" s="36"/>
      <c r="E559" s="36"/>
      <c r="F559" s="36"/>
      <c r="G559" s="36" t="e">
        <f t="shared" si="55"/>
        <v>#DIV/0!</v>
      </c>
      <c r="H559" s="37"/>
    </row>
    <row r="560" spans="1:8" hidden="1" x14ac:dyDescent="0.25">
      <c r="A560" s="39" t="s">
        <v>134</v>
      </c>
      <c r="B560" s="36"/>
      <c r="C560" s="36"/>
      <c r="D560" s="36"/>
      <c r="E560" s="36"/>
      <c r="F560" s="36"/>
      <c r="G560" s="36" t="e">
        <f t="shared" si="55"/>
        <v>#DIV/0!</v>
      </c>
      <c r="H560" s="37"/>
    </row>
    <row r="561" spans="1:44" hidden="1" x14ac:dyDescent="0.25">
      <c r="A561" s="39" t="s">
        <v>135</v>
      </c>
      <c r="B561" s="36"/>
      <c r="C561" s="36"/>
      <c r="D561" s="36"/>
      <c r="E561" s="36"/>
      <c r="F561" s="36"/>
      <c r="G561" s="36" t="e">
        <f t="shared" si="55"/>
        <v>#DIV/0!</v>
      </c>
      <c r="H561" s="37"/>
    </row>
    <row r="562" spans="1:44" hidden="1" x14ac:dyDescent="0.25">
      <c r="A562" s="39" t="s">
        <v>136</v>
      </c>
      <c r="B562" s="36"/>
      <c r="C562" s="36"/>
      <c r="D562" s="36"/>
      <c r="E562" s="36"/>
      <c r="F562" s="36"/>
      <c r="G562" s="36" t="e">
        <f t="shared" si="55"/>
        <v>#DIV/0!</v>
      </c>
      <c r="H562" s="37"/>
    </row>
    <row r="563" spans="1:44" ht="15.75" hidden="1" thickBot="1" x14ac:dyDescent="0.3">
      <c r="A563" s="40" t="s">
        <v>137</v>
      </c>
      <c r="B563" s="38"/>
      <c r="C563" s="38"/>
      <c r="D563" s="38"/>
      <c r="E563" s="38"/>
      <c r="F563" s="38"/>
      <c r="G563" s="38" t="e">
        <f t="shared" si="55"/>
        <v>#DIV/0!</v>
      </c>
      <c r="H563" s="42"/>
    </row>
    <row r="564" spans="1:44" ht="26.25" customHeight="1" x14ac:dyDescent="0.25">
      <c r="A564" s="26" t="s">
        <v>35</v>
      </c>
      <c r="B564" s="24"/>
      <c r="C564" s="24"/>
      <c r="D564" s="24"/>
      <c r="E564" s="25"/>
      <c r="F564" s="25"/>
      <c r="G564" s="25"/>
      <c r="H564" s="25"/>
      <c r="I564" s="25"/>
      <c r="J564" s="25"/>
      <c r="K564" s="25"/>
      <c r="L564" s="25"/>
      <c r="M564" s="25"/>
      <c r="N564" s="25"/>
      <c r="O564" s="89"/>
      <c r="P564" s="25"/>
      <c r="Q564" s="25"/>
      <c r="R564" s="25"/>
      <c r="S564" s="25"/>
      <c r="T564" s="25"/>
      <c r="U564" s="25"/>
      <c r="V564" s="25"/>
      <c r="W564" s="25"/>
      <c r="X564" s="24"/>
      <c r="Y564" s="24"/>
      <c r="Z564" s="24"/>
      <c r="AA564" s="24"/>
      <c r="AB564" s="24"/>
      <c r="AC564" s="24"/>
      <c r="AD564" s="27"/>
      <c r="AE564" s="27"/>
      <c r="AF564" s="27"/>
      <c r="AG564" s="27"/>
      <c r="AH564" s="27"/>
      <c r="AI564" s="27"/>
      <c r="AJ564" s="31"/>
      <c r="AK564" s="31"/>
      <c r="AL564" s="28"/>
      <c r="AM564" s="28"/>
      <c r="AN564" s="28"/>
      <c r="AO564" s="28"/>
      <c r="AP564" s="28"/>
      <c r="AQ564" s="28"/>
      <c r="AR564" s="28"/>
    </row>
    <row r="565" spans="1:44" ht="26.25" customHeight="1" x14ac:dyDescent="0.25">
      <c r="A565" s="29" t="s">
        <v>36</v>
      </c>
      <c r="B565" s="879" t="s">
        <v>37</v>
      </c>
      <c r="C565" s="880"/>
      <c r="D565" s="881"/>
      <c r="E565" s="882" t="s">
        <v>38</v>
      </c>
      <c r="F565" s="883"/>
      <c r="G565" s="883"/>
      <c r="H565" s="883"/>
      <c r="I565" s="883"/>
      <c r="J565" s="883"/>
      <c r="K565" s="883"/>
      <c r="L565" s="883"/>
      <c r="M565" s="883"/>
      <c r="N565" s="883"/>
      <c r="O565" s="90"/>
      <c r="P565" s="24"/>
      <c r="Q565" s="24"/>
      <c r="R565" s="24"/>
      <c r="S565" s="24"/>
      <c r="T565" s="24"/>
      <c r="U565" s="24"/>
      <c r="V565" s="24"/>
      <c r="W565" s="24"/>
      <c r="X565" s="24"/>
      <c r="Y565" s="24"/>
      <c r="Z565" s="24"/>
      <c r="AA565" s="24"/>
      <c r="AB565" s="24"/>
      <c r="AC565" s="24"/>
      <c r="AD565" s="27"/>
      <c r="AE565" s="27"/>
      <c r="AF565" s="27"/>
      <c r="AG565" s="27"/>
      <c r="AH565" s="27"/>
      <c r="AI565" s="27"/>
      <c r="AJ565" s="31"/>
      <c r="AK565" s="31"/>
      <c r="AL565" s="27"/>
      <c r="AM565" s="27"/>
      <c r="AN565" s="27"/>
      <c r="AO565" s="27"/>
      <c r="AP565" s="27"/>
      <c r="AQ565" s="27"/>
      <c r="AR565" s="31"/>
    </row>
    <row r="566" spans="1:44" ht="43.5" customHeight="1" x14ac:dyDescent="0.25">
      <c r="A566" s="101">
        <v>12</v>
      </c>
      <c r="B566" s="884" t="s">
        <v>84</v>
      </c>
      <c r="C566" s="885"/>
      <c r="D566" s="886"/>
      <c r="E566" s="887" t="s">
        <v>85</v>
      </c>
      <c r="F566" s="888"/>
      <c r="G566" s="888"/>
      <c r="H566" s="888"/>
      <c r="I566" s="888"/>
      <c r="J566" s="888"/>
      <c r="K566" s="888"/>
      <c r="L566" s="888"/>
      <c r="M566" s="888"/>
      <c r="N566" s="888"/>
      <c r="O566" s="90"/>
      <c r="P566" s="24"/>
      <c r="Q566" s="24"/>
      <c r="R566" s="24"/>
      <c r="S566" s="24"/>
      <c r="T566" s="24"/>
      <c r="U566" s="24"/>
      <c r="V566" s="24"/>
      <c r="W566" s="24"/>
      <c r="X566" s="24"/>
      <c r="Y566" s="24"/>
      <c r="Z566" s="24"/>
      <c r="AA566" s="24"/>
      <c r="AB566" s="24"/>
      <c r="AC566" s="24"/>
      <c r="AD566" s="24"/>
      <c r="AE566" s="24"/>
      <c r="AF566" s="24"/>
      <c r="AG566" s="24"/>
      <c r="AH566" s="24"/>
      <c r="AI566" s="24"/>
      <c r="AJ566" s="30"/>
      <c r="AK566" s="30"/>
      <c r="AL566" s="24"/>
      <c r="AM566" s="24"/>
      <c r="AN566" s="24"/>
      <c r="AO566" s="24"/>
      <c r="AP566" s="24"/>
      <c r="AQ566" s="24"/>
      <c r="AR566" s="30"/>
    </row>
    <row r="567" spans="1:44" x14ac:dyDescent="0.25">
      <c r="A567" s="101">
        <v>13</v>
      </c>
      <c r="B567" s="884" t="s">
        <v>95</v>
      </c>
      <c r="C567" s="885"/>
      <c r="D567" s="886"/>
      <c r="E567" s="887" t="s">
        <v>86</v>
      </c>
      <c r="F567" s="888"/>
      <c r="G567" s="888"/>
      <c r="H567" s="888"/>
      <c r="I567" s="888"/>
      <c r="J567" s="888"/>
      <c r="K567" s="888"/>
      <c r="L567" s="888"/>
      <c r="M567" s="888"/>
      <c r="N567" s="888"/>
    </row>
  </sheetData>
  <mergeCells count="167">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 ref="B176:B187"/>
    <mergeCell ref="C176:C187"/>
    <mergeCell ref="D176:D187"/>
    <mergeCell ref="E176:E187"/>
    <mergeCell ref="F176:F187"/>
    <mergeCell ref="G176:G187"/>
    <mergeCell ref="B191:B202"/>
    <mergeCell ref="C191:C202"/>
    <mergeCell ref="D191:D202"/>
    <mergeCell ref="E191:E202"/>
    <mergeCell ref="F191:F202"/>
    <mergeCell ref="G191:G202"/>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A18"/>
    <mergeCell ref="E14:E18"/>
    <mergeCell ref="F14:F18"/>
    <mergeCell ref="G14:G18"/>
    <mergeCell ref="H14:H18"/>
    <mergeCell ref="A19:A23"/>
    <mergeCell ref="E19:E23"/>
    <mergeCell ref="F19:F23"/>
    <mergeCell ref="G19:G23"/>
    <mergeCell ref="H19:H23"/>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B136:B141"/>
    <mergeCell ref="C136:C141"/>
    <mergeCell ref="D136:D141"/>
    <mergeCell ref="E136:E141"/>
    <mergeCell ref="F136:F141"/>
    <mergeCell ref="G136:G141"/>
    <mergeCell ref="B127:B132"/>
    <mergeCell ref="C127:C132"/>
    <mergeCell ref="D127:D132"/>
    <mergeCell ref="E127:E132"/>
    <mergeCell ref="F127:F132"/>
    <mergeCell ref="G127:G132"/>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 </vt:lpstr>
      <vt:lpstr>INVERSIÓN</vt:lpstr>
      <vt:lpstr>ACTIVIDADES</vt:lpstr>
      <vt:lpstr>TERRITORIALIZACIÓN</vt:lpstr>
      <vt:lpstr>SPI.</vt:lpstr>
      <vt:lpstr>SPI</vt:lpstr>
      <vt:lpstr>ACTIVIDADES!Área_de_impresión</vt:lpstr>
      <vt:lpstr>'GESTIÓN '!Área_de_impresión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2021-12-07T16:21:27Z</cp:lastPrinted>
  <dcterms:created xsi:type="dcterms:W3CDTF">2010-03-25T16:40:43Z</dcterms:created>
  <dcterms:modified xsi:type="dcterms:W3CDTF">2024-04-16T14:16:18Z</dcterms:modified>
</cp:coreProperties>
</file>