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YULIED.PENARANDA.SDA\Desktop\2023\10-OCTUBRE\PLAN DE ACCIÖN SEPT\PA VF\Versión de andres\"/>
    </mc:Choice>
  </mc:AlternateContent>
  <xr:revisionPtr revIDLastSave="0" documentId="13_ncr:1_{420D01C0-CA70-4433-8A38-E1410F237937}" xr6:coauthVersionLast="47" xr6:coauthVersionMax="47" xr10:uidLastSave="{00000000-0000-0000-0000-000000000000}"/>
  <bookViews>
    <workbookView xWindow="-120" yWindow="-120" windowWidth="20730" windowHeight="11160" tabRatio="690" xr2:uid="{00000000-000D-0000-FFFF-FFFF00000000}"/>
  </bookViews>
  <sheets>
    <sheet name="GESTIÓN" sheetId="1" r:id="rId1"/>
    <sheet name="INVERSIÓN" sheetId="2" r:id="rId2"/>
    <sheet name="ACTIVIDADES" sheetId="3" r:id="rId3"/>
    <sheet name="Hoja1" sheetId="5" state="hidden" r:id="rId4"/>
    <sheet name="TERRITORIALIZACION" sheetId="12" r:id="rId5"/>
    <sheet name="SPI" sheetId="6" r:id="rId6"/>
    <sheet name="Hoja3" sheetId="10" state="hidden" r:id="rId7"/>
    <sheet name="Hoja2" sheetId="8" state="hidden" r:id="rId8"/>
    <sheet name="Hoja4" sheetId="11" state="hidden" r:id="rId9"/>
  </sheets>
  <externalReferences>
    <externalReference r:id="rId10"/>
  </externalReferences>
  <definedNames>
    <definedName name="_xlnm._FilterDatabase" localSheetId="2" hidden="1">ACTIVIDADES!$A$8:$Y$41</definedName>
    <definedName name="_xlnm._FilterDatabase" localSheetId="0" hidden="1">GESTIÓN!$A$12:$FD$12</definedName>
    <definedName name="_xlnm._FilterDatabase" localSheetId="1" hidden="1">INVERSIÓN!$A$9:$FA$40</definedName>
    <definedName name="_xlnm._FilterDatabase" localSheetId="4" hidden="1">TERRITORIALIZACION!$A$9:$AY$66</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5" i="12" l="1"/>
  <c r="M65" i="12"/>
  <c r="O64" i="12"/>
  <c r="O66" i="12" s="1"/>
  <c r="N64" i="12"/>
  <c r="AB61" i="12"/>
  <c r="AB65" i="12" s="1"/>
  <c r="AA61" i="12"/>
  <c r="AA65" i="12" s="1"/>
  <c r="Z61" i="12"/>
  <c r="Z65" i="12" s="1"/>
  <c r="N61" i="12"/>
  <c r="N65" i="12" s="1"/>
  <c r="M61" i="12"/>
  <c r="AB59" i="12"/>
  <c r="AA59" i="12"/>
  <c r="AA64" i="12" s="1"/>
  <c r="Z59" i="12"/>
  <c r="Z64" i="12" s="1"/>
  <c r="Y59" i="12"/>
  <c r="O59" i="12"/>
  <c r="O63" i="12" s="1"/>
  <c r="N59" i="12"/>
  <c r="N63" i="12" s="1"/>
  <c r="M59" i="12"/>
  <c r="M64" i="12" s="1"/>
  <c r="M66" i="12" s="1"/>
  <c r="AB58" i="12"/>
  <c r="AB62" i="12" s="1"/>
  <c r="AA58" i="12"/>
  <c r="AA62" i="12" s="1"/>
  <c r="Z58" i="12"/>
  <c r="Z62" i="12" s="1"/>
  <c r="AB57" i="12"/>
  <c r="AA57" i="12"/>
  <c r="Z57" i="12"/>
  <c r="O57" i="12"/>
  <c r="N57" i="12"/>
  <c r="M57" i="12"/>
  <c r="AB56" i="12"/>
  <c r="AA56" i="12"/>
  <c r="Z56" i="12"/>
  <c r="AB51" i="12"/>
  <c r="AA51" i="12"/>
  <c r="Z51" i="12"/>
  <c r="O51" i="12"/>
  <c r="N51" i="12"/>
  <c r="M51" i="12"/>
  <c r="AB50" i="12"/>
  <c r="AA50" i="12"/>
  <c r="Z50" i="12"/>
  <c r="AB45" i="12"/>
  <c r="AA45" i="12"/>
  <c r="Z45" i="12"/>
  <c r="O45" i="12"/>
  <c r="N45" i="12"/>
  <c r="M45" i="12"/>
  <c r="AB44" i="12"/>
  <c r="AA44" i="12"/>
  <c r="Z44" i="12"/>
  <c r="AB39" i="12"/>
  <c r="AA39" i="12"/>
  <c r="Z39" i="12"/>
  <c r="O39" i="12"/>
  <c r="N39" i="12"/>
  <c r="M39" i="12"/>
  <c r="AB38" i="12"/>
  <c r="AA38" i="12"/>
  <c r="Z38" i="12"/>
  <c r="AB33" i="12"/>
  <c r="AA33" i="12"/>
  <c r="Z33" i="12"/>
  <c r="O33" i="12"/>
  <c r="N33" i="12"/>
  <c r="M33" i="12"/>
  <c r="AB32" i="12"/>
  <c r="AA32" i="12"/>
  <c r="Z32" i="12"/>
  <c r="AB27" i="12"/>
  <c r="AA27" i="12"/>
  <c r="Z27" i="12"/>
  <c r="O27" i="12"/>
  <c r="N27" i="12"/>
  <c r="M27" i="12"/>
  <c r="AB26" i="12"/>
  <c r="AA26" i="12"/>
  <c r="Z26" i="12"/>
  <c r="AB21" i="12"/>
  <c r="AA21" i="12"/>
  <c r="Z21" i="12"/>
  <c r="O21" i="12"/>
  <c r="N21" i="12"/>
  <c r="M21" i="12"/>
  <c r="AB20" i="12"/>
  <c r="AA20" i="12"/>
  <c r="Z20" i="12"/>
  <c r="AA15" i="12"/>
  <c r="Z15" i="12"/>
  <c r="O15" i="12"/>
  <c r="N15" i="12"/>
  <c r="M15" i="12"/>
  <c r="AB14" i="12"/>
  <c r="AA14" i="12"/>
  <c r="Z14" i="12"/>
  <c r="AB11" i="12"/>
  <c r="AB64" i="12" s="1"/>
  <c r="M63" i="12" l="1"/>
  <c r="AB15" i="12"/>
  <c r="N66" i="12"/>
  <c r="AB63" i="12"/>
  <c r="Z66" i="12"/>
  <c r="AA66" i="12"/>
  <c r="AB66" i="12"/>
  <c r="Z63" i="12"/>
  <c r="AA63" i="12"/>
  <c r="ET14" i="1"/>
  <c r="ET15" i="1"/>
  <c r="ET16" i="1"/>
  <c r="ET17" i="1"/>
  <c r="ET13" i="1"/>
  <c r="DL17" i="1"/>
  <c r="DL16" i="1"/>
  <c r="DL14" i="1"/>
  <c r="DL13" i="1"/>
  <c r="EV10" i="2" l="1"/>
  <c r="ER10" i="2"/>
  <c r="ER14" i="2"/>
  <c r="ER17" i="2"/>
  <c r="ER18" i="2"/>
  <c r="ER20" i="2"/>
  <c r="ER21" i="2"/>
  <c r="ER24" i="2"/>
  <c r="ER25" i="2"/>
  <c r="ER26" i="2"/>
  <c r="ER27" i="2"/>
  <c r="ER28" i="2"/>
  <c r="ER31" i="2"/>
  <c r="ER32" i="2"/>
  <c r="ER33" i="2"/>
  <c r="ER34" i="2"/>
  <c r="ER35" i="2"/>
  <c r="ER13" i="2"/>
  <c r="ER11" i="2"/>
  <c r="G877" i="6" l="1"/>
  <c r="G878" i="6"/>
  <c r="G862" i="6"/>
  <c r="G863" i="6"/>
  <c r="G832" i="6"/>
  <c r="O323" i="6" l="1"/>
  <c r="O322" i="6"/>
  <c r="H193" i="6"/>
  <c r="CZ14" i="2" l="1"/>
  <c r="DK14" i="2" s="1"/>
  <c r="DM14" i="2" s="1"/>
  <c r="DM16" i="1" l="1"/>
  <c r="EU16" i="1" s="1"/>
  <c r="DA30" i="2" l="1"/>
  <c r="DB30" i="2"/>
  <c r="DC30" i="2"/>
  <c r="DD30" i="2"/>
  <c r="DE30" i="2"/>
  <c r="DF30" i="2"/>
  <c r="DG30" i="2"/>
  <c r="DH30" i="2"/>
  <c r="CZ23" i="2"/>
  <c r="DA23" i="2"/>
  <c r="DB23" i="2"/>
  <c r="CZ16" i="2"/>
  <c r="DA16" i="2"/>
  <c r="DB16" i="2"/>
  <c r="ER16" i="2" s="1"/>
  <c r="CY16" i="2"/>
  <c r="DB38" i="2"/>
  <c r="DB37" i="2"/>
  <c r="DB39" i="2"/>
  <c r="DJ14" i="2"/>
  <c r="DI14" i="2"/>
  <c r="DL14" i="2" s="1"/>
  <c r="DK33" i="2"/>
  <c r="DK26" i="2"/>
  <c r="DK19" i="2"/>
  <c r="DK12" i="2"/>
  <c r="DM12" i="2" s="1"/>
  <c r="DJ33" i="2"/>
  <c r="DG33" i="2"/>
  <c r="DC33" i="2"/>
  <c r="DE26" i="2"/>
  <c r="DA19" i="2"/>
  <c r="DA12" i="2"/>
  <c r="DI12" i="2" s="1"/>
  <c r="DL12" i="2" s="1"/>
  <c r="ER23" i="2" l="1"/>
  <c r="ER12" i="2"/>
  <c r="ER30" i="2"/>
  <c r="DJ19" i="2"/>
  <c r="ER19" i="2"/>
  <c r="DJ12" i="2"/>
  <c r="ES12" i="2" s="1"/>
  <c r="DB40" i="2"/>
  <c r="ET14" i="2"/>
  <c r="ES14" i="2"/>
  <c r="ET12" i="2"/>
  <c r="DI11" i="2" l="1"/>
  <c r="DK35" i="2"/>
  <c r="DK28" i="2"/>
  <c r="DK21" i="2"/>
  <c r="DJ35" i="2"/>
  <c r="DJ28" i="2"/>
  <c r="DJ21" i="2"/>
  <c r="DI21" i="2"/>
  <c r="DK11" i="2" l="1"/>
  <c r="DK32" i="2"/>
  <c r="DK25" i="2"/>
  <c r="DK18" i="2"/>
  <c r="DJ32" i="2"/>
  <c r="DJ25" i="2"/>
  <c r="DJ11" i="2"/>
  <c r="DL11" i="2"/>
  <c r="DA36" i="2"/>
  <c r="DA29" i="2"/>
  <c r="DB36" i="2"/>
  <c r="DB29" i="2"/>
  <c r="ER29" i="2" s="1"/>
  <c r="DB22" i="2"/>
  <c r="DB15" i="2"/>
  <c r="DA15" i="2"/>
  <c r="DK34" i="2"/>
  <c r="DK27" i="2"/>
  <c r="DK20" i="2"/>
  <c r="DK13" i="2"/>
  <c r="DM13" i="2" s="1"/>
  <c r="DJ34" i="2"/>
  <c r="DJ27" i="2"/>
  <c r="DJ20" i="2"/>
  <c r="DJ13" i="2"/>
  <c r="DI13" i="2"/>
  <c r="DL13" i="2" s="1"/>
  <c r="DK10" i="2"/>
  <c r="ES10" i="2" s="1"/>
  <c r="DJ10" i="2"/>
  <c r="DI10" i="2"/>
  <c r="DK31" i="2"/>
  <c r="DK24" i="2"/>
  <c r="DK17" i="2"/>
  <c r="DM17" i="2" s="1"/>
  <c r="DJ31" i="2"/>
  <c r="DJ24" i="2"/>
  <c r="DJ17" i="2"/>
  <c r="ER15" i="2" l="1"/>
  <c r="ER36" i="2"/>
  <c r="DM11" i="2"/>
  <c r="ES11" i="2"/>
  <c r="ES13" i="2"/>
  <c r="DM17" i="1"/>
  <c r="DO17" i="1" l="1"/>
  <c r="EU17" i="1"/>
  <c r="DM13" i="1"/>
  <c r="EU13" i="1" s="1"/>
  <c r="DM15" i="1" l="1"/>
  <c r="DM14" i="1"/>
  <c r="DO14" i="1" s="1"/>
  <c r="EV14" i="1" s="1"/>
  <c r="DK14" i="1"/>
  <c r="DN14" i="1" s="1"/>
  <c r="DL15" i="1" l="1"/>
  <c r="DK15" i="1"/>
  <c r="DN15" i="1" s="1"/>
  <c r="DK13" i="1"/>
  <c r="BF14" i="1" l="1"/>
  <c r="G8" i="11"/>
  <c r="G4" i="11" l="1"/>
  <c r="G3" i="11"/>
  <c r="CZ37" i="2" l="1"/>
  <c r="CZ36" i="2"/>
  <c r="CZ30" i="2" l="1"/>
  <c r="CZ29" i="2"/>
  <c r="DO16" i="1"/>
  <c r="CZ22" i="2"/>
  <c r="CZ15" i="2"/>
  <c r="FD14" i="1"/>
  <c r="H192" i="6" l="1"/>
  <c r="CY37" i="2"/>
  <c r="CY38" i="2"/>
  <c r="CZ38" i="2"/>
  <c r="CY39" i="2"/>
  <c r="CZ39" i="2"/>
  <c r="CZ40" i="2" l="1"/>
  <c r="CY40" i="2"/>
  <c r="DI31" i="2" l="1"/>
  <c r="DI25" i="2"/>
  <c r="DI27" i="2"/>
  <c r="DI28" i="2"/>
  <c r="DI24" i="2"/>
  <c r="DL24" i="2" s="1"/>
  <c r="DI17" i="2"/>
  <c r="ET17" i="2" s="1"/>
  <c r="DM21" i="2"/>
  <c r="DL21" i="2"/>
  <c r="DM20" i="2"/>
  <c r="DI20" i="2"/>
  <c r="DM19" i="2"/>
  <c r="DM18" i="2"/>
  <c r="DN16" i="2"/>
  <c r="DL31" i="2" l="1"/>
  <c r="DL20" i="2"/>
  <c r="DI16" i="2"/>
  <c r="ES24" i="2"/>
  <c r="DJ30" i="2"/>
  <c r="ES27" i="2"/>
  <c r="DK30" i="2"/>
  <c r="DI30" i="2"/>
  <c r="ES31" i="2"/>
  <c r="DM24" i="2"/>
  <c r="DM31" i="2"/>
  <c r="ET31" i="2" l="1"/>
  <c r="ET24" i="2"/>
  <c r="ES30" i="2"/>
  <c r="G876" i="6" l="1"/>
  <c r="G861" i="6"/>
  <c r="G846" i="6"/>
  <c r="G831" i="6"/>
  <c r="J362" i="6"/>
  <c r="M332" i="6"/>
  <c r="J332" i="6"/>
  <c r="J320" i="6"/>
  <c r="J321" i="6"/>
  <c r="J322" i="6"/>
  <c r="J319" i="6"/>
  <c r="J318" i="6"/>
  <c r="J317" i="6"/>
  <c r="Q212" i="6"/>
  <c r="O312" i="6"/>
  <c r="O313" i="6"/>
  <c r="O314" i="6"/>
  <c r="O315" i="6"/>
  <c r="O316" i="6"/>
  <c r="O317" i="6"/>
  <c r="O318" i="6"/>
  <c r="O319" i="6"/>
  <c r="O321" i="6"/>
  <c r="DK16" i="1" l="1"/>
  <c r="DN16" i="1" s="1"/>
  <c r="EV16" i="1" s="1"/>
  <c r="DO15" i="1" l="1"/>
  <c r="H191" i="6" l="1"/>
  <c r="CX29" i="2"/>
  <c r="CX22" i="2"/>
  <c r="CX15" i="2"/>
  <c r="CX36" i="2"/>
  <c r="CX37" i="2"/>
  <c r="CX38" i="2"/>
  <c r="CX39" i="2"/>
  <c r="CX30" i="2"/>
  <c r="CX23" i="2"/>
  <c r="CX16" i="2"/>
  <c r="CX40" i="2" l="1"/>
  <c r="DM26" i="2" l="1"/>
  <c r="DM32" i="2" l="1"/>
  <c r="ET13" i="2" l="1"/>
  <c r="ES20" i="2"/>
  <c r="EU15" i="1" l="1"/>
  <c r="EU14" i="1"/>
  <c r="S18" i="3"/>
  <c r="G875" i="6"/>
  <c r="G860" i="6"/>
  <c r="G845" i="6"/>
  <c r="G830" i="6"/>
  <c r="M331" i="6"/>
  <c r="J315" i="6"/>
  <c r="J316" i="6"/>
  <c r="H190" i="6"/>
  <c r="CV37" i="2" l="1"/>
  <c r="CV36" i="2"/>
  <c r="CW36" i="2"/>
  <c r="CY36" i="2"/>
  <c r="DC36" i="2"/>
  <c r="DD36" i="2"/>
  <c r="DE36" i="2"/>
  <c r="DF36" i="2"/>
  <c r="DG36" i="2"/>
  <c r="DH36" i="2"/>
  <c r="CU36" i="2"/>
  <c r="CV29" i="2"/>
  <c r="CV30" i="2"/>
  <c r="DH29" i="2"/>
  <c r="DG29" i="2"/>
  <c r="DF29" i="2"/>
  <c r="DE29" i="2"/>
  <c r="DD29" i="2"/>
  <c r="DC29" i="2"/>
  <c r="CY29" i="2"/>
  <c r="CW29" i="2"/>
  <c r="CV23" i="2"/>
  <c r="DH22" i="2"/>
  <c r="DG22" i="2"/>
  <c r="DF22" i="2"/>
  <c r="DE22" i="2"/>
  <c r="DD22" i="2"/>
  <c r="DC22" i="2"/>
  <c r="DA22" i="2"/>
  <c r="ER22" i="2" s="1"/>
  <c r="CY22" i="2"/>
  <c r="CW22" i="2"/>
  <c r="CV22" i="2"/>
  <c r="CV16" i="2"/>
  <c r="CU16" i="2"/>
  <c r="CV15" i="2"/>
  <c r="EV15" i="1" l="1"/>
  <c r="DK17" i="1" l="1"/>
  <c r="DN17" i="1" s="1"/>
  <c r="EV17" i="1" s="1"/>
  <c r="ES17" i="2" l="1"/>
  <c r="CV39" i="2" l="1"/>
  <c r="CV38" i="2"/>
  <c r="CV40" i="2" l="1"/>
  <c r="DJ37" i="2"/>
  <c r="ET11" i="2" l="1"/>
  <c r="DL16" i="2"/>
  <c r="C13" i="8"/>
  <c r="C12" i="8"/>
  <c r="C11" i="8"/>
  <c r="C10" i="8"/>
  <c r="C9" i="8"/>
  <c r="C8" i="8"/>
  <c r="C7" i="8"/>
  <c r="C6" i="8"/>
  <c r="C5" i="8"/>
  <c r="C4" i="8"/>
  <c r="C3" i="8"/>
  <c r="C2" i="8"/>
  <c r="G874" i="6" l="1"/>
  <c r="G859" i="6"/>
  <c r="H189" i="6"/>
  <c r="CT36" i="2" l="1"/>
  <c r="CT29" i="2"/>
  <c r="CT22" i="2"/>
  <c r="CT15" i="2"/>
  <c r="CT16" i="2" l="1"/>
  <c r="CT23" i="2"/>
  <c r="CT30" i="2"/>
  <c r="CT37" i="2"/>
  <c r="CT38" i="2"/>
  <c r="CT39" i="2"/>
  <c r="CT40" i="2" l="1"/>
  <c r="F9" i="6" l="1"/>
  <c r="DE15" i="2"/>
  <c r="DE16" i="2"/>
  <c r="DE23" i="2"/>
  <c r="DE37" i="2"/>
  <c r="DE38" i="2"/>
  <c r="DE39" i="2"/>
  <c r="AB15" i="1"/>
  <c r="H38" i="2"/>
  <c r="I38" i="2"/>
  <c r="K38" i="2"/>
  <c r="M38" i="2"/>
  <c r="O38" i="2"/>
  <c r="Q38" i="2"/>
  <c r="S38" i="2"/>
  <c r="U38" i="2"/>
  <c r="V38" i="2"/>
  <c r="W38" i="2"/>
  <c r="X38" i="2"/>
  <c r="Y38" i="2"/>
  <c r="Z38" i="2"/>
  <c r="AA38" i="2"/>
  <c r="AB38" i="2"/>
  <c r="AC38" i="2"/>
  <c r="AD38" i="2"/>
  <c r="AE38" i="2"/>
  <c r="AF38" i="2"/>
  <c r="AG38" i="2"/>
  <c r="AH38" i="2"/>
  <c r="AI38" i="2"/>
  <c r="AJ38" i="2"/>
  <c r="AK38" i="2"/>
  <c r="AL38" i="2"/>
  <c r="AN38" i="2"/>
  <c r="AP38" i="2"/>
  <c r="AR38" i="2"/>
  <c r="AT38" i="2"/>
  <c r="AV38" i="2"/>
  <c r="AW38" i="2"/>
  <c r="AX38" i="2"/>
  <c r="AY38" i="2"/>
  <c r="AZ38" i="2"/>
  <c r="BF38" i="2"/>
  <c r="BG38" i="2"/>
  <c r="BH38" i="2"/>
  <c r="BI38" i="2"/>
  <c r="BJ38" i="2"/>
  <c r="BK38" i="2"/>
  <c r="BL38" i="2"/>
  <c r="BM38" i="2"/>
  <c r="BN38" i="2"/>
  <c r="BO38" i="2"/>
  <c r="BP38" i="2"/>
  <c r="BR38" i="2"/>
  <c r="BT38" i="2"/>
  <c r="BU38" i="2"/>
  <c r="BV38" i="2"/>
  <c r="BW38" i="2"/>
  <c r="BX38" i="2"/>
  <c r="BZ38" i="2"/>
  <c r="CB38" i="2"/>
  <c r="CD38" i="2"/>
  <c r="CJ38" i="2"/>
  <c r="CK38" i="2"/>
  <c r="CL38" i="2"/>
  <c r="CM38" i="2"/>
  <c r="CN38" i="2"/>
  <c r="CO38" i="2"/>
  <c r="CP38" i="2"/>
  <c r="CQ38" i="2"/>
  <c r="CR38" i="2"/>
  <c r="CS38" i="2"/>
  <c r="CW38" i="2"/>
  <c r="DA38" i="2"/>
  <c r="DC38" i="2"/>
  <c r="DG38" i="2"/>
  <c r="DN38" i="2"/>
  <c r="H39" i="2"/>
  <c r="I39" i="2"/>
  <c r="J39" i="2"/>
  <c r="K39" i="2"/>
  <c r="L39" i="2"/>
  <c r="M39" i="2"/>
  <c r="N39" i="2"/>
  <c r="O39" i="2"/>
  <c r="P39" i="2"/>
  <c r="Q39" i="2"/>
  <c r="R39" i="2"/>
  <c r="S39" i="2"/>
  <c r="U39" i="2"/>
  <c r="V39" i="2"/>
  <c r="W39" i="2"/>
  <c r="X39" i="2"/>
  <c r="Y39" i="2"/>
  <c r="Z39" i="2"/>
  <c r="AA39" i="2"/>
  <c r="AB39" i="2"/>
  <c r="AC39" i="2"/>
  <c r="AD39" i="2"/>
  <c r="AE39" i="2"/>
  <c r="AF39" i="2"/>
  <c r="AG39" i="2"/>
  <c r="AH39" i="2"/>
  <c r="AI39" i="2"/>
  <c r="AJ39" i="2"/>
  <c r="AK39" i="2"/>
  <c r="AL39" i="2"/>
  <c r="AN39" i="2"/>
  <c r="AO39" i="2"/>
  <c r="AP39" i="2"/>
  <c r="AR39" i="2"/>
  <c r="AS39" i="2"/>
  <c r="AT39" i="2"/>
  <c r="AU39" i="2"/>
  <c r="AV39" i="2"/>
  <c r="AW39" i="2"/>
  <c r="AX39" i="2"/>
  <c r="AY39" i="2"/>
  <c r="AZ39" i="2"/>
  <c r="BG39" i="2"/>
  <c r="BJ39" i="2"/>
  <c r="BN39" i="2"/>
  <c r="BO39" i="2"/>
  <c r="BP39" i="2"/>
  <c r="BR39" i="2"/>
  <c r="BT39" i="2"/>
  <c r="BU39" i="2"/>
  <c r="BV39" i="2"/>
  <c r="BW39" i="2"/>
  <c r="BX39" i="2"/>
  <c r="BY39" i="2"/>
  <c r="BZ39" i="2"/>
  <c r="CA39" i="2"/>
  <c r="CB39" i="2"/>
  <c r="CC39" i="2"/>
  <c r="CD39" i="2"/>
  <c r="CJ39" i="2"/>
  <c r="CK39" i="2"/>
  <c r="CL39" i="2"/>
  <c r="CM39" i="2"/>
  <c r="CN39" i="2"/>
  <c r="CO39" i="2"/>
  <c r="CP39" i="2"/>
  <c r="CQ39" i="2"/>
  <c r="CR39" i="2"/>
  <c r="CS39" i="2"/>
  <c r="CU39" i="2"/>
  <c r="CW39" i="2"/>
  <c r="DA39" i="2"/>
  <c r="DC39" i="2"/>
  <c r="DG39" i="2"/>
  <c r="DN39" i="2"/>
  <c r="H16" i="2"/>
  <c r="I16" i="2"/>
  <c r="J16" i="2"/>
  <c r="K16" i="2"/>
  <c r="L16" i="2"/>
  <c r="M16" i="2"/>
  <c r="O16" i="2"/>
  <c r="Q16" i="2"/>
  <c r="S16" i="2"/>
  <c r="U16" i="2"/>
  <c r="V16" i="2"/>
  <c r="W16" i="2"/>
  <c r="X16" i="2"/>
  <c r="Y16" i="2"/>
  <c r="Z16" i="2"/>
  <c r="AA16" i="2"/>
  <c r="AB16" i="2"/>
  <c r="AC16" i="2"/>
  <c r="AD16" i="2"/>
  <c r="AE16" i="2"/>
  <c r="AF16" i="2"/>
  <c r="AG16" i="2"/>
  <c r="AH16" i="2"/>
  <c r="AI16" i="2"/>
  <c r="AJ16" i="2"/>
  <c r="AK16" i="2"/>
  <c r="AL16" i="2"/>
  <c r="AM16" i="2"/>
  <c r="AN16" i="2"/>
  <c r="AO16" i="2"/>
  <c r="AP16" i="2"/>
  <c r="AR16" i="2"/>
  <c r="AT16" i="2"/>
  <c r="AV16" i="2"/>
  <c r="AW16" i="2"/>
  <c r="AX16" i="2"/>
  <c r="AY16" i="2"/>
  <c r="AZ16" i="2"/>
  <c r="BF16" i="2"/>
  <c r="BG16" i="2"/>
  <c r="BH16" i="2"/>
  <c r="BI16" i="2"/>
  <c r="BJ16" i="2"/>
  <c r="BN16" i="2"/>
  <c r="BO16" i="2"/>
  <c r="BP16" i="2"/>
  <c r="BQ16" i="2"/>
  <c r="BR16" i="2"/>
  <c r="BT16" i="2"/>
  <c r="BU16" i="2"/>
  <c r="BV16" i="2"/>
  <c r="BW16" i="2"/>
  <c r="BX16" i="2"/>
  <c r="BZ16" i="2"/>
  <c r="CB16" i="2"/>
  <c r="CD16" i="2"/>
  <c r="CJ16" i="2"/>
  <c r="CK16" i="2"/>
  <c r="CL16" i="2"/>
  <c r="CM16" i="2"/>
  <c r="CN16" i="2"/>
  <c r="CO16" i="2"/>
  <c r="CP16" i="2"/>
  <c r="CQ16" i="2"/>
  <c r="CR16" i="2"/>
  <c r="CS16" i="2"/>
  <c r="CW16" i="2"/>
  <c r="DC16" i="2"/>
  <c r="DG16" i="2"/>
  <c r="DG40" i="2" l="1"/>
  <c r="BW40" i="2"/>
  <c r="BX40" i="2"/>
  <c r="AF40" i="2"/>
  <c r="DE40" i="2"/>
  <c r="X40" i="2"/>
  <c r="AV40" i="2"/>
  <c r="CQ40" i="2"/>
  <c r="AI40" i="2"/>
  <c r="AA40" i="2"/>
  <c r="CN40" i="2"/>
  <c r="BT40" i="2"/>
  <c r="DC40" i="2"/>
  <c r="CB40" i="2"/>
  <c r="CR40" i="2"/>
  <c r="CJ40" i="2"/>
  <c r="AJ40" i="2"/>
  <c r="AB40" i="2"/>
  <c r="S40" i="2"/>
  <c r="K40" i="2"/>
  <c r="AZ40" i="2"/>
  <c r="H40" i="2"/>
  <c r="BP40" i="2"/>
  <c r="AN40" i="2"/>
  <c r="CM40" i="2"/>
  <c r="W40" i="2"/>
  <c r="AR40" i="2"/>
  <c r="AE40" i="2"/>
  <c r="AY40" i="2"/>
  <c r="O40" i="2"/>
  <c r="BO40" i="2"/>
  <c r="BG40" i="2"/>
  <c r="DN40" i="2"/>
  <c r="CP40" i="2"/>
  <c r="BZ40" i="2"/>
  <c r="BR40" i="2"/>
  <c r="BJ40" i="2"/>
  <c r="AT40" i="2"/>
  <c r="AL40" i="2"/>
  <c r="AD40" i="2"/>
  <c r="V40" i="2"/>
  <c r="CW40" i="2"/>
  <c r="CO40" i="2"/>
  <c r="AK40" i="2"/>
  <c r="AC40" i="2"/>
  <c r="U40" i="2"/>
  <c r="M40" i="2"/>
  <c r="CL40" i="2"/>
  <c r="CD40" i="2"/>
  <c r="BV40" i="2"/>
  <c r="BN40" i="2"/>
  <c r="AX40" i="2"/>
  <c r="AP40" i="2"/>
  <c r="AH40" i="2"/>
  <c r="Z40" i="2"/>
  <c r="DA40" i="2"/>
  <c r="CS40" i="2"/>
  <c r="CK40" i="2"/>
  <c r="BU40" i="2"/>
  <c r="AW40" i="2"/>
  <c r="AG40" i="2"/>
  <c r="Y40" i="2"/>
  <c r="Q40" i="2"/>
  <c r="I40" i="2"/>
  <c r="CR15" i="2"/>
  <c r="M329" i="6"/>
  <c r="J314" i="6"/>
  <c r="H188" i="6" l="1"/>
  <c r="DJ16" i="2" l="1"/>
  <c r="J358" i="6" l="1"/>
  <c r="O358" i="6"/>
  <c r="J343" i="6"/>
  <c r="O343" i="6"/>
  <c r="J328" i="6"/>
  <c r="M328" i="6"/>
  <c r="O328" i="6"/>
  <c r="J313" i="6"/>
  <c r="H187" i="6"/>
  <c r="CU18" i="2" l="1"/>
  <c r="DJ18" i="2" s="1"/>
  <c r="DG26" i="2"/>
  <c r="CY26" i="2"/>
  <c r="DG19" i="2"/>
  <c r="DI19" i="2" s="1"/>
  <c r="DL19" i="2" l="1"/>
  <c r="DI18" i="2"/>
  <c r="CU38" i="2"/>
  <c r="CU40" i="2" s="1"/>
  <c r="DL18" i="2" l="1"/>
  <c r="G899" i="6"/>
  <c r="G898" i="6"/>
  <c r="G897" i="6"/>
  <c r="G896" i="6"/>
  <c r="G895" i="6"/>
  <c r="G894" i="6"/>
  <c r="G893" i="6"/>
  <c r="G892" i="6"/>
  <c r="G891" i="6"/>
  <c r="G890" i="6"/>
  <c r="G889" i="6"/>
  <c r="G888" i="6"/>
  <c r="G884" i="6"/>
  <c r="G883" i="6"/>
  <c r="G882" i="6"/>
  <c r="I881" i="6"/>
  <c r="I880" i="6"/>
  <c r="I879" i="6"/>
  <c r="I878" i="6"/>
  <c r="I877" i="6"/>
  <c r="I876" i="6"/>
  <c r="I875" i="6"/>
  <c r="I874" i="6"/>
  <c r="I873" i="6"/>
  <c r="I872" i="6"/>
  <c r="I871" i="6"/>
  <c r="I870" i="6"/>
  <c r="G870" i="6"/>
  <c r="I866" i="6"/>
  <c r="I865" i="6"/>
  <c r="I864" i="6"/>
  <c r="I863" i="6"/>
  <c r="I862" i="6"/>
  <c r="I861" i="6"/>
  <c r="I860" i="6"/>
  <c r="I859" i="6"/>
  <c r="I858" i="6"/>
  <c r="I857" i="6"/>
  <c r="I856" i="6"/>
  <c r="I855" i="6"/>
  <c r="I851" i="6"/>
  <c r="G851" i="6"/>
  <c r="I850" i="6"/>
  <c r="G850" i="6"/>
  <c r="I849" i="6"/>
  <c r="G849" i="6"/>
  <c r="I848" i="6"/>
  <c r="G848" i="6"/>
  <c r="I847" i="6"/>
  <c r="G847" i="6"/>
  <c r="I846" i="6"/>
  <c r="I845" i="6"/>
  <c r="I844" i="6"/>
  <c r="G844" i="6"/>
  <c r="I843" i="6"/>
  <c r="G843" i="6"/>
  <c r="I842" i="6"/>
  <c r="G842" i="6"/>
  <c r="I841" i="6"/>
  <c r="I840" i="6"/>
  <c r="I836" i="6"/>
  <c r="G836" i="6"/>
  <c r="I835" i="6"/>
  <c r="G835" i="6"/>
  <c r="I834" i="6"/>
  <c r="I833" i="6"/>
  <c r="I832" i="6"/>
  <c r="G833" i="6"/>
  <c r="I831" i="6"/>
  <c r="I830" i="6"/>
  <c r="I829" i="6"/>
  <c r="G829" i="6"/>
  <c r="I828" i="6"/>
  <c r="G828" i="6"/>
  <c r="I827" i="6"/>
  <c r="G827" i="6"/>
  <c r="I826" i="6"/>
  <c r="G826" i="6"/>
  <c r="I825" i="6"/>
  <c r="G825" i="6"/>
  <c r="I820" i="6"/>
  <c r="G820" i="6"/>
  <c r="I819" i="6"/>
  <c r="G819" i="6"/>
  <c r="I818" i="6"/>
  <c r="G818" i="6"/>
  <c r="I817" i="6"/>
  <c r="G817" i="6"/>
  <c r="I816" i="6"/>
  <c r="G816" i="6"/>
  <c r="I815" i="6"/>
  <c r="G815" i="6"/>
  <c r="I814" i="6"/>
  <c r="G814" i="6"/>
  <c r="I813" i="6"/>
  <c r="G813" i="6"/>
  <c r="I812" i="6"/>
  <c r="G812" i="6"/>
  <c r="I811" i="6"/>
  <c r="G811" i="6"/>
  <c r="I810" i="6"/>
  <c r="G810" i="6"/>
  <c r="I809" i="6"/>
  <c r="G809" i="6"/>
  <c r="I805" i="6"/>
  <c r="G805" i="6"/>
  <c r="I804" i="6"/>
  <c r="G804" i="6"/>
  <c r="I803" i="6"/>
  <c r="G803" i="6"/>
  <c r="I802" i="6"/>
  <c r="G802" i="6"/>
  <c r="I801" i="6"/>
  <c r="G801" i="6"/>
  <c r="I800" i="6"/>
  <c r="G800" i="6"/>
  <c r="I799" i="6"/>
  <c r="G799" i="6"/>
  <c r="I798" i="6"/>
  <c r="G798" i="6"/>
  <c r="I797" i="6"/>
  <c r="G797" i="6"/>
  <c r="I796" i="6"/>
  <c r="G796" i="6"/>
  <c r="I795" i="6"/>
  <c r="I794" i="6"/>
  <c r="I790" i="6"/>
  <c r="G790" i="6"/>
  <c r="I789" i="6"/>
  <c r="G789" i="6"/>
  <c r="I788" i="6"/>
  <c r="G788" i="6"/>
  <c r="I787" i="6"/>
  <c r="G787" i="6"/>
  <c r="I786" i="6"/>
  <c r="G786" i="6"/>
  <c r="I785" i="6"/>
  <c r="G785" i="6"/>
  <c r="I784" i="6"/>
  <c r="G784" i="6"/>
  <c r="I783" i="6"/>
  <c r="G783" i="6"/>
  <c r="I782" i="6"/>
  <c r="G782" i="6"/>
  <c r="I781" i="6"/>
  <c r="G781" i="6"/>
  <c r="I780" i="6"/>
  <c r="I779" i="6"/>
  <c r="I775" i="6"/>
  <c r="G775" i="6"/>
  <c r="I774" i="6"/>
  <c r="G774" i="6"/>
  <c r="I773" i="6"/>
  <c r="G773" i="6"/>
  <c r="I772" i="6"/>
  <c r="G772" i="6"/>
  <c r="I771" i="6"/>
  <c r="G771" i="6"/>
  <c r="I770" i="6"/>
  <c r="G770" i="6"/>
  <c r="I769" i="6"/>
  <c r="G769" i="6"/>
  <c r="I768" i="6"/>
  <c r="G768" i="6"/>
  <c r="I767" i="6"/>
  <c r="G767" i="6"/>
  <c r="I766" i="6"/>
  <c r="G766" i="6"/>
  <c r="I765" i="6"/>
  <c r="G765" i="6"/>
  <c r="I764" i="6"/>
  <c r="G764" i="6"/>
  <c r="I759" i="6"/>
  <c r="G759" i="6"/>
  <c r="I758" i="6"/>
  <c r="G758" i="6"/>
  <c r="I757" i="6"/>
  <c r="G757" i="6"/>
  <c r="I756" i="6"/>
  <c r="G756" i="6"/>
  <c r="I755" i="6"/>
  <c r="G755" i="6"/>
  <c r="I754" i="6"/>
  <c r="G754" i="6"/>
  <c r="I753" i="6"/>
  <c r="G753" i="6"/>
  <c r="I752" i="6"/>
  <c r="G752" i="6"/>
  <c r="I751" i="6"/>
  <c r="G751" i="6"/>
  <c r="I750" i="6"/>
  <c r="G750" i="6"/>
  <c r="I749" i="6"/>
  <c r="G749" i="6"/>
  <c r="I748" i="6"/>
  <c r="G748" i="6"/>
  <c r="I744" i="6"/>
  <c r="G744" i="6"/>
  <c r="I743" i="6"/>
  <c r="G743" i="6"/>
  <c r="I742" i="6"/>
  <c r="G742" i="6"/>
  <c r="I741" i="6"/>
  <c r="G741" i="6"/>
  <c r="I740" i="6"/>
  <c r="G740" i="6"/>
  <c r="I739" i="6"/>
  <c r="G739" i="6"/>
  <c r="I738" i="6"/>
  <c r="G738" i="6"/>
  <c r="I737" i="6"/>
  <c r="G737" i="6"/>
  <c r="I736" i="6"/>
  <c r="G736" i="6"/>
  <c r="I735" i="6"/>
  <c r="G735" i="6"/>
  <c r="I734" i="6"/>
  <c r="G734" i="6"/>
  <c r="I733" i="6"/>
  <c r="G733" i="6"/>
  <c r="I729" i="6"/>
  <c r="G729" i="6"/>
  <c r="I728" i="6"/>
  <c r="G728" i="6"/>
  <c r="I727" i="6"/>
  <c r="G727" i="6"/>
  <c r="I726" i="6"/>
  <c r="G726" i="6"/>
  <c r="I725" i="6"/>
  <c r="G725" i="6"/>
  <c r="I724" i="6"/>
  <c r="G724" i="6"/>
  <c r="I723" i="6"/>
  <c r="G723" i="6"/>
  <c r="I722" i="6"/>
  <c r="G722" i="6"/>
  <c r="I721" i="6"/>
  <c r="G721" i="6"/>
  <c r="I720" i="6"/>
  <c r="G720" i="6"/>
  <c r="I719" i="6"/>
  <c r="G719" i="6"/>
  <c r="I718" i="6"/>
  <c r="G718" i="6"/>
  <c r="I714" i="6"/>
  <c r="G714" i="6"/>
  <c r="I713" i="6"/>
  <c r="G713" i="6"/>
  <c r="I712" i="6"/>
  <c r="G712" i="6"/>
  <c r="I711" i="6"/>
  <c r="G711" i="6"/>
  <c r="I710" i="6"/>
  <c r="G710" i="6"/>
  <c r="I709" i="6"/>
  <c r="G709" i="6"/>
  <c r="I708" i="6"/>
  <c r="G708" i="6"/>
  <c r="I707" i="6"/>
  <c r="G707" i="6"/>
  <c r="I706" i="6"/>
  <c r="G706" i="6"/>
  <c r="I705" i="6"/>
  <c r="G705" i="6"/>
  <c r="I704" i="6"/>
  <c r="G704" i="6"/>
  <c r="I703" i="6"/>
  <c r="G703" i="6"/>
  <c r="I698" i="6"/>
  <c r="G698" i="6"/>
  <c r="I697" i="6"/>
  <c r="G697" i="6"/>
  <c r="I696" i="6"/>
  <c r="G696" i="6"/>
  <c r="I695" i="6"/>
  <c r="G695" i="6"/>
  <c r="I694" i="6"/>
  <c r="G694" i="6"/>
  <c r="I693" i="6"/>
  <c r="G693" i="6"/>
  <c r="I689" i="6"/>
  <c r="G689" i="6"/>
  <c r="I688" i="6"/>
  <c r="G688" i="6"/>
  <c r="I687" i="6"/>
  <c r="G687" i="6"/>
  <c r="I686" i="6"/>
  <c r="G686" i="6"/>
  <c r="I685" i="6"/>
  <c r="G685" i="6"/>
  <c r="I684" i="6"/>
  <c r="G684" i="6"/>
  <c r="I680" i="6"/>
  <c r="G680" i="6"/>
  <c r="I679" i="6"/>
  <c r="G679" i="6"/>
  <c r="I678" i="6"/>
  <c r="G678" i="6"/>
  <c r="I677" i="6"/>
  <c r="G677" i="6"/>
  <c r="I676" i="6"/>
  <c r="G676" i="6"/>
  <c r="I675" i="6"/>
  <c r="G675" i="6"/>
  <c r="I671" i="6"/>
  <c r="G671" i="6"/>
  <c r="I670" i="6"/>
  <c r="G670" i="6"/>
  <c r="I669" i="6"/>
  <c r="G669" i="6"/>
  <c r="I668" i="6"/>
  <c r="G668" i="6"/>
  <c r="I667" i="6"/>
  <c r="G667" i="6"/>
  <c r="I666" i="6"/>
  <c r="G666" i="6"/>
  <c r="H645" i="6"/>
  <c r="H644" i="6"/>
  <c r="H643" i="6"/>
  <c r="H642" i="6"/>
  <c r="H641" i="6"/>
  <c r="H640" i="6"/>
  <c r="H639" i="6"/>
  <c r="H638" i="6"/>
  <c r="H637" i="6"/>
  <c r="H636" i="6"/>
  <c r="H635" i="6"/>
  <c r="H634" i="6"/>
  <c r="H630" i="6"/>
  <c r="H629" i="6"/>
  <c r="H628" i="6"/>
  <c r="H627" i="6"/>
  <c r="H626" i="6"/>
  <c r="H625" i="6"/>
  <c r="H624" i="6"/>
  <c r="H623" i="6"/>
  <c r="H622" i="6"/>
  <c r="H621" i="6"/>
  <c r="H620" i="6"/>
  <c r="H619" i="6"/>
  <c r="H615" i="6"/>
  <c r="H614" i="6"/>
  <c r="H613" i="6"/>
  <c r="H612" i="6"/>
  <c r="H611" i="6"/>
  <c r="H610" i="6"/>
  <c r="H609" i="6"/>
  <c r="H608" i="6"/>
  <c r="H607" i="6"/>
  <c r="H606" i="6"/>
  <c r="H605" i="6"/>
  <c r="H604" i="6"/>
  <c r="H600" i="6"/>
  <c r="H599" i="6"/>
  <c r="H598" i="6"/>
  <c r="H597" i="6"/>
  <c r="H596" i="6"/>
  <c r="H595" i="6"/>
  <c r="H594" i="6"/>
  <c r="H593" i="6"/>
  <c r="H592" i="6"/>
  <c r="H591" i="6"/>
  <c r="H590" i="6"/>
  <c r="H589" i="6"/>
  <c r="H584" i="6"/>
  <c r="H583" i="6"/>
  <c r="H582" i="6"/>
  <c r="H581" i="6"/>
  <c r="H580" i="6"/>
  <c r="H579" i="6"/>
  <c r="H578" i="6"/>
  <c r="H577" i="6"/>
  <c r="H576" i="6"/>
  <c r="H575" i="6"/>
  <c r="H574" i="6"/>
  <c r="H573" i="6"/>
  <c r="H569" i="6"/>
  <c r="H568" i="6"/>
  <c r="H567" i="6"/>
  <c r="H566" i="6"/>
  <c r="H565" i="6"/>
  <c r="H564" i="6"/>
  <c r="H563" i="6"/>
  <c r="H562" i="6"/>
  <c r="H561" i="6"/>
  <c r="H560" i="6"/>
  <c r="H559" i="6"/>
  <c r="H558" i="6"/>
  <c r="H554" i="6"/>
  <c r="H553" i="6"/>
  <c r="H552" i="6"/>
  <c r="H551" i="6"/>
  <c r="H550" i="6"/>
  <c r="H549" i="6"/>
  <c r="H548" i="6"/>
  <c r="H547" i="6"/>
  <c r="H546" i="6"/>
  <c r="H545" i="6"/>
  <c r="H544" i="6"/>
  <c r="H543" i="6"/>
  <c r="H539" i="6"/>
  <c r="H538" i="6"/>
  <c r="H537" i="6"/>
  <c r="H536" i="6"/>
  <c r="H535" i="6"/>
  <c r="H534" i="6"/>
  <c r="H533" i="6"/>
  <c r="H532" i="6"/>
  <c r="H531" i="6"/>
  <c r="H530" i="6"/>
  <c r="H529" i="6"/>
  <c r="H528" i="6"/>
  <c r="H523" i="6"/>
  <c r="H522" i="6"/>
  <c r="H521" i="6"/>
  <c r="H520" i="6"/>
  <c r="H519" i="6"/>
  <c r="H518" i="6"/>
  <c r="H517" i="6"/>
  <c r="H516" i="6"/>
  <c r="H515" i="6"/>
  <c r="H514" i="6"/>
  <c r="H513" i="6"/>
  <c r="H512" i="6"/>
  <c r="H508" i="6"/>
  <c r="H507" i="6"/>
  <c r="H506" i="6"/>
  <c r="H505" i="6"/>
  <c r="H504" i="6"/>
  <c r="H503" i="6"/>
  <c r="H502" i="6"/>
  <c r="H501" i="6"/>
  <c r="H500" i="6"/>
  <c r="H499" i="6"/>
  <c r="H498" i="6"/>
  <c r="H497" i="6"/>
  <c r="H493" i="6"/>
  <c r="H492" i="6"/>
  <c r="H491" i="6"/>
  <c r="H490" i="6"/>
  <c r="H489" i="6"/>
  <c r="H488" i="6"/>
  <c r="H487" i="6"/>
  <c r="H486" i="6"/>
  <c r="H485" i="6"/>
  <c r="H484" i="6"/>
  <c r="H483" i="6"/>
  <c r="H482" i="6"/>
  <c r="H478" i="6"/>
  <c r="H477" i="6"/>
  <c r="H476" i="6"/>
  <c r="H475" i="6"/>
  <c r="H474" i="6"/>
  <c r="H473" i="6"/>
  <c r="H472" i="6"/>
  <c r="H471" i="6"/>
  <c r="H470" i="6"/>
  <c r="H469" i="6"/>
  <c r="H468" i="6"/>
  <c r="H467" i="6"/>
  <c r="H463" i="6"/>
  <c r="H462" i="6"/>
  <c r="H461" i="6"/>
  <c r="H460" i="6"/>
  <c r="H459" i="6"/>
  <c r="H458" i="6"/>
  <c r="H454" i="6"/>
  <c r="H453" i="6"/>
  <c r="H452" i="6"/>
  <c r="H451" i="6"/>
  <c r="H450" i="6"/>
  <c r="H449" i="6"/>
  <c r="H445" i="6"/>
  <c r="H444" i="6"/>
  <c r="H443" i="6"/>
  <c r="H442" i="6"/>
  <c r="H441" i="6"/>
  <c r="H440" i="6"/>
  <c r="H436" i="6"/>
  <c r="H435" i="6"/>
  <c r="H434" i="6"/>
  <c r="H433" i="6"/>
  <c r="H432" i="6"/>
  <c r="H431" i="6"/>
  <c r="O428" i="6"/>
  <c r="O427" i="6"/>
  <c r="O426" i="6"/>
  <c r="O425" i="6"/>
  <c r="O424" i="6"/>
  <c r="O423" i="6"/>
  <c r="O422" i="6"/>
  <c r="O421" i="6"/>
  <c r="O420" i="6"/>
  <c r="O419" i="6"/>
  <c r="O418" i="6"/>
  <c r="O417" i="6"/>
  <c r="O413" i="6"/>
  <c r="O412" i="6"/>
  <c r="O411" i="6"/>
  <c r="O410" i="6"/>
  <c r="O409" i="6"/>
  <c r="O408" i="6"/>
  <c r="O407" i="6"/>
  <c r="O406" i="6"/>
  <c r="O405" i="6"/>
  <c r="O404" i="6"/>
  <c r="O403" i="6"/>
  <c r="O402" i="6"/>
  <c r="O398" i="6"/>
  <c r="O397" i="6"/>
  <c r="O396" i="6"/>
  <c r="O395" i="6"/>
  <c r="O394" i="6"/>
  <c r="O393" i="6"/>
  <c r="O392" i="6"/>
  <c r="O391" i="6"/>
  <c r="O390" i="6"/>
  <c r="O389" i="6"/>
  <c r="O388" i="6"/>
  <c r="O387" i="6"/>
  <c r="O383" i="6"/>
  <c r="O382" i="6"/>
  <c r="O381" i="6"/>
  <c r="O380" i="6"/>
  <c r="O379" i="6"/>
  <c r="O378" i="6"/>
  <c r="O377" i="6"/>
  <c r="O376" i="6"/>
  <c r="O375" i="6"/>
  <c r="O374" i="6"/>
  <c r="O373" i="6"/>
  <c r="O372" i="6"/>
  <c r="O367" i="6"/>
  <c r="J367" i="6"/>
  <c r="O366" i="6"/>
  <c r="J366" i="6"/>
  <c r="O365" i="6"/>
  <c r="J365" i="6"/>
  <c r="O364" i="6"/>
  <c r="J364" i="6"/>
  <c r="O363" i="6"/>
  <c r="J363" i="6"/>
  <c r="O362" i="6"/>
  <c r="O361" i="6"/>
  <c r="J361" i="6"/>
  <c r="O360" i="6"/>
  <c r="J360" i="6"/>
  <c r="O359" i="6"/>
  <c r="J359" i="6"/>
  <c r="O357" i="6"/>
  <c r="J357" i="6"/>
  <c r="O356" i="6"/>
  <c r="J356" i="6"/>
  <c r="O352" i="6"/>
  <c r="J352" i="6"/>
  <c r="O351" i="6"/>
  <c r="J351" i="6"/>
  <c r="O350" i="6"/>
  <c r="J350" i="6"/>
  <c r="O349" i="6"/>
  <c r="J349" i="6"/>
  <c r="O348" i="6"/>
  <c r="J348" i="6"/>
  <c r="O347" i="6"/>
  <c r="J347" i="6"/>
  <c r="O346" i="6"/>
  <c r="J346" i="6"/>
  <c r="O345" i="6"/>
  <c r="J345" i="6"/>
  <c r="O344" i="6"/>
  <c r="J344" i="6"/>
  <c r="O342" i="6"/>
  <c r="J342" i="6"/>
  <c r="O341" i="6"/>
  <c r="J341" i="6"/>
  <c r="O337" i="6"/>
  <c r="M337" i="6"/>
  <c r="J337" i="6"/>
  <c r="O336" i="6"/>
  <c r="M336" i="6"/>
  <c r="J336" i="6"/>
  <c r="O335" i="6"/>
  <c r="M335" i="6"/>
  <c r="J335" i="6"/>
  <c r="O334" i="6"/>
  <c r="M334" i="6"/>
  <c r="J334" i="6"/>
  <c r="O333" i="6"/>
  <c r="M333" i="6"/>
  <c r="J333" i="6"/>
  <c r="O332" i="6"/>
  <c r="O331" i="6"/>
  <c r="J331" i="6"/>
  <c r="O330" i="6"/>
  <c r="M330" i="6"/>
  <c r="J330" i="6"/>
  <c r="O329" i="6"/>
  <c r="J329" i="6"/>
  <c r="O327" i="6"/>
  <c r="M327" i="6"/>
  <c r="J327" i="6"/>
  <c r="O326" i="6"/>
  <c r="M326" i="6"/>
  <c r="J326" i="6"/>
  <c r="J312" i="6"/>
  <c r="O311" i="6"/>
  <c r="J311" i="6"/>
  <c r="O306" i="6"/>
  <c r="O305" i="6"/>
  <c r="O304" i="6"/>
  <c r="O303" i="6"/>
  <c r="O302" i="6"/>
  <c r="O301" i="6"/>
  <c r="O300" i="6"/>
  <c r="O299" i="6"/>
  <c r="O298" i="6"/>
  <c r="O297" i="6"/>
  <c r="O296" i="6"/>
  <c r="O295" i="6"/>
  <c r="O291" i="6"/>
  <c r="O290" i="6"/>
  <c r="O289" i="6"/>
  <c r="O288" i="6"/>
  <c r="O287" i="6"/>
  <c r="O286" i="6"/>
  <c r="O285" i="6"/>
  <c r="O284" i="6"/>
  <c r="O283" i="6"/>
  <c r="O282" i="6"/>
  <c r="O281" i="6"/>
  <c r="O280" i="6"/>
  <c r="O277" i="6"/>
  <c r="O276" i="6"/>
  <c r="O275" i="6"/>
  <c r="O274" i="6"/>
  <c r="O273" i="6"/>
  <c r="O272" i="6"/>
  <c r="O271" i="6"/>
  <c r="O270" i="6"/>
  <c r="O269" i="6"/>
  <c r="O268" i="6"/>
  <c r="O267" i="6"/>
  <c r="O266" i="6"/>
  <c r="O263" i="6"/>
  <c r="O262" i="6"/>
  <c r="O261" i="6"/>
  <c r="O260" i="6"/>
  <c r="O259" i="6"/>
  <c r="O258" i="6"/>
  <c r="O257" i="6"/>
  <c r="O256" i="6"/>
  <c r="O255" i="6"/>
  <c r="O254" i="6"/>
  <c r="O253" i="6"/>
  <c r="O252" i="6"/>
  <c r="O247" i="6"/>
  <c r="O246" i="6"/>
  <c r="O245" i="6"/>
  <c r="O244" i="6"/>
  <c r="O243" i="6"/>
  <c r="O242" i="6"/>
  <c r="O238" i="6"/>
  <c r="O237" i="6"/>
  <c r="O236" i="6"/>
  <c r="O235" i="6"/>
  <c r="O234" i="6"/>
  <c r="O233" i="6"/>
  <c r="O229" i="6"/>
  <c r="O228" i="6"/>
  <c r="O227" i="6"/>
  <c r="O226" i="6"/>
  <c r="O225" i="6"/>
  <c r="O224" i="6"/>
  <c r="O220" i="6"/>
  <c r="O219" i="6"/>
  <c r="Q214" i="6"/>
  <c r="O218" i="6"/>
  <c r="O217" i="6"/>
  <c r="O216" i="6"/>
  <c r="O215" i="6"/>
  <c r="H186" i="6"/>
  <c r="H185" i="6"/>
  <c r="H181" i="6"/>
  <c r="H180" i="6"/>
  <c r="H179" i="6"/>
  <c r="H178" i="6"/>
  <c r="D178" i="6"/>
  <c r="H177" i="6"/>
  <c r="D177" i="6"/>
  <c r="H176" i="6"/>
  <c r="H175" i="6"/>
  <c r="H170" i="6"/>
  <c r="H165" i="6"/>
  <c r="H160" i="6"/>
  <c r="H155" i="6"/>
  <c r="H150" i="6"/>
  <c r="C144" i="6"/>
  <c r="D142" i="6"/>
  <c r="C135" i="6"/>
  <c r="H129" i="6"/>
  <c r="C126" i="6"/>
  <c r="H120" i="6"/>
  <c r="C117" i="6"/>
  <c r="H111" i="6"/>
  <c r="C108" i="6"/>
  <c r="H102" i="6"/>
  <c r="C99" i="6"/>
  <c r="H93" i="6"/>
  <c r="C90" i="6"/>
  <c r="H84" i="6"/>
  <c r="C81" i="6"/>
  <c r="H75" i="6"/>
  <c r="C72" i="6"/>
  <c r="H66" i="6"/>
  <c r="C63" i="6"/>
  <c r="H58" i="6"/>
  <c r="C55" i="6"/>
  <c r="D47" i="6"/>
  <c r="C47" i="6"/>
  <c r="G34" i="6"/>
  <c r="F19" i="6"/>
  <c r="F14" i="6"/>
  <c r="Y3" i="5"/>
  <c r="A3" i="5"/>
  <c r="Y2" i="5"/>
  <c r="A2" i="5"/>
  <c r="R4" i="5" s="1"/>
  <c r="U41" i="3"/>
  <c r="S40" i="3"/>
  <c r="S39" i="3"/>
  <c r="S38" i="3"/>
  <c r="S37" i="3"/>
  <c r="S36" i="3"/>
  <c r="S35" i="3"/>
  <c r="S34" i="3"/>
  <c r="S33" i="3"/>
  <c r="S32" i="3"/>
  <c r="S31" i="3"/>
  <c r="S29" i="3"/>
  <c r="S28" i="3"/>
  <c r="S27" i="3"/>
  <c r="S26" i="3"/>
  <c r="S25" i="3"/>
  <c r="S24" i="3"/>
  <c r="S23" i="3"/>
  <c r="S22" i="3"/>
  <c r="S21" i="3"/>
  <c r="S20" i="3"/>
  <c r="S19" i="3"/>
  <c r="S17" i="3"/>
  <c r="S16" i="3"/>
  <c r="S15" i="3"/>
  <c r="S14" i="3"/>
  <c r="S13" i="3"/>
  <c r="S12" i="3"/>
  <c r="S11" i="3"/>
  <c r="S10" i="3"/>
  <c r="T9" i="3"/>
  <c r="T41" i="3" s="1"/>
  <c r="S9" i="3"/>
  <c r="EQ39" i="2"/>
  <c r="EP39" i="2"/>
  <c r="EP40" i="2" s="1"/>
  <c r="EO39" i="2"/>
  <c r="EO40" i="2" s="1"/>
  <c r="EN39" i="2"/>
  <c r="EN40" i="2" s="1"/>
  <c r="EM39" i="2"/>
  <c r="EM40" i="2" s="1"/>
  <c r="EL39" i="2"/>
  <c r="EK39" i="2"/>
  <c r="EK40" i="2" s="1"/>
  <c r="EJ39" i="2"/>
  <c r="EI39" i="2"/>
  <c r="EH39" i="2"/>
  <c r="EG39" i="2"/>
  <c r="EF39" i="2"/>
  <c r="EE39" i="2"/>
  <c r="ED39" i="2"/>
  <c r="EC39" i="2"/>
  <c r="EB39" i="2"/>
  <c r="EA39" i="2"/>
  <c r="DZ39" i="2"/>
  <c r="DY39" i="2"/>
  <c r="DX39" i="2"/>
  <c r="DW39" i="2"/>
  <c r="DV39" i="2"/>
  <c r="DU39" i="2"/>
  <c r="DT39" i="2"/>
  <c r="DS39" i="2"/>
  <c r="DR39" i="2"/>
  <c r="DQ39" i="2"/>
  <c r="DP39" i="2"/>
  <c r="DO39" i="2"/>
  <c r="EQ38" i="2"/>
  <c r="EL38" i="2"/>
  <c r="EJ38" i="2"/>
  <c r="EI38" i="2"/>
  <c r="EH38" i="2"/>
  <c r="EH40" i="2" s="1"/>
  <c r="EG38" i="2"/>
  <c r="EF38" i="2"/>
  <c r="EE38" i="2"/>
  <c r="EE40" i="2" s="1"/>
  <c r="ED38" i="2"/>
  <c r="EC38" i="2"/>
  <c r="EB38" i="2"/>
  <c r="EB40" i="2" s="1"/>
  <c r="EA38" i="2"/>
  <c r="DZ38" i="2"/>
  <c r="DZ40" i="2" s="1"/>
  <c r="DY38" i="2"/>
  <c r="DX38" i="2"/>
  <c r="DX40" i="2" s="1"/>
  <c r="DW38" i="2"/>
  <c r="DV38" i="2"/>
  <c r="DU38" i="2"/>
  <c r="DT38" i="2"/>
  <c r="DS38" i="2"/>
  <c r="DR38" i="2"/>
  <c r="DR40" i="2" s="1"/>
  <c r="DQ38" i="2"/>
  <c r="DP38" i="2"/>
  <c r="DP40" i="2" s="1"/>
  <c r="DO38" i="2"/>
  <c r="DO40" i="2" s="1"/>
  <c r="DN37" i="2"/>
  <c r="DG37" i="2"/>
  <c r="DC37" i="2"/>
  <c r="DA37" i="2"/>
  <c r="ER37" i="2" s="1"/>
  <c r="CW37" i="2"/>
  <c r="CU37" i="2"/>
  <c r="CS37" i="2"/>
  <c r="CR37" i="2"/>
  <c r="CQ37" i="2"/>
  <c r="CP37" i="2"/>
  <c r="CO37" i="2"/>
  <c r="CN37" i="2"/>
  <c r="CM37" i="2"/>
  <c r="CL37" i="2"/>
  <c r="CK37" i="2"/>
  <c r="CJ37" i="2"/>
  <c r="CD37" i="2"/>
  <c r="CB37" i="2"/>
  <c r="BZ37" i="2"/>
  <c r="BY37" i="2"/>
  <c r="BX37" i="2"/>
  <c r="BW37" i="2"/>
  <c r="BV37" i="2"/>
  <c r="BU37" i="2"/>
  <c r="BT37" i="2"/>
  <c r="BS37" i="2"/>
  <c r="BR37" i="2"/>
  <c r="BP37" i="2"/>
  <c r="BO37" i="2"/>
  <c r="BN37" i="2"/>
  <c r="BM37" i="2"/>
  <c r="BL37" i="2"/>
  <c r="BK37" i="2"/>
  <c r="BJ37" i="2"/>
  <c r="BG37" i="2"/>
  <c r="BF37" i="2"/>
  <c r="AZ37" i="2"/>
  <c r="AY37" i="2"/>
  <c r="AX37" i="2"/>
  <c r="AW37" i="2"/>
  <c r="AV37" i="2"/>
  <c r="AU37" i="2"/>
  <c r="AT37" i="2"/>
  <c r="AS37" i="2"/>
  <c r="AR37" i="2"/>
  <c r="AQ37" i="2"/>
  <c r="AP37" i="2"/>
  <c r="AO37" i="2"/>
  <c r="AN37" i="2"/>
  <c r="AL37" i="2"/>
  <c r="AK37" i="2"/>
  <c r="AJ37" i="2"/>
  <c r="AI37" i="2"/>
  <c r="AH37" i="2"/>
  <c r="AG37" i="2"/>
  <c r="AF37" i="2"/>
  <c r="AE37" i="2"/>
  <c r="AD37" i="2"/>
  <c r="AC37" i="2"/>
  <c r="AB37" i="2"/>
  <c r="T37" i="2"/>
  <c r="S37" i="2"/>
  <c r="Q37" i="2"/>
  <c r="O37" i="2"/>
  <c r="N37" i="2"/>
  <c r="M37" i="2"/>
  <c r="K37" i="2"/>
  <c r="I37" i="2"/>
  <c r="H37" i="2"/>
  <c r="DN36" i="2"/>
  <c r="CS36" i="2"/>
  <c r="CR36" i="2"/>
  <c r="CQ36" i="2"/>
  <c r="CP36" i="2"/>
  <c r="CO36" i="2"/>
  <c r="CN36" i="2"/>
  <c r="CM36" i="2"/>
  <c r="CL36" i="2"/>
  <c r="CK36" i="2"/>
  <c r="CJ36" i="2"/>
  <c r="CD36" i="2"/>
  <c r="CC36" i="2"/>
  <c r="CB36" i="2"/>
  <c r="CA36" i="2"/>
  <c r="BZ36" i="2"/>
  <c r="BY36" i="2"/>
  <c r="BX36" i="2"/>
  <c r="BW36" i="2"/>
  <c r="BV36" i="2"/>
  <c r="BU36" i="2"/>
  <c r="BT36" i="2"/>
  <c r="BS36" i="2"/>
  <c r="BR36" i="2"/>
  <c r="BQ36" i="2"/>
  <c r="BP36" i="2"/>
  <c r="BO36" i="2"/>
  <c r="BN36" i="2"/>
  <c r="BM36" i="2"/>
  <c r="BL36" i="2"/>
  <c r="BK36" i="2"/>
  <c r="BJ36" i="2"/>
  <c r="BI36" i="2"/>
  <c r="BH36" i="2"/>
  <c r="BG36" i="2"/>
  <c r="BF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S36" i="2"/>
  <c r="Q36" i="2"/>
  <c r="P36" i="2"/>
  <c r="O36" i="2"/>
  <c r="N36" i="2"/>
  <c r="M36" i="2"/>
  <c r="K36" i="2"/>
  <c r="I36" i="2"/>
  <c r="H36" i="2"/>
  <c r="ES35" i="2"/>
  <c r="DI35" i="2"/>
  <c r="BI35" i="2"/>
  <c r="BH35" i="2"/>
  <c r="BH39" i="2" s="1"/>
  <c r="BH40" i="2" s="1"/>
  <c r="BC35" i="2"/>
  <c r="BE35" i="2" s="1"/>
  <c r="AM35" i="2"/>
  <c r="BA35" i="2" s="1"/>
  <c r="BD35" i="2" s="1"/>
  <c r="ES34" i="2"/>
  <c r="DI34" i="2"/>
  <c r="CG34" i="2"/>
  <c r="CI34" i="2" s="1"/>
  <c r="CF34" i="2"/>
  <c r="CE34" i="2"/>
  <c r="CH34" i="2" s="1"/>
  <c r="BC34" i="2"/>
  <c r="BE34" i="2" s="1"/>
  <c r="BB34" i="2"/>
  <c r="BA34" i="2"/>
  <c r="ES33" i="2"/>
  <c r="CG33" i="2"/>
  <c r="CI33" i="2" s="1"/>
  <c r="CC33" i="2"/>
  <c r="CA33" i="2"/>
  <c r="BY33" i="2"/>
  <c r="BO33" i="2"/>
  <c r="BC33" i="2"/>
  <c r="BE33" i="2" s="1"/>
  <c r="AY33" i="2"/>
  <c r="AU33" i="2"/>
  <c r="ES32" i="2"/>
  <c r="DI32" i="2"/>
  <c r="CG32" i="2"/>
  <c r="CC32" i="2"/>
  <c r="CC37" i="2" s="1"/>
  <c r="CA32" i="2"/>
  <c r="BQ32" i="2"/>
  <c r="BC32" i="2"/>
  <c r="AM32" i="2"/>
  <c r="BB32" i="2" s="1"/>
  <c r="P32" i="2"/>
  <c r="P37" i="2" s="1"/>
  <c r="CG31" i="2"/>
  <c r="CI31" i="2" s="1"/>
  <c r="CF31" i="2"/>
  <c r="CE31" i="2"/>
  <c r="BC31" i="2"/>
  <c r="BB31" i="2"/>
  <c r="BA31" i="2"/>
  <c r="T31" i="2"/>
  <c r="T36" i="2" s="1"/>
  <c r="R31" i="2"/>
  <c r="R36" i="2" s="1"/>
  <c r="EQ30" i="2"/>
  <c r="EL30" i="2"/>
  <c r="EJ30" i="2"/>
  <c r="EI30" i="2"/>
  <c r="EH30" i="2"/>
  <c r="EG30" i="2"/>
  <c r="EF30" i="2"/>
  <c r="EE30" i="2"/>
  <c r="ED30" i="2"/>
  <c r="EC30" i="2"/>
  <c r="EB30" i="2"/>
  <c r="EA30" i="2"/>
  <c r="DZ30" i="2"/>
  <c r="DY30" i="2"/>
  <c r="DX30" i="2"/>
  <c r="DW30" i="2"/>
  <c r="DV30" i="2"/>
  <c r="DU30" i="2"/>
  <c r="DT30" i="2"/>
  <c r="DS30" i="2"/>
  <c r="DR30" i="2"/>
  <c r="DQ30" i="2"/>
  <c r="DP30" i="2"/>
  <c r="DO30" i="2"/>
  <c r="DN30" i="2"/>
  <c r="CY30" i="2"/>
  <c r="CW30" i="2"/>
  <c r="CU30" i="2"/>
  <c r="CS30" i="2"/>
  <c r="CR30" i="2"/>
  <c r="CQ30" i="2"/>
  <c r="CP30" i="2"/>
  <c r="CO30" i="2"/>
  <c r="CN30" i="2"/>
  <c r="CM30" i="2"/>
  <c r="CL30" i="2"/>
  <c r="CK30" i="2"/>
  <c r="CJ30" i="2"/>
  <c r="CD30" i="2"/>
  <c r="CB30" i="2"/>
  <c r="CA30" i="2"/>
  <c r="BZ30" i="2"/>
  <c r="BY30" i="2"/>
  <c r="BX30" i="2"/>
  <c r="BW30" i="2"/>
  <c r="BV30" i="2"/>
  <c r="BU30" i="2"/>
  <c r="BT30" i="2"/>
  <c r="BR30" i="2"/>
  <c r="BP30" i="2"/>
  <c r="BO30" i="2"/>
  <c r="BN30" i="2"/>
  <c r="BL30" i="2"/>
  <c r="BJ30" i="2"/>
  <c r="BI30" i="2"/>
  <c r="BH30" i="2"/>
  <c r="BG30" i="2"/>
  <c r="BF30" i="2"/>
  <c r="AZ30" i="2"/>
  <c r="AY30" i="2"/>
  <c r="AX30" i="2"/>
  <c r="AW30" i="2"/>
  <c r="AV30" i="2"/>
  <c r="AT30" i="2"/>
  <c r="AS30" i="2"/>
  <c r="AR30" i="2"/>
  <c r="AQ30" i="2"/>
  <c r="AP30" i="2"/>
  <c r="AO30" i="2"/>
  <c r="AN30" i="2"/>
  <c r="AL30" i="2"/>
  <c r="AK30" i="2"/>
  <c r="AJ30" i="2"/>
  <c r="AI30" i="2"/>
  <c r="AH30" i="2"/>
  <c r="AG30" i="2"/>
  <c r="AF30" i="2"/>
  <c r="AE30" i="2"/>
  <c r="AD30" i="2"/>
  <c r="AC30" i="2"/>
  <c r="AB30" i="2"/>
  <c r="AA30" i="2"/>
  <c r="T30" i="2"/>
  <c r="S30" i="2"/>
  <c r="R30" i="2"/>
  <c r="Q30" i="2"/>
  <c r="O30" i="2"/>
  <c r="N30" i="2"/>
  <c r="M30" i="2"/>
  <c r="L30" i="2"/>
  <c r="L32" i="2" s="1"/>
  <c r="L38" i="2" s="1"/>
  <c r="L40" i="2" s="1"/>
  <c r="K30" i="2"/>
  <c r="J30" i="2"/>
  <c r="J32" i="2" s="1"/>
  <c r="I30" i="2"/>
  <c r="H30" i="2"/>
  <c r="EQ29" i="2"/>
  <c r="EL29" i="2"/>
  <c r="EJ29" i="2"/>
  <c r="EI29" i="2"/>
  <c r="EH29" i="2"/>
  <c r="EG29" i="2"/>
  <c r="EF29" i="2"/>
  <c r="EE29" i="2"/>
  <c r="ED29" i="2"/>
  <c r="EC29" i="2"/>
  <c r="EB29" i="2"/>
  <c r="EA29" i="2"/>
  <c r="DZ29" i="2"/>
  <c r="DY29" i="2"/>
  <c r="DX29" i="2"/>
  <c r="DW29" i="2"/>
  <c r="DV29" i="2"/>
  <c r="DU29" i="2"/>
  <c r="DT29" i="2"/>
  <c r="DS29" i="2"/>
  <c r="DR29" i="2"/>
  <c r="DQ29" i="2"/>
  <c r="DP29" i="2"/>
  <c r="DO29" i="2"/>
  <c r="DN29" i="2"/>
  <c r="CU29" i="2"/>
  <c r="CS29" i="2"/>
  <c r="CR29" i="2"/>
  <c r="CQ29" i="2"/>
  <c r="CP29" i="2"/>
  <c r="CO29" i="2"/>
  <c r="CN29" i="2"/>
  <c r="CM29" i="2"/>
  <c r="CL29" i="2"/>
  <c r="CK29" i="2"/>
  <c r="CJ29" i="2"/>
  <c r="CD29" i="2"/>
  <c r="CC29" i="2"/>
  <c r="CB29" i="2"/>
  <c r="CA29" i="2"/>
  <c r="BZ29" i="2"/>
  <c r="BY29" i="2"/>
  <c r="BX29" i="2"/>
  <c r="BW29" i="2"/>
  <c r="BV29" i="2"/>
  <c r="BU29" i="2"/>
  <c r="BT29" i="2"/>
  <c r="BS29" i="2"/>
  <c r="BR29" i="2"/>
  <c r="BQ29" i="2"/>
  <c r="BP29" i="2"/>
  <c r="BO29" i="2"/>
  <c r="BN29" i="2"/>
  <c r="BM29" i="2"/>
  <c r="BL29" i="2"/>
  <c r="BK29" i="2"/>
  <c r="BJ29" i="2"/>
  <c r="BI29" i="2"/>
  <c r="BH29" i="2"/>
  <c r="BG29" i="2"/>
  <c r="BF29" i="2"/>
  <c r="AZ29" i="2"/>
  <c r="AY29" i="2"/>
  <c r="AX29" i="2"/>
  <c r="AW29" i="2"/>
  <c r="AV29" i="2"/>
  <c r="AU29" i="2"/>
  <c r="AT29" i="2"/>
  <c r="AS29" i="2"/>
  <c r="AR29" i="2"/>
  <c r="AQ29" i="2"/>
  <c r="AP29" i="2"/>
  <c r="AO29" i="2"/>
  <c r="AN29" i="2"/>
  <c r="AM29" i="2"/>
  <c r="AL29" i="2"/>
  <c r="AK29" i="2"/>
  <c r="AJ29" i="2"/>
  <c r="AI29" i="2"/>
  <c r="AH29" i="2"/>
  <c r="AG29" i="2"/>
  <c r="AF29" i="2"/>
  <c r="AE29" i="2"/>
  <c r="AD29" i="2"/>
  <c r="AC29" i="2"/>
  <c r="AB29" i="2"/>
  <c r="S29" i="2"/>
  <c r="R29" i="2"/>
  <c r="Q29" i="2"/>
  <c r="P29" i="2"/>
  <c r="O29" i="2"/>
  <c r="N29" i="2"/>
  <c r="M29" i="2"/>
  <c r="L29" i="2"/>
  <c r="L31" i="2" s="1"/>
  <c r="L36" i="2" s="1"/>
  <c r="K29" i="2"/>
  <c r="J29" i="2"/>
  <c r="J31" i="2" s="1"/>
  <c r="J36" i="2" s="1"/>
  <c r="I29" i="2"/>
  <c r="H29" i="2"/>
  <c r="G29" i="2"/>
  <c r="DM28" i="2"/>
  <c r="CG28" i="2"/>
  <c r="CI28" i="2" s="1"/>
  <c r="BS28" i="2"/>
  <c r="BS30" i="2" s="1"/>
  <c r="BQ28" i="2"/>
  <c r="BQ39" i="2" s="1"/>
  <c r="BM28" i="2"/>
  <c r="BM30" i="2" s="1"/>
  <c r="BK28" i="2"/>
  <c r="BK30" i="2" s="1"/>
  <c r="BC28" i="2"/>
  <c r="BE28" i="2" s="1"/>
  <c r="AM28" i="2"/>
  <c r="DL27" i="2"/>
  <c r="CG27" i="2"/>
  <c r="CI27" i="2" s="1"/>
  <c r="CF27" i="2"/>
  <c r="CE27" i="2"/>
  <c r="CH27" i="2" s="1"/>
  <c r="BC27" i="2"/>
  <c r="BE27" i="2" s="1"/>
  <c r="BB27" i="2"/>
  <c r="BA27" i="2"/>
  <c r="BD27" i="2" s="1"/>
  <c r="CW26" i="2"/>
  <c r="DJ26" i="2" s="1"/>
  <c r="CG26" i="2"/>
  <c r="CI26" i="2" s="1"/>
  <c r="CC26" i="2"/>
  <c r="CA26" i="2"/>
  <c r="CF26" i="2" s="1"/>
  <c r="BE26" i="2"/>
  <c r="BC26" i="2"/>
  <c r="AY26" i="2"/>
  <c r="AU26" i="2"/>
  <c r="ES25" i="2"/>
  <c r="CG25" i="2"/>
  <c r="CI25" i="2" s="1"/>
  <c r="CC25" i="2"/>
  <c r="BE25" i="2"/>
  <c r="BC25" i="2"/>
  <c r="AU25" i="2"/>
  <c r="AU30" i="2" s="1"/>
  <c r="AM25" i="2"/>
  <c r="AM38" i="2" s="1"/>
  <c r="P25" i="2"/>
  <c r="P30" i="2" s="1"/>
  <c r="CG24" i="2"/>
  <c r="CF24" i="2"/>
  <c r="CE24" i="2"/>
  <c r="CH24" i="2" s="1"/>
  <c r="BC24" i="2"/>
  <c r="BC29" i="2" s="1"/>
  <c r="BB24" i="2"/>
  <c r="BA24" i="2"/>
  <c r="T24" i="2"/>
  <c r="T29" i="2" s="1"/>
  <c r="EQ23" i="2"/>
  <c r="EP23" i="2"/>
  <c r="EO23" i="2"/>
  <c r="EN23" i="2"/>
  <c r="EM23" i="2"/>
  <c r="EL23" i="2"/>
  <c r="EK23" i="2"/>
  <c r="EJ23" i="2"/>
  <c r="EI23" i="2"/>
  <c r="EH23" i="2"/>
  <c r="EG23" i="2"/>
  <c r="EF23" i="2"/>
  <c r="EE23" i="2"/>
  <c r="ED23" i="2"/>
  <c r="EC23" i="2"/>
  <c r="EB23" i="2"/>
  <c r="EA23" i="2"/>
  <c r="DZ23" i="2"/>
  <c r="DY23" i="2"/>
  <c r="DX23" i="2"/>
  <c r="DW23" i="2"/>
  <c r="DV23" i="2"/>
  <c r="DU23" i="2"/>
  <c r="DT23" i="2"/>
  <c r="DS23" i="2"/>
  <c r="DR23" i="2"/>
  <c r="DQ23" i="2"/>
  <c r="DP23" i="2"/>
  <c r="DO23" i="2"/>
  <c r="DN23" i="2"/>
  <c r="DG23" i="2"/>
  <c r="DC23" i="2"/>
  <c r="CY23" i="2"/>
  <c r="CW23" i="2"/>
  <c r="CR23" i="2"/>
  <c r="CP23" i="2"/>
  <c r="CO23" i="2"/>
  <c r="CN23" i="2"/>
  <c r="CL23" i="2"/>
  <c r="CK23" i="2"/>
  <c r="CJ23" i="2"/>
  <c r="CD23" i="2"/>
  <c r="CB23" i="2"/>
  <c r="BZ23" i="2"/>
  <c r="BY23" i="2"/>
  <c r="BX23" i="2"/>
  <c r="BW23" i="2"/>
  <c r="BV23" i="2"/>
  <c r="BU23" i="2"/>
  <c r="BT23" i="2"/>
  <c r="BR23" i="2"/>
  <c r="BQ23" i="2"/>
  <c r="BP23" i="2"/>
  <c r="BO23" i="2"/>
  <c r="BN23" i="2"/>
  <c r="BL23" i="2"/>
  <c r="BK23" i="2"/>
  <c r="BJ23" i="2"/>
  <c r="BI23" i="2"/>
  <c r="BH23" i="2"/>
  <c r="BG23" i="2"/>
  <c r="AZ23" i="2"/>
  <c r="AY23" i="2"/>
  <c r="AX23" i="2"/>
  <c r="AW23" i="2"/>
  <c r="AV23" i="2"/>
  <c r="AU23" i="2"/>
  <c r="AT23" i="2"/>
  <c r="AR23" i="2"/>
  <c r="AP23" i="2"/>
  <c r="AN23" i="2"/>
  <c r="AM23" i="2"/>
  <c r="AL23" i="2"/>
  <c r="AK23" i="2"/>
  <c r="AJ23" i="2"/>
  <c r="AI23" i="2"/>
  <c r="AH23" i="2"/>
  <c r="AG23" i="2"/>
  <c r="AF23" i="2"/>
  <c r="AE23" i="2"/>
  <c r="AD23" i="2"/>
  <c r="AC23" i="2"/>
  <c r="AB23" i="2"/>
  <c r="T23" i="2"/>
  <c r="S23" i="2"/>
  <c r="Q23" i="2"/>
  <c r="O23" i="2"/>
  <c r="N23" i="2"/>
  <c r="M23" i="2"/>
  <c r="K23" i="2"/>
  <c r="I23" i="2"/>
  <c r="H23" i="2"/>
  <c r="EQ22" i="2"/>
  <c r="EL22" i="2"/>
  <c r="EJ22" i="2"/>
  <c r="EI22" i="2"/>
  <c r="EH22" i="2"/>
  <c r="EG22" i="2"/>
  <c r="EF22" i="2"/>
  <c r="EE22" i="2"/>
  <c r="ED22" i="2"/>
  <c r="EC22" i="2"/>
  <c r="EB22" i="2"/>
  <c r="EA22" i="2"/>
  <c r="DZ22" i="2"/>
  <c r="DY22" i="2"/>
  <c r="DX22" i="2"/>
  <c r="DW22" i="2"/>
  <c r="DV22" i="2"/>
  <c r="DU22" i="2"/>
  <c r="DT22" i="2"/>
  <c r="DS22" i="2"/>
  <c r="DR22" i="2"/>
  <c r="DQ22" i="2"/>
  <c r="DP22" i="2"/>
  <c r="DO22" i="2"/>
  <c r="DN22" i="2"/>
  <c r="CU22" i="2"/>
  <c r="CS22" i="2"/>
  <c r="CR22" i="2"/>
  <c r="CQ22" i="2"/>
  <c r="CP22" i="2"/>
  <c r="CO22" i="2"/>
  <c r="CN22" i="2"/>
  <c r="CM22" i="2"/>
  <c r="CL22" i="2"/>
  <c r="CK22" i="2"/>
  <c r="CJ22" i="2"/>
  <c r="CD22" i="2"/>
  <c r="CC22" i="2"/>
  <c r="CB22" i="2"/>
  <c r="CA22" i="2"/>
  <c r="BZ22" i="2"/>
  <c r="BY22" i="2"/>
  <c r="BX22" i="2"/>
  <c r="BW22" i="2"/>
  <c r="BV22" i="2"/>
  <c r="BU22" i="2"/>
  <c r="BT22" i="2"/>
  <c r="BS22" i="2"/>
  <c r="BR22" i="2"/>
  <c r="BQ22" i="2"/>
  <c r="BP22" i="2"/>
  <c r="BO22" i="2"/>
  <c r="BN22" i="2"/>
  <c r="BM22" i="2"/>
  <c r="BL22" i="2"/>
  <c r="BK22" i="2"/>
  <c r="BJ22" i="2"/>
  <c r="BI22" i="2"/>
  <c r="BH22" i="2"/>
  <c r="BG22" i="2"/>
  <c r="BF22" i="2"/>
  <c r="AZ22" i="2"/>
  <c r="AY22" i="2"/>
  <c r="AX22" i="2"/>
  <c r="AW22" i="2"/>
  <c r="AV22" i="2"/>
  <c r="AU22" i="2"/>
  <c r="AT22" i="2"/>
  <c r="AS22" i="2"/>
  <c r="AR22" i="2"/>
  <c r="AQ22" i="2"/>
  <c r="AP22" i="2"/>
  <c r="AO22" i="2"/>
  <c r="AN22" i="2"/>
  <c r="AM22" i="2"/>
  <c r="AL22" i="2"/>
  <c r="AK22" i="2"/>
  <c r="AJ22" i="2"/>
  <c r="AI22" i="2"/>
  <c r="AH22" i="2"/>
  <c r="AG22" i="2"/>
  <c r="AF22" i="2"/>
  <c r="AE22" i="2"/>
  <c r="AD22" i="2"/>
  <c r="AC22" i="2"/>
  <c r="AB22" i="2"/>
  <c r="R22" i="2"/>
  <c r="P22" i="2"/>
  <c r="CS23" i="2"/>
  <c r="CQ23" i="2"/>
  <c r="CG21" i="2"/>
  <c r="CI21" i="2" s="1"/>
  <c r="BS21" i="2"/>
  <c r="BM21" i="2"/>
  <c r="BM23" i="2" s="1"/>
  <c r="BF21" i="2"/>
  <c r="BF39" i="2" s="1"/>
  <c r="BF40" i="2" s="1"/>
  <c r="BC21" i="2"/>
  <c r="BE21" i="2" s="1"/>
  <c r="AQ21" i="2"/>
  <c r="AQ39" i="2" s="1"/>
  <c r="CG20" i="2"/>
  <c r="CI20" i="2" s="1"/>
  <c r="CF20" i="2"/>
  <c r="CE20" i="2"/>
  <c r="CH20" i="2" s="1"/>
  <c r="BD20" i="2"/>
  <c r="BC20" i="2"/>
  <c r="BE20" i="2" s="1"/>
  <c r="CG19" i="2"/>
  <c r="CI19" i="2" s="1"/>
  <c r="CC19" i="2"/>
  <c r="CA19" i="2"/>
  <c r="BO19" i="2"/>
  <c r="BC19" i="2"/>
  <c r="BE19" i="2" s="1"/>
  <c r="AY19" i="2"/>
  <c r="AS19" i="2"/>
  <c r="ES18" i="2"/>
  <c r="CG18" i="2"/>
  <c r="CC18" i="2"/>
  <c r="CC23" i="2" s="1"/>
  <c r="CA18" i="2"/>
  <c r="CA23" i="2" s="1"/>
  <c r="BS18" i="2"/>
  <c r="BC18" i="2"/>
  <c r="AS18" i="2"/>
  <c r="AS23" i="2" s="1"/>
  <c r="AO18" i="2"/>
  <c r="AO38" i="2" s="1"/>
  <c r="AO40" i="2" s="1"/>
  <c r="P18" i="2"/>
  <c r="P23" i="2" s="1"/>
  <c r="CG17" i="2"/>
  <c r="CF17" i="2"/>
  <c r="CE17" i="2"/>
  <c r="CH17" i="2" s="1"/>
  <c r="BC17" i="2"/>
  <c r="BC22" i="2" s="1"/>
  <c r="BB17" i="2"/>
  <c r="BB22" i="2" s="1"/>
  <c r="BA17" i="2"/>
  <c r="BA22" i="2" s="1"/>
  <c r="T17" i="2"/>
  <c r="T22" i="2" s="1"/>
  <c r="EQ16" i="2"/>
  <c r="EP16" i="2"/>
  <c r="EO16" i="2"/>
  <c r="EN16" i="2"/>
  <c r="EM16" i="2"/>
  <c r="EL16" i="2"/>
  <c r="EK16" i="2"/>
  <c r="EJ16" i="2"/>
  <c r="EI16" i="2"/>
  <c r="EH16" i="2"/>
  <c r="EG16" i="2"/>
  <c r="EF16" i="2"/>
  <c r="EE16" i="2"/>
  <c r="ED16" i="2"/>
  <c r="EC16" i="2"/>
  <c r="EB16" i="2"/>
  <c r="EA16" i="2"/>
  <c r="DZ16" i="2"/>
  <c r="DY16" i="2"/>
  <c r="DX16" i="2"/>
  <c r="DW16" i="2"/>
  <c r="DV16" i="2"/>
  <c r="DU16" i="2"/>
  <c r="DT16" i="2"/>
  <c r="DS16" i="2"/>
  <c r="DR16" i="2"/>
  <c r="DQ16" i="2"/>
  <c r="DP16" i="2"/>
  <c r="DO16" i="2"/>
  <c r="DN15" i="2"/>
  <c r="DG15" i="2"/>
  <c r="DC15" i="2"/>
  <c r="CY15" i="2"/>
  <c r="CW15" i="2"/>
  <c r="CU15" i="2"/>
  <c r="CS15" i="2"/>
  <c r="CQ15" i="2"/>
  <c r="CP15" i="2"/>
  <c r="CO15" i="2"/>
  <c r="CN15" i="2"/>
  <c r="CM15" i="2"/>
  <c r="CL15" i="2"/>
  <c r="CK15" i="2"/>
  <c r="CJ15" i="2"/>
  <c r="CD15" i="2"/>
  <c r="CC15" i="2"/>
  <c r="CB15" i="2"/>
  <c r="CA15" i="2"/>
  <c r="BZ15" i="2"/>
  <c r="BY15" i="2"/>
  <c r="BX15" i="2"/>
  <c r="BW15" i="2"/>
  <c r="BV15" i="2"/>
  <c r="BU15" i="2"/>
  <c r="BT15" i="2"/>
  <c r="BS15" i="2"/>
  <c r="BR15" i="2"/>
  <c r="BQ15" i="2"/>
  <c r="BP15" i="2"/>
  <c r="BO15" i="2"/>
  <c r="BN15" i="2"/>
  <c r="BM15" i="2"/>
  <c r="BL15" i="2"/>
  <c r="BK15" i="2"/>
  <c r="BJ15" i="2"/>
  <c r="BI15" i="2"/>
  <c r="BH15" i="2"/>
  <c r="BG15" i="2"/>
  <c r="BF15" i="2"/>
  <c r="AZ15" i="2"/>
  <c r="AY15" i="2"/>
  <c r="AX15" i="2"/>
  <c r="AW15" i="2"/>
  <c r="AV15" i="2"/>
  <c r="AU15" i="2"/>
  <c r="AT15" i="2"/>
  <c r="AS15" i="2"/>
  <c r="AR15" i="2"/>
  <c r="AQ15" i="2"/>
  <c r="AP15" i="2"/>
  <c r="AO15" i="2"/>
  <c r="AN15" i="2"/>
  <c r="AM15" i="2"/>
  <c r="AL15" i="2"/>
  <c r="AK15" i="2"/>
  <c r="AJ15" i="2"/>
  <c r="AI15" i="2"/>
  <c r="AH15" i="2"/>
  <c r="AG15" i="2"/>
  <c r="AF15" i="2"/>
  <c r="AE15" i="2"/>
  <c r="AD15" i="2"/>
  <c r="AC15" i="2"/>
  <c r="AB15" i="2"/>
  <c r="S15" i="2"/>
  <c r="Q15" i="2"/>
  <c r="P15" i="2"/>
  <c r="O15" i="2"/>
  <c r="N15" i="2"/>
  <c r="M15" i="2"/>
  <c r="L15" i="2"/>
  <c r="K15" i="2"/>
  <c r="J15" i="2"/>
  <c r="I15" i="2"/>
  <c r="H15" i="2"/>
  <c r="G15" i="2"/>
  <c r="BS14" i="2"/>
  <c r="BM14" i="2"/>
  <c r="BL14" i="2"/>
  <c r="BK14" i="2"/>
  <c r="BC14" i="2"/>
  <c r="BB14" i="2"/>
  <c r="BA14" i="2"/>
  <c r="T14" i="2"/>
  <c r="T39" i="2" s="1"/>
  <c r="CH13" i="2"/>
  <c r="EU13" i="2" s="1"/>
  <c r="CG13" i="2"/>
  <c r="CF13" i="2"/>
  <c r="BC13" i="2"/>
  <c r="BE13" i="2" s="1"/>
  <c r="BB13" i="2"/>
  <c r="BA13" i="2"/>
  <c r="BD13" i="2" s="1"/>
  <c r="T13" i="2"/>
  <c r="CG12" i="2"/>
  <c r="CI12" i="2" s="1"/>
  <c r="CC12" i="2"/>
  <c r="CA12" i="2"/>
  <c r="BY12" i="2"/>
  <c r="BQ12" i="2"/>
  <c r="BO12" i="2"/>
  <c r="BC12" i="2"/>
  <c r="BE12" i="2" s="1"/>
  <c r="AY12" i="2"/>
  <c r="AU12" i="2"/>
  <c r="AS12" i="2"/>
  <c r="CG11" i="2"/>
  <c r="CC11" i="2"/>
  <c r="CA11" i="2"/>
  <c r="BY11" i="2"/>
  <c r="BS11" i="2"/>
  <c r="BE11" i="2"/>
  <c r="BC11" i="2"/>
  <c r="AU11" i="2"/>
  <c r="AS11" i="2"/>
  <c r="AQ11" i="2"/>
  <c r="N11" i="2"/>
  <c r="CG10" i="2"/>
  <c r="CF10" i="2"/>
  <c r="CE10" i="2"/>
  <c r="CE15" i="2" s="1"/>
  <c r="BC10" i="2"/>
  <c r="BC15" i="2" s="1"/>
  <c r="BB10" i="2"/>
  <c r="BB15" i="2" s="1"/>
  <c r="BA10" i="2"/>
  <c r="BA15" i="2" s="1"/>
  <c r="T10" i="2"/>
  <c r="T15" i="2" s="1"/>
  <c r="R10" i="2"/>
  <c r="R15" i="2" s="1"/>
  <c r="CJ17" i="1"/>
  <c r="CI17" i="1"/>
  <c r="CK17" i="1" s="1"/>
  <c r="CH17" i="1"/>
  <c r="CG17" i="1"/>
  <c r="BF17" i="1"/>
  <c r="BE17" i="1"/>
  <c r="BD17" i="1"/>
  <c r="BC17" i="1"/>
  <c r="S17" i="1"/>
  <c r="U17" i="1" s="1"/>
  <c r="W17" i="1" s="1"/>
  <c r="CI16" i="1"/>
  <c r="CK16" i="1" s="1"/>
  <c r="CE16" i="1"/>
  <c r="CJ16" i="1" s="1"/>
  <c r="BF16" i="1"/>
  <c r="BE16" i="1"/>
  <c r="BG16" i="1" s="1"/>
  <c r="BD16" i="1"/>
  <c r="BC16" i="1"/>
  <c r="U16" i="1"/>
  <c r="W16" i="1" s="1"/>
  <c r="CL15" i="1"/>
  <c r="CI15" i="1"/>
  <c r="CK15" i="1" s="1"/>
  <c r="CH15" i="1"/>
  <c r="CG15" i="1"/>
  <c r="BH15" i="1"/>
  <c r="CJ15" i="1" s="1"/>
  <c r="BF15" i="1"/>
  <c r="BE15" i="1"/>
  <c r="BG15" i="1" s="1"/>
  <c r="BD15" i="1"/>
  <c r="BC15" i="1"/>
  <c r="AD15" i="1"/>
  <c r="S15" i="1"/>
  <c r="U15" i="1" s="1"/>
  <c r="W15" i="1" s="1"/>
  <c r="Y15" i="1" s="1"/>
  <c r="CL14" i="1"/>
  <c r="CI14" i="1"/>
  <c r="CK14" i="1" s="1"/>
  <c r="EW14" i="1" s="1"/>
  <c r="CH14" i="1"/>
  <c r="CG14" i="1"/>
  <c r="BH14" i="1"/>
  <c r="CJ14" i="1" s="1"/>
  <c r="BE14" i="1"/>
  <c r="BD14" i="1"/>
  <c r="BC14" i="1"/>
  <c r="CL13" i="1"/>
  <c r="CI13" i="1"/>
  <c r="CH13" i="1"/>
  <c r="CG13" i="1"/>
  <c r="BE13" i="1"/>
  <c r="BD13" i="1"/>
  <c r="BC13" i="1"/>
  <c r="BF13" i="1" s="1"/>
  <c r="EV26" i="2" l="1"/>
  <c r="EX16" i="1"/>
  <c r="EW16" i="1"/>
  <c r="DI36" i="2"/>
  <c r="EV27" i="2"/>
  <c r="ET27" i="2"/>
  <c r="EV12" i="2"/>
  <c r="DT40" i="2"/>
  <c r="DV40" i="2"/>
  <c r="DK15" i="2"/>
  <c r="DJ22" i="2"/>
  <c r="DJ15" i="2"/>
  <c r="DJ29" i="2"/>
  <c r="DK29" i="2"/>
  <c r="DJ36" i="2"/>
  <c r="DK36" i="2"/>
  <c r="DI15" i="2"/>
  <c r="DK22" i="2"/>
  <c r="DM22" i="2" s="1"/>
  <c r="DW40" i="2"/>
  <c r="ES26" i="2"/>
  <c r="DI26" i="2"/>
  <c r="EX14" i="1"/>
  <c r="EX15" i="1"/>
  <c r="EW15" i="1"/>
  <c r="DI22" i="2"/>
  <c r="DI29" i="2"/>
  <c r="EF40" i="2"/>
  <c r="EU20" i="2"/>
  <c r="DI37" i="2"/>
  <c r="DL32" i="2"/>
  <c r="EU27" i="2"/>
  <c r="ES19" i="2"/>
  <c r="ES28" i="2"/>
  <c r="DM36" i="2"/>
  <c r="BC39" i="2"/>
  <c r="R5" i="5"/>
  <c r="DI39" i="2"/>
  <c r="BB33" i="2"/>
  <c r="DK39" i="2"/>
  <c r="DK16" i="2"/>
  <c r="ES16" i="2" s="1"/>
  <c r="BY16" i="2"/>
  <c r="BY38" i="2"/>
  <c r="BY40" i="2" s="1"/>
  <c r="BS39" i="2"/>
  <c r="BB19" i="2"/>
  <c r="ET20" i="2"/>
  <c r="J37" i="2"/>
  <c r="J38" i="2"/>
  <c r="J40" i="2" s="1"/>
  <c r="CC16" i="2"/>
  <c r="CC38" i="2"/>
  <c r="CC40" i="2" s="1"/>
  <c r="BD14" i="2"/>
  <c r="G20" i="2"/>
  <c r="AQ16" i="2"/>
  <c r="AQ38" i="2"/>
  <c r="AQ40" i="2" s="1"/>
  <c r="AS16" i="2"/>
  <c r="AS38" i="2"/>
  <c r="AS40" i="2" s="1"/>
  <c r="CI11" i="2"/>
  <c r="G11" i="2" s="1"/>
  <c r="CG38" i="2"/>
  <c r="N38" i="2"/>
  <c r="N40" i="2" s="1"/>
  <c r="N16" i="2"/>
  <c r="CE19" i="2"/>
  <c r="CH19" i="2" s="1"/>
  <c r="AM39" i="2"/>
  <c r="AM40" i="2" s="1"/>
  <c r="CF35" i="2"/>
  <c r="BI39" i="2"/>
  <c r="BI40" i="2" s="1"/>
  <c r="CA38" i="2"/>
  <c r="CA40" i="2" s="1"/>
  <c r="CA16" i="2"/>
  <c r="AU38" i="2"/>
  <c r="AU40" i="2" s="1"/>
  <c r="AU16" i="2"/>
  <c r="BC38" i="2"/>
  <c r="BC16" i="2"/>
  <c r="BK16" i="2"/>
  <c r="BK39" i="2"/>
  <c r="BK40" i="2" s="1"/>
  <c r="BL39" i="2"/>
  <c r="BL40" i="2" s="1"/>
  <c r="BL16" i="2"/>
  <c r="DJ38" i="2"/>
  <c r="BS38" i="2"/>
  <c r="BS16" i="2"/>
  <c r="BM16" i="2"/>
  <c r="BM39" i="2"/>
  <c r="BM40" i="2" s="1"/>
  <c r="DK38" i="2"/>
  <c r="BQ37" i="2"/>
  <c r="BQ38" i="2"/>
  <c r="BQ40" i="2" s="1"/>
  <c r="DM35" i="2"/>
  <c r="DI33" i="2"/>
  <c r="DL33" i="2" s="1"/>
  <c r="BA32" i="2"/>
  <c r="BA37" i="2" s="1"/>
  <c r="EJ40" i="2"/>
  <c r="BG13" i="1"/>
  <c r="CJ13" i="1" s="1"/>
  <c r="CE36" i="2"/>
  <c r="CF33" i="2"/>
  <c r="J15" i="1"/>
  <c r="BD12" i="2"/>
  <c r="BB26" i="2"/>
  <c r="BA33" i="2"/>
  <c r="BD33" i="2" s="1"/>
  <c r="CG14" i="2"/>
  <c r="CG16" i="2" s="1"/>
  <c r="BA25" i="2"/>
  <c r="BQ30" i="2"/>
  <c r="DK37" i="2"/>
  <c r="ES37" i="2" s="1"/>
  <c r="EL40" i="2"/>
  <c r="DL35" i="2"/>
  <c r="DL28" i="2"/>
  <c r="DL25" i="2"/>
  <c r="CG22" i="2"/>
  <c r="DM33" i="2"/>
  <c r="BC23" i="2"/>
  <c r="CG23" i="2"/>
  <c r="BC30" i="2"/>
  <c r="CF15" i="2"/>
  <c r="CF29" i="2"/>
  <c r="EA40" i="2"/>
  <c r="BD10" i="2"/>
  <c r="BB29" i="2"/>
  <c r="BE24" i="2"/>
  <c r="BD34" i="2"/>
  <c r="EU34" i="2" s="1"/>
  <c r="EQ40" i="2"/>
  <c r="DI38" i="2"/>
  <c r="BB35" i="2"/>
  <c r="BB37" i="2" s="1"/>
  <c r="CG15" i="2"/>
  <c r="P11" i="2"/>
  <c r="BA12" i="2"/>
  <c r="CE12" i="2"/>
  <c r="CH12" i="2" s="1"/>
  <c r="BB21" i="2"/>
  <c r="BB28" i="2"/>
  <c r="BA36" i="2"/>
  <c r="CF32" i="2"/>
  <c r="BA21" i="2"/>
  <c r="BD21" i="2" s="1"/>
  <c r="CF21" i="2"/>
  <c r="BB25" i="2"/>
  <c r="CE26" i="2"/>
  <c r="CH26" i="2" s="1"/>
  <c r="J14" i="1"/>
  <c r="BG17" i="1"/>
  <c r="EW17" i="1" s="1"/>
  <c r="DK23" i="2"/>
  <c r="CF19" i="2"/>
  <c r="BB36" i="2"/>
  <c r="AM37" i="2"/>
  <c r="CG16" i="1"/>
  <c r="BC36" i="2"/>
  <c r="CF12" i="2"/>
  <c r="BA19" i="2"/>
  <c r="BD19" i="2" s="1"/>
  <c r="CE21" i="2"/>
  <c r="CH21" i="2" s="1"/>
  <c r="CF22" i="2"/>
  <c r="CE22" i="2"/>
  <c r="BS23" i="2"/>
  <c r="BA29" i="2"/>
  <c r="BE31" i="2"/>
  <c r="DS40" i="2"/>
  <c r="EI40" i="2"/>
  <c r="CE29" i="2"/>
  <c r="CI36" i="2"/>
  <c r="ED40" i="2"/>
  <c r="CK13" i="1"/>
  <c r="BB12" i="2"/>
  <c r="CE14" i="2"/>
  <c r="BE17" i="2"/>
  <c r="BA18" i="2"/>
  <c r="BE18" i="2"/>
  <c r="CE18" i="2"/>
  <c r="CI18" i="2"/>
  <c r="CH22" i="2"/>
  <c r="CH29" i="2"/>
  <c r="CI30" i="2"/>
  <c r="DM25" i="2"/>
  <c r="BA26" i="2"/>
  <c r="BD26" i="2"/>
  <c r="CF11" i="2"/>
  <c r="CM23" i="2"/>
  <c r="ES21" i="2"/>
  <c r="CE28" i="2"/>
  <c r="CH28" i="2" s="1"/>
  <c r="L37" i="2"/>
  <c r="BA11" i="2"/>
  <c r="CH16" i="1"/>
  <c r="BE10" i="2"/>
  <c r="BB11" i="2"/>
  <c r="CE11" i="2"/>
  <c r="CF14" i="2"/>
  <c r="CI17" i="2"/>
  <c r="R18" i="2"/>
  <c r="R23" i="2" s="1"/>
  <c r="BB18" i="2"/>
  <c r="CF18" i="2"/>
  <c r="CU23" i="2"/>
  <c r="BF23" i="2"/>
  <c r="BE30" i="2"/>
  <c r="CG30" i="2"/>
  <c r="BD11" i="2"/>
  <c r="BE14" i="2"/>
  <c r="BD17" i="2"/>
  <c r="AO23" i="2"/>
  <c r="BD24" i="2"/>
  <c r="CG29" i="2"/>
  <c r="CI24" i="2"/>
  <c r="DM29" i="2" s="1"/>
  <c r="CF25" i="2"/>
  <c r="CE25" i="2"/>
  <c r="CF28" i="2"/>
  <c r="CC30" i="2"/>
  <c r="AQ23" i="2"/>
  <c r="AM30" i="2"/>
  <c r="CF36" i="2"/>
  <c r="CI32" i="2"/>
  <c r="DL34" i="2"/>
  <c r="ET34" i="2" s="1"/>
  <c r="CG35" i="2"/>
  <c r="CI35" i="2" s="1"/>
  <c r="DQ40" i="2"/>
  <c r="DU40" i="2"/>
  <c r="DY40" i="2"/>
  <c r="EC40" i="2"/>
  <c r="EG40" i="2"/>
  <c r="BD25" i="2"/>
  <c r="BA28" i="2"/>
  <c r="BD28" i="2" s="1"/>
  <c r="BD31" i="2"/>
  <c r="CA37" i="2"/>
  <c r="CE32" i="2"/>
  <c r="CG36" i="2"/>
  <c r="CE33" i="2"/>
  <c r="CH33" i="2" s="1"/>
  <c r="BH37" i="2"/>
  <c r="R32" i="2"/>
  <c r="R37" i="2" s="1"/>
  <c r="BC37" i="2"/>
  <c r="BE32" i="2"/>
  <c r="BI37" i="2"/>
  <c r="CH31" i="2"/>
  <c r="CH36" i="2" s="1"/>
  <c r="BD32" i="2"/>
  <c r="CE35" i="2"/>
  <c r="CH35" i="2" s="1"/>
  <c r="D4" i="5"/>
  <c r="D5" i="5" s="1"/>
  <c r="L4" i="5"/>
  <c r="L5" i="5" s="1"/>
  <c r="T4" i="5"/>
  <c r="T5" i="5" s="1"/>
  <c r="F4" i="5"/>
  <c r="F5" i="5" s="1"/>
  <c r="N4" i="5"/>
  <c r="N5" i="5" s="1"/>
  <c r="V4" i="5"/>
  <c r="V5" i="5" s="1"/>
  <c r="H4" i="5"/>
  <c r="H5" i="5" s="1"/>
  <c r="P4" i="5"/>
  <c r="P5" i="5" s="1"/>
  <c r="X4" i="5"/>
  <c r="X5" i="5" s="1"/>
  <c r="B4" i="5"/>
  <c r="B5" i="5" s="1"/>
  <c r="J4" i="5"/>
  <c r="J5" i="5" s="1"/>
  <c r="DN13" i="1" l="1"/>
  <c r="EW13" i="1"/>
  <c r="EV24" i="2"/>
  <c r="G18" i="2"/>
  <c r="DM30" i="2"/>
  <c r="EU12" i="2"/>
  <c r="DL26" i="2"/>
  <c r="ET26" i="2" s="1"/>
  <c r="ES29" i="2"/>
  <c r="ES36" i="2"/>
  <c r="ES15" i="2"/>
  <c r="DO13" i="1"/>
  <c r="EX17" i="1"/>
  <c r="ES22" i="2"/>
  <c r="ET33" i="2"/>
  <c r="DL30" i="2"/>
  <c r="EU31" i="2"/>
  <c r="EU17" i="2"/>
  <c r="EU24" i="2"/>
  <c r="EU26" i="2"/>
  <c r="EU28" i="2"/>
  <c r="EU33" i="2"/>
  <c r="EU19" i="2"/>
  <c r="EU21" i="2"/>
  <c r="EV11" i="2"/>
  <c r="EV20" i="2"/>
  <c r="G32" i="2"/>
  <c r="ET25" i="2"/>
  <c r="ET35" i="2"/>
  <c r="G35" i="2"/>
  <c r="EV35" i="2" s="1"/>
  <c r="EV19" i="2"/>
  <c r="EV33" i="2"/>
  <c r="ET28" i="2"/>
  <c r="ET32" i="2"/>
  <c r="EV13" i="2"/>
  <c r="EU35" i="2"/>
  <c r="DL36" i="2"/>
  <c r="ET36" i="2" s="1"/>
  <c r="BC40" i="2"/>
  <c r="ET22" i="2"/>
  <c r="G34" i="2"/>
  <c r="EV34" i="2" s="1"/>
  <c r="DI40" i="2"/>
  <c r="CF37" i="2"/>
  <c r="BS40" i="2"/>
  <c r="DK40" i="2"/>
  <c r="BD39" i="2"/>
  <c r="BE38" i="2"/>
  <c r="BB39" i="2"/>
  <c r="BE39" i="2"/>
  <c r="CE39" i="2"/>
  <c r="DM38" i="2"/>
  <c r="BD16" i="2"/>
  <c r="BA16" i="2"/>
  <c r="BA38" i="2"/>
  <c r="BE36" i="2"/>
  <c r="G31" i="2"/>
  <c r="EV31" i="2" s="1"/>
  <c r="G25" i="2"/>
  <c r="EV25" i="2" s="1"/>
  <c r="BE16" i="2"/>
  <c r="CF39" i="2"/>
  <c r="P16" i="2"/>
  <c r="P38" i="2"/>
  <c r="P40" i="2" s="1"/>
  <c r="CE16" i="2"/>
  <c r="CE38" i="2"/>
  <c r="DJ23" i="2"/>
  <c r="ES23" i="2" s="1"/>
  <c r="DJ39" i="2"/>
  <c r="DJ40" i="2" s="1"/>
  <c r="DM23" i="2"/>
  <c r="BE22" i="2"/>
  <c r="G17" i="2"/>
  <c r="G22" i="2" s="1"/>
  <c r="BB38" i="2"/>
  <c r="BB16" i="2"/>
  <c r="CI14" i="2"/>
  <c r="CI39" i="2" s="1"/>
  <c r="CG39" i="2"/>
  <c r="CG40" i="2" s="1"/>
  <c r="CI38" i="2"/>
  <c r="BE29" i="2"/>
  <c r="CF16" i="2"/>
  <c r="CF38" i="2"/>
  <c r="G28" i="2"/>
  <c r="EV28" i="2" s="1"/>
  <c r="BA39" i="2"/>
  <c r="DM39" i="2"/>
  <c r="DM16" i="2"/>
  <c r="DL37" i="2"/>
  <c r="BB23" i="2"/>
  <c r="CF23" i="2"/>
  <c r="ET21" i="2"/>
  <c r="EV18" i="2"/>
  <c r="DI23" i="2"/>
  <c r="R11" i="2"/>
  <c r="ET19" i="2"/>
  <c r="DM37" i="2"/>
  <c r="BD15" i="2"/>
  <c r="BB30" i="2"/>
  <c r="CG37" i="2"/>
  <c r="BD29" i="2"/>
  <c r="CH11" i="2"/>
  <c r="EU11" i="2" s="1"/>
  <c r="BD18" i="2"/>
  <c r="BD38" i="2" s="1"/>
  <c r="BA23" i="2"/>
  <c r="BD37" i="2"/>
  <c r="BD30" i="2"/>
  <c r="CI37" i="2"/>
  <c r="CI22" i="2"/>
  <c r="CI23" i="2"/>
  <c r="CH14" i="2"/>
  <c r="CH39" i="2" s="1"/>
  <c r="CE37" i="2"/>
  <c r="CH32" i="2"/>
  <c r="EU32" i="2" s="1"/>
  <c r="CF30" i="2"/>
  <c r="BD36" i="2"/>
  <c r="CI29" i="2"/>
  <c r="CE23" i="2"/>
  <c r="CH18" i="2"/>
  <c r="BA30" i="2"/>
  <c r="BE37" i="2"/>
  <c r="Y5" i="5"/>
  <c r="CE30" i="2"/>
  <c r="CH25" i="2"/>
  <c r="EU25" i="2" s="1"/>
  <c r="BD22" i="2"/>
  <c r="BE15" i="2"/>
  <c r="CH10" i="2"/>
  <c r="CI10" i="2"/>
  <c r="BE23" i="2"/>
  <c r="G38" i="2" l="1"/>
  <c r="EX13" i="1"/>
  <c r="EV13" i="1"/>
  <c r="EV29" i="2"/>
  <c r="ET16" i="2"/>
  <c r="ET37" i="2"/>
  <c r="EV32" i="2"/>
  <c r="G37" i="2"/>
  <c r="EV37" i="2" s="1"/>
  <c r="EU10" i="2"/>
  <c r="ET30" i="2"/>
  <c r="EU14" i="2"/>
  <c r="DL10" i="2"/>
  <c r="EV17" i="2"/>
  <c r="EU18" i="2"/>
  <c r="G14" i="2"/>
  <c r="EV14" i="2" s="1"/>
  <c r="CI40" i="2"/>
  <c r="EV22" i="2"/>
  <c r="EU22" i="2"/>
  <c r="EU36" i="2"/>
  <c r="ET18" i="2"/>
  <c r="EU29" i="2"/>
  <c r="DL29" i="2"/>
  <c r="G36" i="2"/>
  <c r="EV36" i="2" s="1"/>
  <c r="BD40" i="2"/>
  <c r="CI16" i="2"/>
  <c r="BB40" i="2"/>
  <c r="BE40" i="2"/>
  <c r="DM40" i="2"/>
  <c r="DL38" i="2"/>
  <c r="DL39" i="2"/>
  <c r="G21" i="2"/>
  <c r="EV21" i="2" s="1"/>
  <c r="CH38" i="2"/>
  <c r="CH40" i="2" s="1"/>
  <c r="CH16" i="2"/>
  <c r="R16" i="2"/>
  <c r="R38" i="2"/>
  <c r="R40" i="2" s="1"/>
  <c r="CF40" i="2"/>
  <c r="CE40" i="2"/>
  <c r="BA40" i="2"/>
  <c r="DL23" i="2"/>
  <c r="ET23" i="2" s="1"/>
  <c r="T11" i="2"/>
  <c r="CH15" i="2"/>
  <c r="CH30" i="2"/>
  <c r="EU30" i="2" s="1"/>
  <c r="CH23" i="2"/>
  <c r="CI15" i="2"/>
  <c r="BD23" i="2"/>
  <c r="EU23" i="2" s="1"/>
  <c r="CH37" i="2"/>
  <c r="EU37" i="2" s="1"/>
  <c r="EU16" i="2" l="1"/>
  <c r="ET10" i="2"/>
  <c r="ET29" i="2"/>
  <c r="DM15" i="2"/>
  <c r="DL15" i="2"/>
  <c r="EU15" i="2"/>
  <c r="G23" i="2"/>
  <c r="EV23" i="2" s="1"/>
  <c r="DL40" i="2"/>
  <c r="G39" i="2"/>
  <c r="G40" i="2" s="1"/>
  <c r="T16" i="2"/>
  <c r="T38" i="2"/>
  <c r="T40" i="2" s="1"/>
  <c r="G16" i="2"/>
  <c r="EV16" i="2" s="1"/>
  <c r="G30" i="2"/>
  <c r="EV30" i="2" s="1"/>
  <c r="ET15" i="2" l="1"/>
  <c r="EV15" i="2"/>
  <c r="S3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rFont val="Calibri"/>
            <family val="2"/>
            <scheme val="minor"/>
          </rPr>
          <t>YULIED.PENARANDA:
Describir el nombre completo de la oficina, dirección o subdirección que gerencia el proyecto de inversión.</t>
        </r>
      </text>
    </comment>
    <comment ref="A6" authorId="0" shapeId="0" xr:uid="{00000000-0006-0000-0000-000002000000}">
      <text>
        <r>
          <rPr>
            <sz val="11"/>
            <rFont val="Calibri"/>
            <family val="2"/>
            <scheme val="minor"/>
          </rPr>
          <t xml:space="preserve">YULIED.PENARANDA:
Describir el número y nombre completo del proyecto de inversión. </t>
        </r>
      </text>
    </comment>
    <comment ref="A7" authorId="0" shapeId="0" xr:uid="{00000000-0006-0000-0000-000003000000}">
      <text>
        <r>
          <rPr>
            <sz val="11"/>
            <rFont val="Calibri"/>
            <family val="2"/>
            <scheme val="minor"/>
          </rPr>
          <t xml:space="preserve">YULIED.PENARANDA:
Las metas plan de desarrollo están agrupadas en temáticas afines, bajo la estructura de Propósito Plan de Desarrollo. Relacionar número y nombre del propósito asociado </t>
        </r>
      </text>
    </comment>
    <comment ref="A8" authorId="0" shapeId="0" xr:uid="{00000000-0006-0000-0000-000004000000}">
      <text>
        <r>
          <rPr>
            <sz val="11"/>
            <rFont val="Calibri"/>
            <family val="2"/>
            <scheme val="minor"/>
          </rPr>
          <t xml:space="preserve">YULIED.PENARANDA:
Las metas plan de desarrollo están agrupadas en temáticas afines, bajo la estructura de Programas Plan de Desarrollo. Relacionar número y nombre del programa asociado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100-000002000000}">
      <text>
        <r>
          <rPr>
            <sz val="11"/>
            <rFont val="Calibri"/>
            <family val="2"/>
            <scheme val="minor"/>
          </rPr>
          <t xml:space="preserve">YULIED.PENARANDA:
Describir el número y nombre completo del proyecto de inversión. </t>
        </r>
      </text>
    </comment>
    <comment ref="F10" authorId="0" shapeId="0" xr:uid="{00000000-0006-0000-0100-000003000000}">
      <text>
        <r>
          <rPr>
            <sz val="11"/>
            <rFont val="Calibri"/>
            <family val="2"/>
            <scheme val="minor"/>
          </rPr>
          <t xml:space="preserve">YULIED.PENARANDA:
Magnitud física de la meta proyecto de inversión, a programar o a realizar seguimiento, según la columna en que se reporte. </t>
        </r>
      </text>
    </comment>
    <comment ref="F11" authorId="0" shapeId="0" xr:uid="{00000000-0006-0000-0100-000004000000}">
      <text>
        <r>
          <rPr>
            <sz val="11"/>
            <rFont val="Calibri"/>
            <family val="2"/>
            <scheme val="minor"/>
          </rPr>
          <t>YULIED.PENARANDA:
Este sirve de insumo para establecer el Plan Anual de Adquisiciones</t>
        </r>
      </text>
    </comment>
    <comment ref="F12" authorId="0" shapeId="0" xr:uid="{00000000-0006-0000-0100-000005000000}">
      <text>
        <r>
          <rPr>
            <sz val="11"/>
            <rFont val="Calibri"/>
            <family val="2"/>
            <scheme val="minor"/>
          </rPr>
          <t>YULIED.PENARANDA:
Este debe corresponder con la programación del  Plan Anual de Caja- PAC de la vigencia</t>
        </r>
      </text>
    </comment>
    <comment ref="F13" authorId="0" shapeId="0" xr:uid="{00000000-0006-0000-0100-000006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14" authorId="0" shapeId="0" xr:uid="{00000000-0006-0000-0100-000007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08000000}">
      <text>
        <r>
          <rPr>
            <sz val="11"/>
            <rFont val="Calibri"/>
            <family val="2"/>
            <scheme val="minor"/>
          </rPr>
          <t>YULIED.PENARANDA:
Para las metas de tipología suma (vigencia *reservas). Para las demás tipos de metas se asocia el mismo dato de la vigencia.</t>
        </r>
      </text>
    </comment>
    <comment ref="F16" authorId="0" shapeId="0" xr:uid="{00000000-0006-0000-0100-000009000000}">
      <text>
        <r>
          <rPr>
            <sz val="11"/>
            <rFont val="Calibri"/>
            <family val="2"/>
            <scheme val="minor"/>
          </rPr>
          <t>YULIED.PENARANDA:
Se suma los recursos presupuestales (vigencia + reservas)</t>
        </r>
      </text>
    </comment>
    <comment ref="F17" authorId="0" shapeId="0" xr:uid="{00000000-0006-0000-0100-00000A000000}">
      <text>
        <r>
          <rPr>
            <sz val="11"/>
            <rFont val="Calibri"/>
            <family val="2"/>
            <scheme val="minor"/>
          </rPr>
          <t xml:space="preserve">YULIED.PENARANDA:
Magnitud física de la meta proyecto de inversión, a programar o a realizar seguimiento, según la columna en que se reporte. </t>
        </r>
      </text>
    </comment>
    <comment ref="F18" authorId="0" shapeId="0" xr:uid="{00000000-0006-0000-0100-00000B000000}">
      <text>
        <r>
          <rPr>
            <sz val="11"/>
            <rFont val="Calibri"/>
            <family val="2"/>
            <scheme val="minor"/>
          </rPr>
          <t>YULIED.PENARANDA:
Este sirve de insumo para establecer el Plan Anual de Adquisiciones</t>
        </r>
      </text>
    </comment>
    <comment ref="F19" authorId="0" shapeId="0" xr:uid="{00000000-0006-0000-0100-00000C000000}">
      <text>
        <r>
          <rPr>
            <sz val="11"/>
            <rFont val="Calibri"/>
            <family val="2"/>
            <scheme val="minor"/>
          </rPr>
          <t>YULIED.PENARANDA:
Este debe corresponder con la programación del  Plan Anual de Caja- PAC de la vigencia</t>
        </r>
      </text>
    </comment>
    <comment ref="F20" authorId="0" shapeId="0" xr:uid="{00000000-0006-0000-0100-00000D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1" authorId="0" shapeId="0" xr:uid="{00000000-0006-0000-0100-00000E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0F000000}">
      <text>
        <r>
          <rPr>
            <sz val="11"/>
            <rFont val="Calibri"/>
            <family val="2"/>
            <scheme val="minor"/>
          </rPr>
          <t>YULIED.PENARANDA:
Para las metas de tipología suma (vigencia *reservas). Para las demás tipos de metas se asocia el mismo dato de la vigencia.</t>
        </r>
      </text>
    </comment>
    <comment ref="F23" authorId="0" shapeId="0" xr:uid="{00000000-0006-0000-0100-000010000000}">
      <text>
        <r>
          <rPr>
            <sz val="11"/>
            <rFont val="Calibri"/>
            <family val="2"/>
            <scheme val="minor"/>
          </rPr>
          <t>YULIED.PENARANDA:
Se suma los recursos presupuestales (vigencia + reservas)</t>
        </r>
      </text>
    </comment>
    <comment ref="F24" authorId="0" shapeId="0" xr:uid="{00000000-0006-0000-0100-000011000000}">
      <text>
        <r>
          <rPr>
            <sz val="11"/>
            <rFont val="Calibri"/>
            <family val="2"/>
            <scheme val="minor"/>
          </rPr>
          <t xml:space="preserve">YULIED.PENARANDA:
Magnitud física de la meta proyecto de inversión, a programar o a realizar seguimiento, según la columna en que se reporte. </t>
        </r>
      </text>
    </comment>
    <comment ref="F25" authorId="0" shapeId="0" xr:uid="{00000000-0006-0000-0100-000012000000}">
      <text>
        <r>
          <rPr>
            <sz val="11"/>
            <rFont val="Calibri"/>
            <family val="2"/>
            <scheme val="minor"/>
          </rPr>
          <t>YULIED.PENARANDA:
Este sirve de insumo para establecer el Plan Anual de Adquisiciones</t>
        </r>
      </text>
    </comment>
    <comment ref="F26" authorId="0" shapeId="0" xr:uid="{00000000-0006-0000-0100-000013000000}">
      <text>
        <r>
          <rPr>
            <sz val="11"/>
            <rFont val="Calibri"/>
            <family val="2"/>
            <scheme val="minor"/>
          </rPr>
          <t>YULIED.PENARANDA:
Este debe corresponder con la programación del  Plan Anual de Caja- PAC de la vigencia</t>
        </r>
      </text>
    </comment>
    <comment ref="F27" authorId="0" shapeId="0" xr:uid="{00000000-0006-0000-0100-000014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8" authorId="0" shapeId="0" xr:uid="{00000000-0006-0000-0100-000015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16000000}">
      <text>
        <r>
          <rPr>
            <sz val="11"/>
            <rFont val="Calibri"/>
            <family val="2"/>
            <scheme val="minor"/>
          </rPr>
          <t>YULIED.PENARANDA:
Para las metas de tipología suma (vigencia *reservas). Para las demás tipos de metas se asocia el mismo dato de la vigencia.</t>
        </r>
      </text>
    </comment>
    <comment ref="F30" authorId="0" shapeId="0" xr:uid="{00000000-0006-0000-0100-000017000000}">
      <text>
        <r>
          <rPr>
            <sz val="11"/>
            <rFont val="Calibri"/>
            <family val="2"/>
            <scheme val="minor"/>
          </rPr>
          <t>YULIED.PENARANDA:
Se suma los recursos presupuestales (vigencia + reservas)</t>
        </r>
      </text>
    </comment>
    <comment ref="F31" authorId="0" shapeId="0" xr:uid="{00000000-0006-0000-0100-000018000000}">
      <text>
        <r>
          <rPr>
            <sz val="11"/>
            <rFont val="Calibri"/>
            <family val="2"/>
            <scheme val="minor"/>
          </rPr>
          <t xml:space="preserve">YULIED.PENARANDA:
Magnitud física de la meta proyecto de inversión, a programar o a realizar seguimiento, según la columna en que se reporte. </t>
        </r>
      </text>
    </comment>
    <comment ref="F32" authorId="0" shapeId="0" xr:uid="{00000000-0006-0000-0100-000019000000}">
      <text>
        <r>
          <rPr>
            <sz val="11"/>
            <rFont val="Calibri"/>
            <family val="2"/>
            <scheme val="minor"/>
          </rPr>
          <t>YULIED.PENARANDA:
Este sirve de insumo para establecer el Plan Anual de Adquisiciones</t>
        </r>
      </text>
    </comment>
    <comment ref="F33" authorId="0" shapeId="0" xr:uid="{00000000-0006-0000-0100-00001A000000}">
      <text>
        <r>
          <rPr>
            <sz val="11"/>
            <rFont val="Calibri"/>
            <family val="2"/>
            <scheme val="minor"/>
          </rPr>
          <t>YULIED.PENARANDA:
Este debe corresponder con la programación del  Plan Anual de Caja- PAC de la vigencia</t>
        </r>
      </text>
    </comment>
    <comment ref="F34" authorId="0" shapeId="0" xr:uid="{00000000-0006-0000-0100-00001B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35" authorId="0" shapeId="0" xr:uid="{00000000-0006-0000-0100-00001C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1D000000}">
      <text>
        <r>
          <rPr>
            <sz val="11"/>
            <rFont val="Calibri"/>
            <family val="2"/>
            <scheme val="minor"/>
          </rPr>
          <t>YULIED.PENARANDA:
Para las metas de tipología suma (vigencia *reservas). Para las demás tipos de metas se asocia el mismo dato de la vigencia.</t>
        </r>
      </text>
    </comment>
    <comment ref="F37" authorId="0" shapeId="0" xr:uid="{00000000-0006-0000-0100-00001E000000}">
      <text>
        <r>
          <rPr>
            <sz val="11"/>
            <rFont val="Calibri"/>
            <family val="2"/>
            <scheme val="minor"/>
          </rPr>
          <t>YULIED.PENARANDA:
Se suma los recursos presupuestales (vigencia + reservas)</t>
        </r>
      </text>
    </comment>
    <comment ref="F38" authorId="0" shapeId="0" xr:uid="{00000000-0006-0000-0100-00001F000000}">
      <text>
        <r>
          <rPr>
            <sz val="11"/>
            <rFont val="Calibri"/>
            <family val="2"/>
            <scheme val="minor"/>
          </rPr>
          <t>YULIED.PENARANDA:
Se suma los recursos presupuestales de la vigencia, por cada meta de inversión del proyecto</t>
        </r>
      </text>
    </comment>
    <comment ref="F39" authorId="0" shapeId="0" xr:uid="{00000000-0006-0000-0100-000020000000}">
      <text>
        <r>
          <rPr>
            <sz val="11"/>
            <rFont val="Calibri"/>
            <family val="2"/>
            <scheme val="minor"/>
          </rPr>
          <t>YULIED.PENARANDA:
Se suma los recursos presupuestales de la reserva, por cada meta de inversión del proyecto</t>
        </r>
      </text>
    </comment>
    <comment ref="F40" authorId="0" shapeId="0" xr:uid="{00000000-0006-0000-0100-000021000000}">
      <text>
        <r>
          <rPr>
            <sz val="11"/>
            <rFont val="Calibri"/>
            <family val="2"/>
            <scheme val="minor"/>
          </rPr>
          <t>YULIED.PENARANDA: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200-000002000000}">
      <text>
        <r>
          <rPr>
            <sz val="11"/>
            <rFont val="Calibri"/>
            <family val="2"/>
            <scheme val="minor"/>
          </rPr>
          <t xml:space="preserve">YULIED.PENARANDA:
Describir el número y nombre completo del proyecto de inversión. </t>
        </r>
      </text>
    </comment>
    <comment ref="A7" authorId="0" shapeId="0" xr:uid="{00000000-0006-0000-02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200-000004000000}">
      <text>
        <r>
          <rPr>
            <sz val="11"/>
            <rFont val="Calibri"/>
            <family val="2"/>
            <scheme val="minor"/>
          </rPr>
          <t>YULIED.PENARANDA:
Se deben relacionar todas las metas proyecto de inversión formuladas para la ejecución del proyecto.</t>
        </r>
      </text>
    </comment>
    <comment ref="C7" authorId="0" shapeId="0" xr:uid="{00000000-0006-0000-02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2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2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rFont val="Calibri"/>
            <family val="2"/>
            <scheme val="minor"/>
          </rPr>
          <t>YULIED.PENARANDA:
Peso porcentual de la meta y actividad, al final del resultado nos da el 100%</t>
        </r>
      </text>
    </comment>
    <comment ref="V7" authorId="0" shapeId="0" xr:uid="{00000000-0006-0000-0200-000009000000}">
      <text>
        <r>
          <rPr>
            <sz val="11"/>
            <rFont val="Calibri"/>
            <family val="2"/>
            <scheme val="minor"/>
          </rPr>
          <t>YULIED.PENARANDA:
Relacionar el periodo de corte y año a reportar</t>
        </r>
      </text>
    </comment>
    <comment ref="D8" authorId="0" shapeId="0" xr:uid="{00000000-0006-0000-02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2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200-00000C000000}">
      <text>
        <r>
          <rPr>
            <sz val="11"/>
            <rFont val="Calibri"/>
            <family val="2"/>
            <scheme val="minor"/>
          </rPr>
          <t>YULIED.PENARANDA:
Variables: programado y ejecutado</t>
        </r>
      </text>
    </comment>
    <comment ref="G8" authorId="0" shapeId="0" xr:uid="{00000000-0006-0000-0200-00000D000000}">
      <text>
        <r>
          <rPr>
            <sz val="11"/>
            <rFont val="Calibri"/>
            <family val="2"/>
            <scheme val="minor"/>
          </rPr>
          <t>YULIED.PENARANDA:
Máximo dos decimales</t>
        </r>
      </text>
    </comment>
    <comment ref="H8" authorId="0" shapeId="0" xr:uid="{00000000-0006-0000-0200-00000E000000}">
      <text>
        <r>
          <rPr>
            <sz val="11"/>
            <rFont val="Calibri"/>
            <family val="2"/>
            <scheme val="minor"/>
          </rPr>
          <t>YULIED.PENARANDA:
Máximo dos decimales</t>
        </r>
      </text>
    </comment>
    <comment ref="I8" authorId="0" shapeId="0" xr:uid="{00000000-0006-0000-0200-00000F000000}">
      <text>
        <r>
          <rPr>
            <sz val="11"/>
            <rFont val="Calibri"/>
            <family val="2"/>
            <scheme val="minor"/>
          </rPr>
          <t>YULIED.PENARANDA:
Máximo dos decimales</t>
        </r>
      </text>
    </comment>
    <comment ref="J8" authorId="0" shapeId="0" xr:uid="{00000000-0006-0000-0200-000010000000}">
      <text>
        <r>
          <rPr>
            <sz val="11"/>
            <rFont val="Calibri"/>
            <family val="2"/>
            <scheme val="minor"/>
          </rPr>
          <t>YULIED.PENARANDA:
Máximo dos decimales</t>
        </r>
      </text>
    </comment>
    <comment ref="K8" authorId="0" shapeId="0" xr:uid="{00000000-0006-0000-0200-000011000000}">
      <text>
        <r>
          <rPr>
            <sz val="11"/>
            <rFont val="Calibri"/>
            <family val="2"/>
            <scheme val="minor"/>
          </rPr>
          <t>YULIED.PENARANDA:
Máximo dos decimales</t>
        </r>
      </text>
    </comment>
    <comment ref="L8" authorId="0" shapeId="0" xr:uid="{00000000-0006-0000-0200-000012000000}">
      <text>
        <r>
          <rPr>
            <sz val="11"/>
            <rFont val="Calibri"/>
            <family val="2"/>
            <scheme val="minor"/>
          </rPr>
          <t>YULIED.PENARANDA:
Máximo dos decimales</t>
        </r>
      </text>
    </comment>
    <comment ref="M8" authorId="0" shapeId="0" xr:uid="{00000000-0006-0000-0200-000013000000}">
      <text>
        <r>
          <rPr>
            <sz val="11"/>
            <rFont val="Calibri"/>
            <family val="2"/>
            <scheme val="minor"/>
          </rPr>
          <t>YULIED.PENARANDA:
Máximo dos decimales</t>
        </r>
      </text>
    </comment>
    <comment ref="N8" authorId="0" shapeId="0" xr:uid="{00000000-0006-0000-0200-000014000000}">
      <text>
        <r>
          <rPr>
            <sz val="11"/>
            <rFont val="Calibri"/>
            <family val="2"/>
            <scheme val="minor"/>
          </rPr>
          <t>YULIED.PENARANDA:
Máximo dos decimales</t>
        </r>
      </text>
    </comment>
    <comment ref="O8" authorId="0" shapeId="0" xr:uid="{00000000-0006-0000-0200-000015000000}">
      <text>
        <r>
          <rPr>
            <sz val="11"/>
            <rFont val="Calibri"/>
            <family val="2"/>
            <scheme val="minor"/>
          </rPr>
          <t>YULIED.PENARANDA:
Máximo dos decimales</t>
        </r>
      </text>
    </comment>
    <comment ref="P8" authorId="0" shapeId="0" xr:uid="{00000000-0006-0000-0200-000016000000}">
      <text>
        <r>
          <rPr>
            <sz val="11"/>
            <rFont val="Calibri"/>
            <family val="2"/>
            <scheme val="minor"/>
          </rPr>
          <t>YULIED.PENARANDA:
Máximo dos decimales</t>
        </r>
      </text>
    </comment>
    <comment ref="Q8" authorId="0" shapeId="0" xr:uid="{00000000-0006-0000-0200-000017000000}">
      <text>
        <r>
          <rPr>
            <sz val="11"/>
            <rFont val="Calibri"/>
            <family val="2"/>
            <scheme val="minor"/>
          </rPr>
          <t>YULIED.PENARANDA:
Máximo dos decimales</t>
        </r>
      </text>
    </comment>
    <comment ref="R8" authorId="0" shapeId="0" xr:uid="{00000000-0006-0000-0200-000018000000}">
      <text>
        <r>
          <rPr>
            <sz val="11"/>
            <rFont val="Calibri"/>
            <family val="2"/>
            <scheme val="minor"/>
          </rPr>
          <t>YULIED.PENARANDA:
Máximo dos decimales</t>
        </r>
      </text>
    </comment>
    <comment ref="S8" authorId="0" shapeId="0" xr:uid="{00000000-0006-0000-02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200-00001A000000}">
      <text>
        <r>
          <rPr>
            <sz val="11"/>
            <rFont val="Calibri"/>
            <family val="2"/>
            <scheme val="minor"/>
          </rPr>
          <t>YULIED.PENARANDA:
Peso porcentual de cada meta, en función del proyecto de inversión</t>
        </r>
      </text>
    </comment>
    <comment ref="U8" authorId="0" shapeId="0" xr:uid="{00000000-0006-0000-0200-00001B000000}">
      <text>
        <r>
          <rPr>
            <sz val="11"/>
            <rFont val="Calibri"/>
            <family val="2"/>
            <scheme val="minor"/>
          </rPr>
          <t>YULIED.PENARANDA:
Peso porcentual de cada actividad, en función del proyecto de inversión</t>
        </r>
      </text>
    </comment>
    <comment ref="F9" authorId="0" shapeId="0" xr:uid="{00000000-0006-0000-0200-00001C000000}">
      <text>
        <r>
          <rPr>
            <sz val="11"/>
            <rFont val="Calibri"/>
            <family val="2"/>
            <scheme val="minor"/>
          </rPr>
          <t>YULIED.PENARANDA:
No relacionar los datos en formula, debido a que al final no nos da la suma exacta.</t>
        </r>
      </text>
    </comment>
    <comment ref="S9" authorId="0" shapeId="0" xr:uid="{00000000-0006-0000-0200-00001D000000}">
      <text>
        <r>
          <rPr>
            <sz val="11"/>
            <rFont val="Calibri"/>
            <family val="2"/>
            <scheme val="minor"/>
          </rPr>
          <t>YULIED.PENARANDA:
Verificar las sumas, que no sea inferior ni superior al 100%</t>
        </r>
      </text>
    </comment>
    <comment ref="F10" authorId="0" shapeId="0" xr:uid="{00000000-0006-0000-0200-00001E000000}">
      <text>
        <r>
          <rPr>
            <sz val="11"/>
            <rFont val="Calibri"/>
            <family val="2"/>
            <scheme val="minor"/>
          </rPr>
          <t>YULIED.PENARANDA:
No relacionar los datos en formula, debido a que al final no nos da la suma exacta.</t>
        </r>
      </text>
    </comment>
    <comment ref="S10" authorId="0" shapeId="0" xr:uid="{00000000-0006-0000-0200-00001F000000}">
      <text>
        <r>
          <rPr>
            <sz val="11"/>
            <rFont val="Calibri"/>
            <family val="2"/>
            <scheme val="minor"/>
          </rPr>
          <t>YULIED.PENARANDA:
Verificar las sumas, que no sea inferior ni superior al 100%</t>
        </r>
      </text>
    </comment>
    <comment ref="F11" authorId="0" shapeId="0" xr:uid="{00000000-0006-0000-0200-000020000000}">
      <text>
        <r>
          <rPr>
            <sz val="11"/>
            <rFont val="Calibri"/>
            <family val="2"/>
            <scheme val="minor"/>
          </rPr>
          <t>YULIED.PENARANDA:
No relacionar los datos en formula, debido a que al final no nos da la suma exacta.</t>
        </r>
      </text>
    </comment>
    <comment ref="S11" authorId="0" shapeId="0" xr:uid="{00000000-0006-0000-0200-000021000000}">
      <text>
        <r>
          <rPr>
            <sz val="11"/>
            <color rgb="FF000000"/>
            <rFont val="Calibri"/>
            <family val="2"/>
          </rPr>
          <t xml:space="preserve">YULIED.PENARANDA:
</t>
        </r>
        <r>
          <rPr>
            <sz val="11"/>
            <color rgb="FF000000"/>
            <rFont val="Calibri"/>
            <family val="2"/>
          </rPr>
          <t>Verificar las sumas, que no sea inferior ni superior al 100%</t>
        </r>
      </text>
    </comment>
    <comment ref="F12" authorId="0" shapeId="0" xr:uid="{00000000-0006-0000-0200-000022000000}">
      <text>
        <r>
          <rPr>
            <sz val="11"/>
            <rFont val="Calibri"/>
            <family val="2"/>
            <scheme val="minor"/>
          </rPr>
          <t>YULIED.PENARANDA:
No relacionar los datos en formula, debido a que al final no nos da la suma exacta.</t>
        </r>
      </text>
    </comment>
    <comment ref="S12" authorId="0" shapeId="0" xr:uid="{00000000-0006-0000-0200-000023000000}">
      <text>
        <r>
          <rPr>
            <sz val="11"/>
            <rFont val="Calibri"/>
            <family val="2"/>
            <scheme val="minor"/>
          </rPr>
          <t>YULIED.PENARANDA:
Verificar las sumas, que no sea inferior ni superior al 100%</t>
        </r>
      </text>
    </comment>
    <comment ref="F13" authorId="0" shapeId="0" xr:uid="{00000000-0006-0000-0200-000024000000}">
      <text>
        <r>
          <rPr>
            <sz val="11"/>
            <rFont val="Calibri"/>
            <family val="2"/>
            <scheme val="minor"/>
          </rPr>
          <t>YULIED.PENARANDA:
No relacionar los datos en formula, debido a que al final no nos da la suma exacta.</t>
        </r>
      </text>
    </comment>
    <comment ref="S13" authorId="0" shapeId="0" xr:uid="{00000000-0006-0000-0200-000025000000}">
      <text>
        <r>
          <rPr>
            <sz val="11"/>
            <rFont val="Calibri"/>
            <family val="2"/>
            <scheme val="minor"/>
          </rPr>
          <t>YULIED.PENARANDA:
Verificar las sumas, que no sea inferior ni superior al 100%</t>
        </r>
      </text>
    </comment>
    <comment ref="F14" authorId="0" shapeId="0" xr:uid="{00000000-0006-0000-0200-000026000000}">
      <text>
        <r>
          <rPr>
            <sz val="11"/>
            <rFont val="Calibri"/>
            <family val="2"/>
            <scheme val="minor"/>
          </rPr>
          <t>YULIED.PENARANDA:
No relacionar los datos en formula, debido a que al final no nos da la suma exacta.</t>
        </r>
      </text>
    </comment>
    <comment ref="S14" authorId="0" shapeId="0" xr:uid="{00000000-0006-0000-0200-000027000000}">
      <text>
        <r>
          <rPr>
            <sz val="11"/>
            <rFont val="Calibri"/>
            <family val="2"/>
            <scheme val="minor"/>
          </rPr>
          <t>YULIED.PENARANDA:
Verificar las sumas, que no sea inferior ni superior al 100%</t>
        </r>
      </text>
    </comment>
    <comment ref="F15" authorId="0" shapeId="0" xr:uid="{00000000-0006-0000-0200-000028000000}">
      <text>
        <r>
          <rPr>
            <sz val="11"/>
            <rFont val="Calibri"/>
            <family val="2"/>
            <scheme val="minor"/>
          </rPr>
          <t>YULIED.PENARANDA:
No relacionar los datos en formula, debido a que al final no nos da la suma exacta.</t>
        </r>
      </text>
    </comment>
    <comment ref="S15" authorId="0" shapeId="0" xr:uid="{00000000-0006-0000-0200-000029000000}">
      <text>
        <r>
          <rPr>
            <sz val="11"/>
            <rFont val="Calibri"/>
            <family val="2"/>
            <scheme val="minor"/>
          </rPr>
          <t>YULIED.PENARANDA:
Verificar las sumas, que no sea inferior ni superior al 100%</t>
        </r>
      </text>
    </comment>
    <comment ref="F16" authorId="0" shapeId="0" xr:uid="{00000000-0006-0000-0200-00002A000000}">
      <text>
        <r>
          <rPr>
            <sz val="11"/>
            <rFont val="Calibri"/>
            <family val="2"/>
            <scheme val="minor"/>
          </rPr>
          <t>YULIED.PENARANDA:
No relacionar los datos en formula, debido a que al final no nos da la suma exacta.</t>
        </r>
      </text>
    </comment>
    <comment ref="S16" authorId="0" shapeId="0" xr:uid="{00000000-0006-0000-0200-00002B000000}">
      <text>
        <r>
          <rPr>
            <sz val="11"/>
            <rFont val="Calibri"/>
            <family val="2"/>
            <scheme val="minor"/>
          </rPr>
          <t>YULIED.PENARANDA:
Verificar las sumas, que no sea inferior ni superior al 100%</t>
        </r>
      </text>
    </comment>
    <comment ref="F17" authorId="0" shapeId="0" xr:uid="{00000000-0006-0000-0200-00002C000000}">
      <text>
        <r>
          <rPr>
            <sz val="11"/>
            <rFont val="Calibri"/>
            <family val="2"/>
            <scheme val="minor"/>
          </rPr>
          <t>YULIED.PENARANDA:
No relacionar los datos en formula, debido a que al final no nos da la suma exacta.</t>
        </r>
      </text>
    </comment>
    <comment ref="S17" authorId="0" shapeId="0" xr:uid="{00000000-0006-0000-0200-00002D000000}">
      <text>
        <r>
          <rPr>
            <sz val="11"/>
            <rFont val="Calibri"/>
            <family val="2"/>
            <scheme val="minor"/>
          </rPr>
          <t>YULIED.PENARANDA:
Verificar las sumas, que no sea inferior ni superior al 100%</t>
        </r>
      </text>
    </comment>
    <comment ref="F18" authorId="0" shapeId="0" xr:uid="{00000000-0006-0000-0200-00002E000000}">
      <text>
        <r>
          <rPr>
            <sz val="11"/>
            <rFont val="Calibri"/>
            <family val="2"/>
            <scheme val="minor"/>
          </rPr>
          <t>YULIED.PENARANDA:
No relacionar los datos en formula, debido a que al final no nos da la suma exacta.</t>
        </r>
      </text>
    </comment>
    <comment ref="S18" authorId="0" shapeId="0" xr:uid="{00000000-0006-0000-0200-00002F000000}">
      <text>
        <r>
          <rPr>
            <sz val="11"/>
            <rFont val="Calibri"/>
            <family val="2"/>
            <scheme val="minor"/>
          </rPr>
          <t>YULIED.PENARANDA:
Verificar las sumas, que no sea inferior ni superior al 100%</t>
        </r>
      </text>
    </comment>
    <comment ref="F19" authorId="0" shapeId="0" xr:uid="{00000000-0006-0000-0200-000030000000}">
      <text>
        <r>
          <rPr>
            <sz val="11"/>
            <rFont val="Calibri"/>
            <family val="2"/>
            <scheme val="minor"/>
          </rPr>
          <t>YULIED.PENARANDA:
No relacionar los datos en formula, debido a que al final no nos da la suma exacta.</t>
        </r>
      </text>
    </comment>
    <comment ref="S19" authorId="0" shapeId="0" xr:uid="{00000000-0006-0000-0200-000031000000}">
      <text>
        <r>
          <rPr>
            <sz val="11"/>
            <rFont val="Calibri"/>
            <family val="2"/>
            <scheme val="minor"/>
          </rPr>
          <t>YULIED.PENARANDA:
Verificar las sumas, que no sea inferior ni superior al 100%</t>
        </r>
      </text>
    </comment>
    <comment ref="F20" authorId="0" shapeId="0" xr:uid="{00000000-0006-0000-0200-000032000000}">
      <text>
        <r>
          <rPr>
            <sz val="11"/>
            <rFont val="Calibri"/>
            <family val="2"/>
            <scheme val="minor"/>
          </rPr>
          <t>YULIED.PENARANDA:
No relacionar los datos en formula, debido a que al final no nos da la suma exacta.</t>
        </r>
      </text>
    </comment>
    <comment ref="S20" authorId="0" shapeId="0" xr:uid="{00000000-0006-0000-0200-000033000000}">
      <text>
        <r>
          <rPr>
            <sz val="11"/>
            <rFont val="Calibri"/>
            <family val="2"/>
            <scheme val="minor"/>
          </rPr>
          <t>YULIED.PENARANDA:
Verificar las sumas, que no sea inferior ni superior al 100%</t>
        </r>
      </text>
    </comment>
    <comment ref="F21" authorId="0" shapeId="0" xr:uid="{00000000-0006-0000-0200-000034000000}">
      <text>
        <r>
          <rPr>
            <sz val="11"/>
            <rFont val="Calibri"/>
            <family val="2"/>
            <scheme val="minor"/>
          </rPr>
          <t>YULIED.PENARANDA:
No relacionar los datos en formula, debido a que al final no nos da la suma exacta.</t>
        </r>
      </text>
    </comment>
    <comment ref="S21" authorId="0" shapeId="0" xr:uid="{00000000-0006-0000-0200-000035000000}">
      <text>
        <r>
          <rPr>
            <sz val="11"/>
            <rFont val="Calibri"/>
            <family val="2"/>
            <scheme val="minor"/>
          </rPr>
          <t>YULIED.PENARANDA:
Verificar las sumas, que no sea inferior ni superior al 100%</t>
        </r>
      </text>
    </comment>
    <comment ref="F22" authorId="0" shapeId="0" xr:uid="{00000000-0006-0000-0200-000036000000}">
      <text>
        <r>
          <rPr>
            <sz val="11"/>
            <rFont val="Calibri"/>
            <family val="2"/>
            <scheme val="minor"/>
          </rPr>
          <t>YULIED.PENARANDA:
No relacionar los datos en formula, debido a que al final no nos da la suma exacta.</t>
        </r>
      </text>
    </comment>
    <comment ref="S22" authorId="0" shapeId="0" xr:uid="{00000000-0006-0000-0200-000037000000}">
      <text>
        <r>
          <rPr>
            <sz val="11"/>
            <rFont val="Calibri"/>
            <family val="2"/>
            <scheme val="minor"/>
          </rPr>
          <t>YULIED.PENARANDA:
Verificar las sumas, que no sea inferior ni superior al 100%</t>
        </r>
      </text>
    </comment>
    <comment ref="F23" authorId="0" shapeId="0" xr:uid="{00000000-0006-0000-0200-000038000000}">
      <text>
        <r>
          <rPr>
            <sz val="11"/>
            <rFont val="Calibri"/>
            <family val="2"/>
            <scheme val="minor"/>
          </rPr>
          <t>YULIED.PENARANDA:
No relacionar los datos en formula, debido a que al final no nos da la suma exacta.</t>
        </r>
      </text>
    </comment>
    <comment ref="S23" authorId="0" shapeId="0" xr:uid="{00000000-0006-0000-0200-000039000000}">
      <text>
        <r>
          <rPr>
            <sz val="11"/>
            <rFont val="Calibri"/>
            <family val="2"/>
            <scheme val="minor"/>
          </rPr>
          <t>YULIED.PENARANDA:
Verificar las sumas, que no sea inferior ni superior al 100%</t>
        </r>
      </text>
    </comment>
    <comment ref="F24" authorId="0" shapeId="0" xr:uid="{00000000-0006-0000-0200-00003A000000}">
      <text>
        <r>
          <rPr>
            <sz val="11"/>
            <rFont val="Calibri"/>
            <family val="2"/>
            <scheme val="minor"/>
          </rPr>
          <t>YULIED.PENARANDA:
No relacionar los datos en formula, debido a que al final no nos da la suma exacta.</t>
        </r>
      </text>
    </comment>
    <comment ref="S24" authorId="0" shapeId="0" xr:uid="{00000000-0006-0000-0200-00003B000000}">
      <text>
        <r>
          <rPr>
            <sz val="11"/>
            <rFont val="Calibri"/>
            <family val="2"/>
            <scheme val="minor"/>
          </rPr>
          <t>YULIED.PENARANDA:
Verificar las sumas, que no sea inferior ni superior al 100%</t>
        </r>
      </text>
    </comment>
    <comment ref="F25" authorId="0" shapeId="0" xr:uid="{00000000-0006-0000-0200-00003C000000}">
      <text>
        <r>
          <rPr>
            <sz val="11"/>
            <rFont val="Calibri"/>
            <family val="2"/>
            <scheme val="minor"/>
          </rPr>
          <t>YULIED.PENARANDA:
No relacionar los datos en formula, debido a que al final no nos da la suma exacta.</t>
        </r>
      </text>
    </comment>
    <comment ref="S25" authorId="0" shapeId="0" xr:uid="{00000000-0006-0000-0200-00003D000000}">
      <text>
        <r>
          <rPr>
            <sz val="11"/>
            <rFont val="Calibri"/>
            <family val="2"/>
            <scheme val="minor"/>
          </rPr>
          <t>YULIED.PENARANDA:
Verificar las sumas, que no sea inferior ni superior al 100%</t>
        </r>
      </text>
    </comment>
    <comment ref="F26" authorId="0" shapeId="0" xr:uid="{00000000-0006-0000-0200-00003E000000}">
      <text>
        <r>
          <rPr>
            <sz val="11"/>
            <rFont val="Calibri"/>
            <family val="2"/>
            <scheme val="minor"/>
          </rPr>
          <t>YULIED.PENARANDA:
No relacionar los datos en formula, debido a que al final no nos da la suma exacta.</t>
        </r>
      </text>
    </comment>
    <comment ref="S26" authorId="0" shapeId="0" xr:uid="{00000000-0006-0000-0200-00003F000000}">
      <text>
        <r>
          <rPr>
            <sz val="11"/>
            <rFont val="Calibri"/>
            <family val="2"/>
            <scheme val="minor"/>
          </rPr>
          <t>YULIED.PENARANDA:
Verificar las sumas, que no sea inferior ni superior al 100%</t>
        </r>
      </text>
    </comment>
    <comment ref="F27" authorId="0" shapeId="0" xr:uid="{00000000-0006-0000-0200-000040000000}">
      <text>
        <r>
          <rPr>
            <sz val="11"/>
            <rFont val="Calibri"/>
            <family val="2"/>
            <scheme val="minor"/>
          </rPr>
          <t>YULIED.PENARANDA:
No relacionar los datos en formula, debido a que al final no nos da la suma exacta.</t>
        </r>
      </text>
    </comment>
    <comment ref="S27" authorId="0" shapeId="0" xr:uid="{00000000-0006-0000-0200-000041000000}">
      <text>
        <r>
          <rPr>
            <sz val="11"/>
            <rFont val="Calibri"/>
            <family val="2"/>
            <scheme val="minor"/>
          </rPr>
          <t>YULIED.PENARANDA:
Verificar las sumas, que no sea inferior ni superior al 100%</t>
        </r>
      </text>
    </comment>
    <comment ref="F28" authorId="0" shapeId="0" xr:uid="{00000000-0006-0000-0200-000042000000}">
      <text>
        <r>
          <rPr>
            <sz val="11"/>
            <rFont val="Calibri"/>
            <family val="2"/>
            <scheme val="minor"/>
          </rPr>
          <t>YULIED.PENARANDA:
No relacionar los datos en formula, debido a que al final no nos da la suma exacta.</t>
        </r>
      </text>
    </comment>
    <comment ref="S28" authorId="0" shapeId="0" xr:uid="{00000000-0006-0000-0200-000043000000}">
      <text>
        <r>
          <rPr>
            <sz val="11"/>
            <rFont val="Calibri"/>
            <family val="2"/>
            <scheme val="minor"/>
          </rPr>
          <t>YULIED.PENARANDA:
Verificar las sumas, que no sea inferior ni superior al 100%</t>
        </r>
      </text>
    </comment>
    <comment ref="F29" authorId="0" shapeId="0" xr:uid="{00000000-0006-0000-0200-000044000000}">
      <text>
        <r>
          <rPr>
            <sz val="11"/>
            <rFont val="Calibri"/>
            <family val="2"/>
            <scheme val="minor"/>
          </rPr>
          <t>YULIED.PENARANDA:
No relacionar los datos en formula, debido a que al final no nos da la suma exacta.</t>
        </r>
      </text>
    </comment>
    <comment ref="S29" authorId="0" shapeId="0" xr:uid="{00000000-0006-0000-0200-000045000000}">
      <text>
        <r>
          <rPr>
            <sz val="11"/>
            <color rgb="FF000000"/>
            <rFont val="Calibri"/>
            <family val="2"/>
          </rPr>
          <t xml:space="preserve">YULIED.PENARANDA:
</t>
        </r>
        <r>
          <rPr>
            <sz val="11"/>
            <color rgb="FF000000"/>
            <rFont val="Calibri"/>
            <family val="2"/>
          </rPr>
          <t>Verificar las sumas, que no sea inferior ni superior al 100%</t>
        </r>
      </text>
    </comment>
    <comment ref="F30" authorId="0" shapeId="0" xr:uid="{00000000-0006-0000-0200-000046000000}">
      <text>
        <r>
          <rPr>
            <sz val="11"/>
            <rFont val="Calibri"/>
            <family val="2"/>
            <scheme val="minor"/>
          </rPr>
          <t>YULIED.PENARANDA:
No relacionar los datos en formula, debido a que al final no nos da la suma exacta.</t>
        </r>
      </text>
    </comment>
    <comment ref="S30" authorId="0" shapeId="0" xr:uid="{00000000-0006-0000-0200-000047000000}">
      <text>
        <r>
          <rPr>
            <sz val="11"/>
            <rFont val="Calibri"/>
            <family val="2"/>
            <scheme val="minor"/>
          </rPr>
          <t>YULIED.PENARANDA:
Verificar las sumas, que no sea inferior ni superior al 100%</t>
        </r>
      </text>
    </comment>
    <comment ref="F31" authorId="0" shapeId="0" xr:uid="{00000000-0006-0000-0200-000048000000}">
      <text>
        <r>
          <rPr>
            <sz val="11"/>
            <rFont val="Calibri"/>
            <family val="2"/>
            <scheme val="minor"/>
          </rPr>
          <t>YULIED.PENARANDA:
No relacionar los datos en formula, debido a que al final no nos da la suma exacta.</t>
        </r>
      </text>
    </comment>
    <comment ref="S31" authorId="0" shapeId="0" xr:uid="{00000000-0006-0000-0200-000049000000}">
      <text>
        <r>
          <rPr>
            <sz val="11"/>
            <rFont val="Calibri"/>
            <family val="2"/>
            <scheme val="minor"/>
          </rPr>
          <t>YULIED.PENARANDA:
Verificar las sumas, que no sea inferior ni superior al 100%</t>
        </r>
      </text>
    </comment>
    <comment ref="F32" authorId="0" shapeId="0" xr:uid="{00000000-0006-0000-0200-00004A000000}">
      <text>
        <r>
          <rPr>
            <sz val="11"/>
            <rFont val="Calibri"/>
            <family val="2"/>
            <scheme val="minor"/>
          </rPr>
          <t>YULIED.PENARANDA:
No relacionar los datos en formula, debido a que al final no nos da la suma exacta.</t>
        </r>
      </text>
    </comment>
    <comment ref="S32" authorId="0" shapeId="0" xr:uid="{00000000-0006-0000-0200-00004B000000}">
      <text>
        <r>
          <rPr>
            <sz val="11"/>
            <rFont val="Calibri"/>
            <family val="2"/>
            <scheme val="minor"/>
          </rPr>
          <t>YULIED.PENARANDA:
Verificar las sumas, que no sea inferior ni superior al 100%</t>
        </r>
      </text>
    </comment>
    <comment ref="F33" authorId="0" shapeId="0" xr:uid="{00000000-0006-0000-0200-00004C000000}">
      <text>
        <r>
          <rPr>
            <sz val="11"/>
            <rFont val="Calibri"/>
            <family val="2"/>
            <scheme val="minor"/>
          </rPr>
          <t>YULIED.PENARANDA:
No relacionar los datos en formula, debido a que al final no nos da la suma exacta.</t>
        </r>
      </text>
    </comment>
    <comment ref="S33" authorId="0" shapeId="0" xr:uid="{00000000-0006-0000-0200-00004D000000}">
      <text>
        <r>
          <rPr>
            <sz val="11"/>
            <rFont val="Calibri"/>
            <family val="2"/>
            <scheme val="minor"/>
          </rPr>
          <t>YULIED.PENARANDA:
Verificar las sumas, que no sea inferior ni superior al 100%</t>
        </r>
      </text>
    </comment>
    <comment ref="F34" authorId="0" shapeId="0" xr:uid="{00000000-0006-0000-0200-00004E000000}">
      <text>
        <r>
          <rPr>
            <sz val="11"/>
            <rFont val="Calibri"/>
            <family val="2"/>
            <scheme val="minor"/>
          </rPr>
          <t>YULIED.PENARANDA:
No relacionar los datos en formula, debido a que al final no nos da la suma exacta.</t>
        </r>
      </text>
    </comment>
    <comment ref="S34" authorId="0" shapeId="0" xr:uid="{00000000-0006-0000-0200-00004F000000}">
      <text>
        <r>
          <rPr>
            <sz val="11"/>
            <rFont val="Calibri"/>
            <family val="2"/>
            <scheme val="minor"/>
          </rPr>
          <t>YULIED.PENARANDA:
Verificar las sumas, que no sea inferior ni superior al 100%</t>
        </r>
      </text>
    </comment>
    <comment ref="F35" authorId="0" shapeId="0" xr:uid="{00000000-0006-0000-0200-000050000000}">
      <text>
        <r>
          <rPr>
            <sz val="11"/>
            <rFont val="Calibri"/>
            <family val="2"/>
            <scheme val="minor"/>
          </rPr>
          <t>YULIED.PENARANDA:
No relacionar los datos en formula, debido a que al final no nos da la suma exacta.</t>
        </r>
      </text>
    </comment>
    <comment ref="S35" authorId="0" shapeId="0" xr:uid="{00000000-0006-0000-0200-000051000000}">
      <text>
        <r>
          <rPr>
            <sz val="11"/>
            <rFont val="Calibri"/>
            <family val="2"/>
            <scheme val="minor"/>
          </rPr>
          <t>YULIED.PENARANDA:
Verificar las sumas, que no sea inferior ni superior al 100%</t>
        </r>
      </text>
    </comment>
    <comment ref="F36" authorId="0" shapeId="0" xr:uid="{00000000-0006-0000-0200-000052000000}">
      <text>
        <r>
          <rPr>
            <sz val="11"/>
            <rFont val="Calibri"/>
            <family val="2"/>
            <scheme val="minor"/>
          </rPr>
          <t>YULIED.PENARANDA:
No relacionar los datos en formula, debido a que al final no nos da la suma exacta.</t>
        </r>
      </text>
    </comment>
    <comment ref="S36" authorId="0" shapeId="0" xr:uid="{00000000-0006-0000-0200-000053000000}">
      <text>
        <r>
          <rPr>
            <sz val="11"/>
            <rFont val="Calibri"/>
            <family val="2"/>
            <scheme val="minor"/>
          </rPr>
          <t>YULIED.PENARANDA:
Verificar las sumas, que no sea inferior ni superior al 100%</t>
        </r>
      </text>
    </comment>
    <comment ref="F37" authorId="0" shapeId="0" xr:uid="{00000000-0006-0000-0200-000054000000}">
      <text>
        <r>
          <rPr>
            <sz val="11"/>
            <rFont val="Calibri"/>
            <family val="2"/>
            <scheme val="minor"/>
          </rPr>
          <t>YULIED.PENARANDA:
No relacionar los datos en formula, debido a que al final no nos da la suma exacta.</t>
        </r>
      </text>
    </comment>
    <comment ref="S37" authorId="0" shapeId="0" xr:uid="{00000000-0006-0000-0200-000055000000}">
      <text>
        <r>
          <rPr>
            <sz val="11"/>
            <rFont val="Calibri"/>
            <family val="2"/>
            <scheme val="minor"/>
          </rPr>
          <t>YULIED.PENARANDA:
Verificar las sumas, que no sea inferior ni superior al 100%</t>
        </r>
      </text>
    </comment>
    <comment ref="F38" authorId="0" shapeId="0" xr:uid="{00000000-0006-0000-0200-000056000000}">
      <text>
        <r>
          <rPr>
            <sz val="11"/>
            <rFont val="Calibri"/>
            <family val="2"/>
            <scheme val="minor"/>
          </rPr>
          <t>YULIED.PENARANDA:
No relacionar los datos en formula, debido a que al final no nos da la suma exacta.</t>
        </r>
      </text>
    </comment>
    <comment ref="S38" authorId="0" shapeId="0" xr:uid="{00000000-0006-0000-0200-000057000000}">
      <text>
        <r>
          <rPr>
            <sz val="11"/>
            <rFont val="Calibri"/>
            <family val="2"/>
            <scheme val="minor"/>
          </rPr>
          <t>YULIED.PENARANDA:
Verificar las sumas, que no sea inferior ni superior al 100%</t>
        </r>
      </text>
    </comment>
    <comment ref="F39" authorId="0" shapeId="0" xr:uid="{00000000-0006-0000-0200-000058000000}">
      <text>
        <r>
          <rPr>
            <sz val="11"/>
            <rFont val="Calibri"/>
            <family val="2"/>
            <scheme val="minor"/>
          </rPr>
          <t>YULIED.PENARANDA:
No relacionar los datos en formula, debido a que al final no nos da la suma exacta.</t>
        </r>
      </text>
    </comment>
    <comment ref="S39" authorId="0" shapeId="0" xr:uid="{00000000-0006-0000-0200-000059000000}">
      <text>
        <r>
          <rPr>
            <sz val="11"/>
            <rFont val="Calibri"/>
            <family val="2"/>
            <scheme val="minor"/>
          </rPr>
          <t>YULIED.PENARANDA:
Verificar las sumas, que no sea inferior ni superior al 100%</t>
        </r>
      </text>
    </comment>
    <comment ref="F40" authorId="0" shapeId="0" xr:uid="{00000000-0006-0000-0200-00005A000000}">
      <text>
        <r>
          <rPr>
            <sz val="11"/>
            <rFont val="Calibri"/>
            <family val="2"/>
            <scheme val="minor"/>
          </rPr>
          <t>YULIED.PENARANDA:
No relacionar los datos en formula, debido a que al final no nos da la suma exacta.</t>
        </r>
      </text>
    </comment>
    <comment ref="S40" authorId="0" shapeId="0" xr:uid="{00000000-0006-0000-0200-00005B000000}">
      <text>
        <r>
          <rPr>
            <sz val="11"/>
            <rFont val="Calibri"/>
            <family val="2"/>
            <scheme val="minor"/>
          </rPr>
          <t>YULIED.PENARANDA:
Verificar las sumas, que no sea inferior ni superior al 100%</t>
        </r>
      </text>
    </comment>
    <comment ref="T41" authorId="0" shapeId="0" xr:uid="{00000000-0006-0000-0200-00005C000000}">
      <text>
        <r>
          <rPr>
            <sz val="11"/>
            <rFont val="Calibri"/>
            <family val="2"/>
            <scheme val="minor"/>
          </rPr>
          <t>YULIED.PENARANDA: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5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500-000002000000}">
      <text>
        <r>
          <rPr>
            <sz val="11"/>
            <rFont val="Calibri"/>
            <family val="2"/>
            <scheme val="minor"/>
          </rPr>
          <t xml:space="preserve">YULIED.PENARANDA:
Describir el número y nombre completo del proyecto de inversión. </t>
        </r>
      </text>
    </comment>
    <comment ref="A7" authorId="0" shapeId="0" xr:uid="{00000000-0006-0000-0500-000003000000}">
      <text>
        <r>
          <rPr>
            <sz val="11"/>
            <rFont val="Calibri"/>
            <family val="2"/>
            <scheme val="minor"/>
          </rPr>
          <t>YULIED.PENARANDA:
Corresponde a la información en firme de cada vigencia fiscal.</t>
        </r>
      </text>
    </comment>
    <comment ref="A8" authorId="0" shapeId="0" xr:uid="{00000000-0006-0000-0500-000004000000}">
      <text>
        <r>
          <rPr>
            <sz val="11"/>
            <rFont val="Calibri"/>
            <family val="2"/>
            <scheme val="minor"/>
          </rPr>
          <t>YULIED.PENARANDA:
Vigencia a reportar</t>
        </r>
      </text>
    </comment>
    <comment ref="C8" authorId="0" shapeId="0" xr:uid="{00000000-0006-0000-0500-000005000000}">
      <text>
        <r>
          <rPr>
            <sz val="11"/>
            <rFont val="Calibri"/>
            <family val="2"/>
            <scheme val="minor"/>
          </rPr>
          <t>YULIED.PENARANDA:
Apropiación inicial acorde con la herramienta oficial de la SDH</t>
        </r>
      </text>
    </comment>
    <comment ref="D8" authorId="0" shapeId="0" xr:uid="{00000000-0006-0000-0500-000006000000}">
      <text>
        <r>
          <rPr>
            <sz val="11"/>
            <rFont val="Calibri"/>
            <family val="2"/>
            <scheme val="minor"/>
          </rPr>
          <t>YULIED.PENARANDA:
Apropiación inicial + 0 - movimientos positivos y/o negativos, con este valor se proyecta los compromisos</t>
        </r>
      </text>
    </comment>
    <comment ref="E8" authorId="0" shapeId="0" xr:uid="{00000000-0006-0000-0500-000007000000}">
      <text>
        <r>
          <rPr>
            <sz val="11"/>
            <rFont val="Calibri"/>
            <family val="2"/>
            <scheme val="minor"/>
          </rPr>
          <t>YULIED.PENARANDA:
Valores contenidos en los Registros Presupuestales de Compromisos</t>
        </r>
      </text>
    </comment>
    <comment ref="F8" authorId="0" shapeId="0" xr:uid="{00000000-0006-0000-0500-000008000000}">
      <text>
        <r>
          <rPr>
            <sz val="11"/>
            <rFont val="Calibri"/>
            <family val="2"/>
            <scheme val="minor"/>
          </rPr>
          <t xml:space="preserve">YULIED.PENARANDA:
Corresponde al pago </t>
        </r>
      </text>
    </comment>
    <comment ref="G8" authorId="0" shapeId="0" xr:uid="{00000000-0006-0000-0500-000009000000}">
      <text>
        <r>
          <rPr>
            <sz val="11"/>
            <rFont val="Calibri"/>
            <family val="2"/>
            <scheme val="minor"/>
          </rPr>
          <t>YULIED.PENARANDA:
Extinción de la obligación a cargo de la SDA.</t>
        </r>
      </text>
    </comment>
    <comment ref="A40" authorId="0" shapeId="0" xr:uid="{00000000-0006-0000-0500-00000A000000}">
      <text>
        <r>
          <rPr>
            <sz val="11"/>
            <rFont val="Calibri"/>
            <family val="2"/>
            <scheme val="minor"/>
          </rPr>
          <t>YULIED.PENARANDA:
Corresponde a la información en firme de cada vigencia fiscal.</t>
        </r>
      </text>
    </comment>
    <comment ref="A41" authorId="0" shapeId="0" xr:uid="{00000000-0006-0000-0500-00000B000000}">
      <text>
        <r>
          <rPr>
            <sz val="11"/>
            <rFont val="Calibri"/>
            <family val="2"/>
            <scheme val="minor"/>
          </rPr>
          <t>YULIED.PENARANDA:
Vigencia a reportar</t>
        </r>
      </text>
    </comment>
    <comment ref="C41" authorId="0" shapeId="0" xr:uid="{00000000-0006-0000-0500-00000C000000}">
      <text>
        <r>
          <rPr>
            <sz val="11"/>
            <rFont val="Calibri"/>
            <family val="2"/>
            <scheme val="minor"/>
          </rPr>
          <t>YULIED.PENARANDA:
Apropiación inicial acorde con la herramienta oficial de la SDH</t>
        </r>
      </text>
    </comment>
    <comment ref="D41" authorId="0" shapeId="0" xr:uid="{00000000-0006-0000-0500-00000D000000}">
      <text>
        <r>
          <rPr>
            <sz val="11"/>
            <rFont val="Calibri"/>
            <family val="2"/>
            <scheme val="minor"/>
          </rPr>
          <t>YULIED.PENARANDA:
Apropiación inicial + 0 - movimientos positivos y/o negativos, con este valor se proyecta los compromisos</t>
        </r>
      </text>
    </comment>
    <comment ref="E41" authorId="0" shapeId="0" xr:uid="{00000000-0006-0000-0500-00000E000000}">
      <text>
        <r>
          <rPr>
            <sz val="11"/>
            <rFont val="Calibri"/>
            <family val="2"/>
            <scheme val="minor"/>
          </rPr>
          <t>YULIED.PENARANDA:
Valores contenidos en los Registros Presupuestales de Compromisos</t>
        </r>
      </text>
    </comment>
    <comment ref="F41" authorId="0" shapeId="0" xr:uid="{00000000-0006-0000-0500-00000F000000}">
      <text>
        <r>
          <rPr>
            <sz val="11"/>
            <rFont val="Calibri"/>
            <family val="2"/>
            <scheme val="minor"/>
          </rPr>
          <t xml:space="preserve">YULIED.PENARANDA:
Corresponde al pago </t>
        </r>
      </text>
    </comment>
    <comment ref="G41" authorId="0" shapeId="0" xr:uid="{00000000-0006-0000-0500-000010000000}">
      <text>
        <r>
          <rPr>
            <sz val="11"/>
            <rFont val="Calibri"/>
            <family val="2"/>
            <scheme val="minor"/>
          </rPr>
          <t>YULIED.PENARANDA:
Extinción de la obligación a cargo de la SDA.</t>
        </r>
      </text>
    </comment>
    <comment ref="A148" authorId="0" shapeId="0" xr:uid="{00000000-0006-0000-0500-000011000000}">
      <text>
        <r>
          <rPr>
            <sz val="11"/>
            <rFont val="Calibri"/>
            <family val="2"/>
            <scheme val="minor"/>
          </rPr>
          <t>YULIED.PENARANDA:
Corresponde a la información en firme de cada vigencia fiscal.</t>
        </r>
      </text>
    </comment>
    <comment ref="A149" authorId="0" shapeId="0" xr:uid="{00000000-0006-0000-0500-000012000000}">
      <text>
        <r>
          <rPr>
            <sz val="11"/>
            <rFont val="Calibri"/>
            <family val="2"/>
            <scheme val="minor"/>
          </rPr>
          <t>YULIED.PENARANDA:
Vigencia a reportar</t>
        </r>
      </text>
    </comment>
    <comment ref="C149" authorId="0" shapeId="0" xr:uid="{00000000-0006-0000-0500-000013000000}">
      <text>
        <r>
          <rPr>
            <sz val="11"/>
            <rFont val="Calibri"/>
            <family val="2"/>
            <scheme val="minor"/>
          </rPr>
          <t>YULIED.PENARANDA:
Apropiación inicial acorde con la herramienta oficial de la SDH</t>
        </r>
      </text>
    </comment>
    <comment ref="D149" authorId="0" shapeId="0" xr:uid="{00000000-0006-0000-0500-000014000000}">
      <text>
        <r>
          <rPr>
            <sz val="11"/>
            <rFont val="Calibri"/>
            <family val="2"/>
            <scheme val="minor"/>
          </rPr>
          <t>YULIED.PENARANDA:
Apropiación inicial + 0 - movimientos positivos y/o negativos, con este valor se proyecta los compromisos</t>
        </r>
      </text>
    </comment>
    <comment ref="E149" authorId="0" shapeId="0" xr:uid="{00000000-0006-0000-0500-000015000000}">
      <text>
        <r>
          <rPr>
            <sz val="11"/>
            <rFont val="Calibri"/>
            <family val="2"/>
            <scheme val="minor"/>
          </rPr>
          <t>YULIED.PENARANDA:
Valores contenidos en los Registros Presupuestales de Compromisos</t>
        </r>
      </text>
    </comment>
    <comment ref="F149" authorId="0" shapeId="0" xr:uid="{00000000-0006-0000-0500-000016000000}">
      <text>
        <r>
          <rPr>
            <sz val="11"/>
            <rFont val="Calibri"/>
            <family val="2"/>
            <scheme val="minor"/>
          </rPr>
          <t xml:space="preserve">YULIED.PENARANDA:
Corresponde al pago </t>
        </r>
      </text>
    </comment>
    <comment ref="G149" authorId="0" shapeId="0" xr:uid="{00000000-0006-0000-0500-000017000000}">
      <text>
        <r>
          <rPr>
            <sz val="11"/>
            <rFont val="Calibri"/>
            <family val="2"/>
            <scheme val="minor"/>
          </rPr>
          <t>YULIED.PENARANDA:
Extinción de la obligación a cargo de la SDA.</t>
        </r>
      </text>
    </comment>
    <comment ref="A183" authorId="0" shapeId="0" xr:uid="{00000000-0006-0000-0500-000018000000}">
      <text>
        <r>
          <rPr>
            <sz val="11"/>
            <rFont val="Calibri"/>
            <family val="2"/>
            <scheme val="minor"/>
          </rPr>
          <t>YULIED.PENARANDA:
Corresponde a la información en firme de cada vigencia fiscal.</t>
        </r>
      </text>
    </comment>
    <comment ref="A184" authorId="0" shapeId="0" xr:uid="{00000000-0006-0000-0500-000019000000}">
      <text>
        <r>
          <rPr>
            <sz val="11"/>
            <rFont val="Calibri"/>
            <family val="2"/>
            <scheme val="minor"/>
          </rPr>
          <t>YULIED.PENARANDA:
Vigencia a reportar</t>
        </r>
      </text>
    </comment>
    <comment ref="C184" authorId="0" shapeId="0" xr:uid="{00000000-0006-0000-0500-00001A000000}">
      <text>
        <r>
          <rPr>
            <sz val="11"/>
            <rFont val="Calibri"/>
            <family val="2"/>
            <scheme val="minor"/>
          </rPr>
          <t>YULIED.PENARANDA:
Apropiación inicial acorde con la herramienta oficial de la SDH</t>
        </r>
      </text>
    </comment>
    <comment ref="D184" authorId="0" shapeId="0" xr:uid="{00000000-0006-0000-0500-00001B000000}">
      <text>
        <r>
          <rPr>
            <sz val="11"/>
            <rFont val="Calibri"/>
            <family val="2"/>
            <scheme val="minor"/>
          </rPr>
          <t>YULIED.PENARANDA:
Apropiación inicial + 0 - movimientos positivos y/o negativos, con este valor se proyecta los compromisos</t>
        </r>
      </text>
    </comment>
    <comment ref="E184" authorId="0" shapeId="0" xr:uid="{00000000-0006-0000-0500-00001C000000}">
      <text>
        <r>
          <rPr>
            <sz val="11"/>
            <rFont val="Calibri"/>
            <family val="2"/>
            <scheme val="minor"/>
          </rPr>
          <t>YULIED.PENARANDA:
Valores contenidos en los Registros Presupuestales de Compromisos</t>
        </r>
      </text>
    </comment>
    <comment ref="F184" authorId="0" shapeId="0" xr:uid="{00000000-0006-0000-0500-00001D000000}">
      <text>
        <r>
          <rPr>
            <sz val="11"/>
            <rFont val="Calibri"/>
            <family val="2"/>
            <scheme val="minor"/>
          </rPr>
          <t xml:space="preserve">YULIED.PENARANDA:
Corresponde al pago </t>
        </r>
      </text>
    </comment>
    <comment ref="G184" authorId="0" shapeId="0" xr:uid="{00000000-0006-0000-0500-00001E000000}">
      <text>
        <r>
          <rPr>
            <sz val="11"/>
            <rFont val="Calibri"/>
            <family val="2"/>
            <scheme val="minor"/>
          </rPr>
          <t>YULIED.PENARANDA:
Extinción de la obligación a cargo de la SDA.</t>
        </r>
      </text>
    </comment>
    <comment ref="A198" authorId="0" shapeId="0" xr:uid="{00000000-0006-0000-0500-00001F000000}">
      <text>
        <r>
          <rPr>
            <sz val="11"/>
            <rFont val="Calibri"/>
            <family val="2"/>
            <scheme val="minor"/>
          </rPr>
          <t>YULIED.PENARANDA:
Corresponde a la información en firme de cada vigencia fiscal.</t>
        </r>
      </text>
    </comment>
    <comment ref="A199" authorId="0" shapeId="0" xr:uid="{00000000-0006-0000-0500-000020000000}">
      <text>
        <r>
          <rPr>
            <sz val="11"/>
            <rFont val="Calibri"/>
            <family val="2"/>
            <scheme val="minor"/>
          </rPr>
          <t>YULIED.PENARANDA:
Vigencia a reportar</t>
        </r>
      </text>
    </comment>
    <comment ref="C199" authorId="0" shapeId="0" xr:uid="{00000000-0006-0000-0500-000021000000}">
      <text>
        <r>
          <rPr>
            <sz val="11"/>
            <rFont val="Calibri"/>
            <family val="2"/>
            <scheme val="minor"/>
          </rPr>
          <t>YULIED.PENARANDA:
Apropiación inicial acorde con la herramienta oficial de la SDH</t>
        </r>
      </text>
    </comment>
    <comment ref="D199" authorId="0" shapeId="0" xr:uid="{00000000-0006-0000-0500-000022000000}">
      <text>
        <r>
          <rPr>
            <sz val="11"/>
            <rFont val="Calibri"/>
            <family val="2"/>
            <scheme val="minor"/>
          </rPr>
          <t>YULIED.PENARANDA:
Apropiación inicial + 0 - movimientos positivos y/o negativos, con este valor se proyecta los compromisos</t>
        </r>
      </text>
    </comment>
    <comment ref="E199" authorId="0" shapeId="0" xr:uid="{00000000-0006-0000-0500-000023000000}">
      <text>
        <r>
          <rPr>
            <sz val="11"/>
            <rFont val="Calibri"/>
            <family val="2"/>
            <scheme val="minor"/>
          </rPr>
          <t>YULIED.PENARANDA:
Valores contenidos en los Registros Presupuestales de Compromisos</t>
        </r>
      </text>
    </comment>
    <comment ref="F199" authorId="0" shapeId="0" xr:uid="{00000000-0006-0000-0500-000024000000}">
      <text>
        <r>
          <rPr>
            <sz val="11"/>
            <rFont val="Calibri"/>
            <family val="2"/>
            <scheme val="minor"/>
          </rPr>
          <t xml:space="preserve">YULIED.PENARANDA:
Corresponde al pago </t>
        </r>
      </text>
    </comment>
    <comment ref="G199" authorId="0" shapeId="0" xr:uid="{00000000-0006-0000-0500-000025000000}">
      <text>
        <r>
          <rPr>
            <sz val="11"/>
            <rFont val="Calibri"/>
            <family val="2"/>
            <scheme val="minor"/>
          </rPr>
          <t>YULIED.PENARANDA:
Extinción de la obligación a cargo de la SDA.</t>
        </r>
      </text>
    </comment>
    <comment ref="A213" authorId="0" shapeId="0" xr:uid="{00000000-0006-0000-0500-000026000000}">
      <text>
        <r>
          <rPr>
            <sz val="11"/>
            <rFont val="Calibri"/>
            <family val="2"/>
            <scheme val="minor"/>
          </rPr>
          <t>YULIED.PENARANDA:
Avance productos e indicadores de productos (según cadena de valor)
NOTA: Desagregar cuadro cuantas veces tenga productos y/o indicadores asociados</t>
        </r>
      </text>
    </comment>
    <comment ref="A214" authorId="0" shapeId="0" xr:uid="{00000000-0006-0000-0500-000027000000}">
      <text>
        <r>
          <rPr>
            <sz val="11"/>
            <rFont val="Calibri"/>
            <family val="2"/>
            <scheme val="minor"/>
          </rPr>
          <t>YULIED.PENARANDA:
Vigencia a reportar</t>
        </r>
      </text>
    </comment>
    <comment ref="B214" authorId="0" shapeId="0" xr:uid="{00000000-0006-0000-0500-000028000000}">
      <text>
        <r>
          <rPr>
            <sz val="11"/>
            <rFont val="Calibri"/>
            <family val="2"/>
            <scheme val="minor"/>
          </rPr>
          <t>YULIED.PENARANDA:
Describir los objetivo específico del proyecto, como se definió en la formulación del proyecto</t>
        </r>
      </text>
    </comment>
    <comment ref="C214" authorId="0" shapeId="0" xr:uid="{00000000-0006-0000-0500-000029000000}">
      <text>
        <r>
          <rPr>
            <sz val="11"/>
            <rFont val="Calibri"/>
            <family val="2"/>
            <scheme val="minor"/>
          </rPr>
          <t>YULIED.PENARANDA:
Describir los productos del proyecto, como se definió en la formulación del proyecto y de acuerdo con el catálogo de productos DNP</t>
        </r>
      </text>
    </comment>
    <comment ref="D214" authorId="0" shapeId="0" xr:uid="{00000000-0006-0000-0500-00002A000000}">
      <text>
        <r>
          <rPr>
            <sz val="11"/>
            <rFont val="Calibri"/>
            <family val="2"/>
            <scheme val="minor"/>
          </rPr>
          <t xml:space="preserve">YULIED.PENARANDA:
Nombre completo del indicador. Expresión verbal, precisa y concreta del patrón de evaluación. </t>
        </r>
      </text>
    </comment>
    <comment ref="E214" authorId="0" shapeId="0" xr:uid="{00000000-0006-0000-0500-00002B000000}">
      <text>
        <r>
          <rPr>
            <sz val="11"/>
            <rFont val="Calibri"/>
            <family val="2"/>
            <scheme val="minor"/>
          </rPr>
          <t xml:space="preserve">YULIED.PENARANDA:
Unidad cualitativa del indicador, define las características de la magnitud a realizar seguimiento. Eje: Hectáreas, estrategias, modelos, etc. </t>
        </r>
      </text>
    </comment>
    <comment ref="F214" authorId="0" shapeId="0" xr:uid="{00000000-0006-0000-0500-00002C000000}">
      <text>
        <r>
          <rPr>
            <sz val="11"/>
            <rFont val="Calibri"/>
            <family val="2"/>
            <scheme val="minor"/>
          </rPr>
          <t>YULIED.PENARANDA:
Ponderación del indicador se realiza de acuerdo al peso que cada producto tiene en el caso total del proyecto.</t>
        </r>
      </text>
    </comment>
    <comment ref="G214" authorId="0" shapeId="0" xr:uid="{00000000-0006-0000-0500-00002D000000}">
      <text>
        <r>
          <rPr>
            <sz val="11"/>
            <rFont val="Calibri"/>
            <family val="2"/>
            <scheme val="minor"/>
          </rPr>
          <t>YULIED.PENARANDA:
Nombre completo de la Meta  del Plan de Desarrollo, como se relaciona en el de gestión</t>
        </r>
      </text>
    </comment>
    <comment ref="N214" authorId="0" shapeId="0" xr:uid="{00000000-0006-0000-0500-00002E000000}">
      <text>
        <r>
          <rPr>
            <sz val="11"/>
            <rFont val="Calibri"/>
            <family val="2"/>
            <scheme val="minor"/>
          </rPr>
          <t>YULIED.PENARANDA:
Descripción concreta del avance, máximo de caracteres 200</t>
        </r>
      </text>
    </comment>
    <comment ref="A223" authorId="0" shapeId="0" xr:uid="{00000000-0006-0000-0500-00002F000000}">
      <text>
        <r>
          <rPr>
            <sz val="11"/>
            <rFont val="Calibri"/>
            <family val="2"/>
            <scheme val="minor"/>
          </rPr>
          <t>YULIED.PENARANDA:
Vigencia a reportar</t>
        </r>
      </text>
    </comment>
    <comment ref="B223" authorId="0" shapeId="0" xr:uid="{00000000-0006-0000-0500-000030000000}">
      <text>
        <r>
          <rPr>
            <sz val="11"/>
            <rFont val="Calibri"/>
            <family val="2"/>
            <scheme val="minor"/>
          </rPr>
          <t>YULIED.PENARANDA:
Describir los objetivo específico del proyecto, como se definió en la formulación del proyecto</t>
        </r>
      </text>
    </comment>
    <comment ref="C223" authorId="0" shapeId="0" xr:uid="{00000000-0006-0000-0500-000031000000}">
      <text>
        <r>
          <rPr>
            <sz val="11"/>
            <rFont val="Calibri"/>
            <family val="2"/>
            <scheme val="minor"/>
          </rPr>
          <t>YULIED.PENARANDA:
Describir los productos del proyecto, como se definió en la formulación del proyecto y de acuerdo con el catálogo de productos DNP</t>
        </r>
      </text>
    </comment>
    <comment ref="D223" authorId="0" shapeId="0" xr:uid="{00000000-0006-0000-0500-000032000000}">
      <text>
        <r>
          <rPr>
            <sz val="11"/>
            <rFont val="Calibri"/>
            <family val="2"/>
            <scheme val="minor"/>
          </rPr>
          <t xml:space="preserve">YULIED.PENARANDA:
Nombre completo del indicador. Expresión verbal, precisa y concreta del patrón de evaluación. </t>
        </r>
      </text>
    </comment>
    <comment ref="E223" authorId="0" shapeId="0" xr:uid="{00000000-0006-0000-0500-000033000000}">
      <text>
        <r>
          <rPr>
            <sz val="11"/>
            <rFont val="Calibri"/>
            <family val="2"/>
            <scheme val="minor"/>
          </rPr>
          <t xml:space="preserve">YULIED.PENARANDA:
Unidad cualitativa del indicador, define las características de la magnitud a realizar seguimiento. Eje: Hectáreas, estrategias, modelos, etc. </t>
        </r>
      </text>
    </comment>
    <comment ref="F223" authorId="0" shapeId="0" xr:uid="{00000000-0006-0000-0500-000034000000}">
      <text>
        <r>
          <rPr>
            <sz val="11"/>
            <rFont val="Calibri"/>
            <family val="2"/>
            <scheme val="minor"/>
          </rPr>
          <t>YULIED.PENARANDA:
Ponderación del indicador se realiza de acuerdo al peso que cada producto tiene en el caso total del proyecto.</t>
        </r>
      </text>
    </comment>
    <comment ref="G223" authorId="0" shapeId="0" xr:uid="{00000000-0006-0000-0500-000035000000}">
      <text>
        <r>
          <rPr>
            <sz val="11"/>
            <rFont val="Calibri"/>
            <family val="2"/>
            <scheme val="minor"/>
          </rPr>
          <t>YULIED.PENARANDA:
Nombre completo de la Meta  del Plan de Desarrollo, como se relaciona en el de gestión</t>
        </r>
      </text>
    </comment>
    <comment ref="N223" authorId="0" shapeId="0" xr:uid="{00000000-0006-0000-0500-000036000000}">
      <text>
        <r>
          <rPr>
            <sz val="11"/>
            <rFont val="Calibri"/>
            <family val="2"/>
            <scheme val="minor"/>
          </rPr>
          <t>YULIED.PENARANDA:
Descripción concreta del avance, máximo de caracteres 200</t>
        </r>
      </text>
    </comment>
    <comment ref="A232" authorId="0" shapeId="0" xr:uid="{00000000-0006-0000-0500-000037000000}">
      <text>
        <r>
          <rPr>
            <sz val="11"/>
            <rFont val="Calibri"/>
            <family val="2"/>
            <scheme val="minor"/>
          </rPr>
          <t>YULIED.PENARANDA:
Vigencia a reportar</t>
        </r>
      </text>
    </comment>
    <comment ref="B232" authorId="0" shapeId="0" xr:uid="{00000000-0006-0000-0500-000038000000}">
      <text>
        <r>
          <rPr>
            <sz val="11"/>
            <rFont val="Calibri"/>
            <family val="2"/>
            <scheme val="minor"/>
          </rPr>
          <t>YULIED.PENARANDA:
Describir los objetivo específico del proyecto, como se definió en la formulación del proyecto</t>
        </r>
      </text>
    </comment>
    <comment ref="C232" authorId="0" shapeId="0" xr:uid="{00000000-0006-0000-0500-000039000000}">
      <text>
        <r>
          <rPr>
            <sz val="11"/>
            <rFont val="Calibri"/>
            <family val="2"/>
            <scheme val="minor"/>
          </rPr>
          <t>YULIED.PENARANDA:
Describir los productos del proyecto, como se definió en la formulación del proyecto y de acuerdo con el catálogo de productos DNP</t>
        </r>
      </text>
    </comment>
    <comment ref="D232" authorId="0" shapeId="0" xr:uid="{00000000-0006-0000-0500-00003A000000}">
      <text>
        <r>
          <rPr>
            <sz val="11"/>
            <rFont val="Calibri"/>
            <family val="2"/>
            <scheme val="minor"/>
          </rPr>
          <t xml:space="preserve">YULIED.PENARANDA:
Nombre completo del indicador. Expresión verbal, precisa y concreta del patrón de evaluación. </t>
        </r>
      </text>
    </comment>
    <comment ref="E232" authorId="0" shapeId="0" xr:uid="{00000000-0006-0000-0500-00003B000000}">
      <text>
        <r>
          <rPr>
            <sz val="11"/>
            <rFont val="Calibri"/>
            <family val="2"/>
            <scheme val="minor"/>
          </rPr>
          <t xml:space="preserve">YULIED.PENARANDA:
Unidad cualitativa del indicador, define las características de la magnitud a realizar seguimiento. Eje: Hectáreas, estrategias, modelos, etc. </t>
        </r>
      </text>
    </comment>
    <comment ref="F232" authorId="0" shapeId="0" xr:uid="{00000000-0006-0000-0500-00003C000000}">
      <text>
        <r>
          <rPr>
            <sz val="11"/>
            <rFont val="Calibri"/>
            <family val="2"/>
            <scheme val="minor"/>
          </rPr>
          <t>YULIED.PENARANDA:
Ponderación del indicador se realiza de acuerdo al peso que cada producto tiene en el caso total del proyecto.</t>
        </r>
      </text>
    </comment>
    <comment ref="G232" authorId="0" shapeId="0" xr:uid="{00000000-0006-0000-0500-00003D000000}">
      <text>
        <r>
          <rPr>
            <sz val="11"/>
            <rFont val="Calibri"/>
            <family val="2"/>
            <scheme val="minor"/>
          </rPr>
          <t>YULIED.PENARANDA:
Nombre completo de la Meta  del Plan de Desarrollo, como se relaciona en el de gestión</t>
        </r>
      </text>
    </comment>
    <comment ref="N232" authorId="0" shapeId="0" xr:uid="{00000000-0006-0000-0500-00003E000000}">
      <text>
        <r>
          <rPr>
            <sz val="11"/>
            <rFont val="Calibri"/>
            <family val="2"/>
            <scheme val="minor"/>
          </rPr>
          <t>YULIED.PENARANDA:
Descripción concreta del avance, máximo de caracteres 200</t>
        </r>
      </text>
    </comment>
    <comment ref="A241" authorId="0" shapeId="0" xr:uid="{00000000-0006-0000-0500-00003F000000}">
      <text>
        <r>
          <rPr>
            <sz val="11"/>
            <rFont val="Calibri"/>
            <family val="2"/>
            <scheme val="minor"/>
          </rPr>
          <t>YULIED.PENARANDA:
Vigencia a reportar</t>
        </r>
      </text>
    </comment>
    <comment ref="B241" authorId="0" shapeId="0" xr:uid="{00000000-0006-0000-0500-000040000000}">
      <text>
        <r>
          <rPr>
            <sz val="11"/>
            <rFont val="Calibri"/>
            <family val="2"/>
            <scheme val="minor"/>
          </rPr>
          <t>YULIED.PENARANDA:
Describir los objetivo específico del proyecto, como se definió en la formulación del proyecto</t>
        </r>
      </text>
    </comment>
    <comment ref="C241" authorId="0" shapeId="0" xr:uid="{00000000-0006-0000-0500-000041000000}">
      <text>
        <r>
          <rPr>
            <sz val="11"/>
            <rFont val="Calibri"/>
            <family val="2"/>
            <scheme val="minor"/>
          </rPr>
          <t>YULIED.PENARANDA:
Describir los productos del proyecto, como se definió en la formulación del proyecto y de acuerdo con el catálogo de productos DNP</t>
        </r>
      </text>
    </comment>
    <comment ref="D241" authorId="0" shapeId="0" xr:uid="{00000000-0006-0000-0500-000042000000}">
      <text>
        <r>
          <rPr>
            <sz val="11"/>
            <rFont val="Calibri"/>
            <family val="2"/>
            <scheme val="minor"/>
          </rPr>
          <t xml:space="preserve">YULIED.PENARANDA:
Nombre completo del indicador. Expresión verbal, precisa y concreta del patrón de evaluación. </t>
        </r>
      </text>
    </comment>
    <comment ref="E241" authorId="0" shapeId="0" xr:uid="{00000000-0006-0000-0500-000043000000}">
      <text>
        <r>
          <rPr>
            <sz val="11"/>
            <rFont val="Calibri"/>
            <family val="2"/>
            <scheme val="minor"/>
          </rPr>
          <t xml:space="preserve">YULIED.PENARANDA:
Unidad cualitativa del indicador, define las características de la magnitud a realizar seguimiento. Eje: Hectáreas, estrategias, modelos, etc. </t>
        </r>
      </text>
    </comment>
    <comment ref="F241" authorId="0" shapeId="0" xr:uid="{00000000-0006-0000-0500-000044000000}">
      <text>
        <r>
          <rPr>
            <sz val="11"/>
            <rFont val="Calibri"/>
            <family val="2"/>
            <scheme val="minor"/>
          </rPr>
          <t>YULIED.PENARANDA:
Ponderación del indicador se realiza de acuerdo al peso que cada producto tiene en el caso total del proyecto.</t>
        </r>
      </text>
    </comment>
    <comment ref="G241" authorId="0" shapeId="0" xr:uid="{00000000-0006-0000-0500-000045000000}">
      <text>
        <r>
          <rPr>
            <sz val="11"/>
            <rFont val="Calibri"/>
            <family val="2"/>
            <scheme val="minor"/>
          </rPr>
          <t>YULIED.PENARANDA:
Nombre completo de la Meta  del Plan de Desarrollo, como se relaciona en el de gestión</t>
        </r>
      </text>
    </comment>
    <comment ref="N241" authorId="0" shapeId="0" xr:uid="{00000000-0006-0000-0500-000046000000}">
      <text>
        <r>
          <rPr>
            <sz val="11"/>
            <rFont val="Calibri"/>
            <family val="2"/>
            <scheme val="minor"/>
          </rPr>
          <t>YULIED.PENARANDA:
Descripción concreta del avance, máximo de caracteres 200</t>
        </r>
      </text>
    </comment>
    <comment ref="A250" authorId="0" shapeId="0" xr:uid="{00000000-0006-0000-0500-000047000000}">
      <text>
        <r>
          <rPr>
            <sz val="11"/>
            <rFont val="Calibri"/>
            <family val="2"/>
            <scheme val="minor"/>
          </rPr>
          <t>YULIED.PENARANDA:
Avance productos e indicadores de productos (según cadena de valor)
NOTA: Desagregar cuadro cuantas veces tenga productos y/o indicadores asociados</t>
        </r>
      </text>
    </comment>
    <comment ref="A251" authorId="0" shapeId="0" xr:uid="{00000000-0006-0000-0500-000048000000}">
      <text>
        <r>
          <rPr>
            <sz val="11"/>
            <rFont val="Calibri"/>
            <family val="2"/>
            <scheme val="minor"/>
          </rPr>
          <t>YULIED.PENARANDA:
Vigencia a reportar</t>
        </r>
      </text>
    </comment>
    <comment ref="B251" authorId="0" shapeId="0" xr:uid="{00000000-0006-0000-0500-000049000000}">
      <text>
        <r>
          <rPr>
            <sz val="11"/>
            <rFont val="Calibri"/>
            <family val="2"/>
            <scheme val="minor"/>
          </rPr>
          <t>YULIED.PENARANDA:
Describir los objetivo específico del proyecto, como se definió en la formulación del proyecto</t>
        </r>
      </text>
    </comment>
    <comment ref="C251" authorId="0" shapeId="0" xr:uid="{00000000-0006-0000-0500-00004A000000}">
      <text>
        <r>
          <rPr>
            <sz val="11"/>
            <rFont val="Calibri"/>
            <family val="2"/>
            <scheme val="minor"/>
          </rPr>
          <t>YULIED.PENARANDA:
Describir los productos del proyecto, como se definió en la formulación del proyecto y de acuerdo con el catálogo de productos DNP</t>
        </r>
      </text>
    </comment>
    <comment ref="D251" authorId="0" shapeId="0" xr:uid="{00000000-0006-0000-0500-00004B000000}">
      <text>
        <r>
          <rPr>
            <sz val="11"/>
            <rFont val="Calibri"/>
            <family val="2"/>
            <scheme val="minor"/>
          </rPr>
          <t xml:space="preserve">YULIED.PENARANDA:
Nombre completo del indicador. Expresión verbal, precisa y concreta del patrón de evaluación. </t>
        </r>
      </text>
    </comment>
    <comment ref="E251" authorId="0" shapeId="0" xr:uid="{00000000-0006-0000-0500-00004C000000}">
      <text>
        <r>
          <rPr>
            <sz val="11"/>
            <rFont val="Calibri"/>
            <family val="2"/>
            <scheme val="minor"/>
          </rPr>
          <t xml:space="preserve">YULIED.PENARANDA:
Unidad cualitativa del indicador, define las características de la magnitud a realizar seguimiento. Eje: Hectáreas, estrategias, modelos, etc. </t>
        </r>
      </text>
    </comment>
    <comment ref="F251" authorId="0" shapeId="0" xr:uid="{00000000-0006-0000-0500-00004D000000}">
      <text>
        <r>
          <rPr>
            <sz val="11"/>
            <rFont val="Calibri"/>
            <family val="2"/>
            <scheme val="minor"/>
          </rPr>
          <t>YULIED.PENARANDA:
Ponderación del indicador se realiza de acuerdo al peso que cada producto tiene en el caso total del proyecto.</t>
        </r>
      </text>
    </comment>
    <comment ref="G251" authorId="0" shapeId="0" xr:uid="{00000000-0006-0000-0500-00004E000000}">
      <text>
        <r>
          <rPr>
            <sz val="11"/>
            <rFont val="Calibri"/>
            <family val="2"/>
            <scheme val="minor"/>
          </rPr>
          <t>YULIED.PENARANDA:
Nombre completo de la Meta  del Plan de Desarrollo, como se relaciona en el de gestión</t>
        </r>
      </text>
    </comment>
    <comment ref="N251" authorId="0" shapeId="0" xr:uid="{00000000-0006-0000-0500-00004F000000}">
      <text>
        <r>
          <rPr>
            <sz val="11"/>
            <rFont val="Calibri"/>
            <family val="2"/>
            <scheme val="minor"/>
          </rPr>
          <t>YULIED.PENARANDA:
Descripción concreta del avance, máximo de caracteres 200</t>
        </r>
      </text>
    </comment>
    <comment ref="A265" authorId="0" shapeId="0" xr:uid="{00000000-0006-0000-0500-000050000000}">
      <text>
        <r>
          <rPr>
            <sz val="11"/>
            <rFont val="Calibri"/>
            <family val="2"/>
            <scheme val="minor"/>
          </rPr>
          <t>YULIED.PENARANDA:
Vigencia a reportar</t>
        </r>
      </text>
    </comment>
    <comment ref="B265" authorId="0" shapeId="0" xr:uid="{00000000-0006-0000-0500-000051000000}">
      <text>
        <r>
          <rPr>
            <sz val="11"/>
            <rFont val="Calibri"/>
            <family val="2"/>
            <scheme val="minor"/>
          </rPr>
          <t>YULIED.PENARANDA:
Describir los objetivo específico del proyecto, como se definió en la formulación del proyecto</t>
        </r>
      </text>
    </comment>
    <comment ref="C265" authorId="0" shapeId="0" xr:uid="{00000000-0006-0000-0500-000052000000}">
      <text>
        <r>
          <rPr>
            <sz val="11"/>
            <rFont val="Calibri"/>
            <family val="2"/>
            <scheme val="minor"/>
          </rPr>
          <t>YULIED.PENARANDA:
Describir los productos del proyecto, como se definió en la formulación del proyecto y de acuerdo con el catálogo de productos DNP</t>
        </r>
      </text>
    </comment>
    <comment ref="D265" authorId="0" shapeId="0" xr:uid="{00000000-0006-0000-0500-000053000000}">
      <text>
        <r>
          <rPr>
            <sz val="11"/>
            <rFont val="Calibri"/>
            <family val="2"/>
            <scheme val="minor"/>
          </rPr>
          <t xml:space="preserve">YULIED.PENARANDA:
Nombre completo del indicador. Expresión verbal, precisa y concreta del patrón de evaluación. </t>
        </r>
      </text>
    </comment>
    <comment ref="E265" authorId="0" shapeId="0" xr:uid="{00000000-0006-0000-0500-000054000000}">
      <text>
        <r>
          <rPr>
            <sz val="11"/>
            <rFont val="Calibri"/>
            <family val="2"/>
            <scheme val="minor"/>
          </rPr>
          <t xml:space="preserve">YULIED.PENARANDA:
Unidad cualitativa del indicador, define las características de la magnitud a realizar seguimiento. Eje: Hectáreas, estrategias, modelos, etc. </t>
        </r>
      </text>
    </comment>
    <comment ref="F265" authorId="0" shapeId="0" xr:uid="{00000000-0006-0000-0500-000055000000}">
      <text>
        <r>
          <rPr>
            <sz val="11"/>
            <rFont val="Calibri"/>
            <family val="2"/>
            <scheme val="minor"/>
          </rPr>
          <t>YULIED.PENARANDA:
Ponderación del indicador se realiza de acuerdo al peso que cada producto tiene en el caso total del proyecto.</t>
        </r>
      </text>
    </comment>
    <comment ref="G265" authorId="0" shapeId="0" xr:uid="{00000000-0006-0000-0500-000056000000}">
      <text>
        <r>
          <rPr>
            <sz val="11"/>
            <rFont val="Calibri"/>
            <family val="2"/>
            <scheme val="minor"/>
          </rPr>
          <t>YULIED.PENARANDA:
Nombre completo de la Meta  del Plan de Desarrollo, como se relaciona en el de gestión</t>
        </r>
      </text>
    </comment>
    <comment ref="N265" authorId="0" shapeId="0" xr:uid="{00000000-0006-0000-0500-000057000000}">
      <text>
        <r>
          <rPr>
            <sz val="11"/>
            <rFont val="Calibri"/>
            <family val="2"/>
            <scheme val="minor"/>
          </rPr>
          <t>YULIED.PENARANDA:
Descripción concreta del avance, máximo de caracteres 200</t>
        </r>
      </text>
    </comment>
    <comment ref="A279" authorId="0" shapeId="0" xr:uid="{00000000-0006-0000-0500-000058000000}">
      <text>
        <r>
          <rPr>
            <sz val="11"/>
            <rFont val="Calibri"/>
            <family val="2"/>
            <scheme val="minor"/>
          </rPr>
          <t>YULIED.PENARANDA:
Vigencia a reportar</t>
        </r>
      </text>
    </comment>
    <comment ref="B279" authorId="0" shapeId="0" xr:uid="{00000000-0006-0000-0500-000059000000}">
      <text>
        <r>
          <rPr>
            <sz val="11"/>
            <rFont val="Calibri"/>
            <family val="2"/>
            <scheme val="minor"/>
          </rPr>
          <t>YULIED.PENARANDA:
Describir los objetivo específico del proyecto, como se definió en la formulación del proyecto</t>
        </r>
      </text>
    </comment>
    <comment ref="C279" authorId="0" shapeId="0" xr:uid="{00000000-0006-0000-0500-00005A000000}">
      <text>
        <r>
          <rPr>
            <sz val="11"/>
            <rFont val="Calibri"/>
            <family val="2"/>
            <scheme val="minor"/>
          </rPr>
          <t>YULIED.PENARANDA:
Describir los productos del proyecto, como se definió en la formulación del proyecto y de acuerdo con el catálogo de productos DNP</t>
        </r>
      </text>
    </comment>
    <comment ref="D279" authorId="0" shapeId="0" xr:uid="{00000000-0006-0000-0500-00005B000000}">
      <text>
        <r>
          <rPr>
            <sz val="11"/>
            <rFont val="Calibri"/>
            <family val="2"/>
            <scheme val="minor"/>
          </rPr>
          <t xml:space="preserve">YULIED.PENARANDA:
Nombre completo del indicador. Expresión verbal, precisa y concreta del patrón de evaluación. </t>
        </r>
      </text>
    </comment>
    <comment ref="E279" authorId="0" shapeId="0" xr:uid="{00000000-0006-0000-0500-00005C000000}">
      <text>
        <r>
          <rPr>
            <sz val="11"/>
            <rFont val="Calibri"/>
            <family val="2"/>
            <scheme val="minor"/>
          </rPr>
          <t xml:space="preserve">YULIED.PENARANDA:
Unidad cualitativa del indicador, define las características de la magnitud a realizar seguimiento. Eje: Hectáreas, estrategias, modelos, etc. </t>
        </r>
      </text>
    </comment>
    <comment ref="F279" authorId="0" shapeId="0" xr:uid="{00000000-0006-0000-0500-00005D000000}">
      <text>
        <r>
          <rPr>
            <sz val="11"/>
            <rFont val="Calibri"/>
            <family val="2"/>
            <scheme val="minor"/>
          </rPr>
          <t>YULIED.PENARANDA:
Ponderación del indicador se realiza de acuerdo al peso que cada producto tiene en el caso total del proyecto.</t>
        </r>
      </text>
    </comment>
    <comment ref="G279" authorId="0" shapeId="0" xr:uid="{00000000-0006-0000-0500-00005E000000}">
      <text>
        <r>
          <rPr>
            <sz val="11"/>
            <rFont val="Calibri"/>
            <family val="2"/>
            <scheme val="minor"/>
          </rPr>
          <t>YULIED.PENARANDA:
Nombre completo de la Meta  del Plan de Desarrollo, como se relaciona en el de gestión</t>
        </r>
      </text>
    </comment>
    <comment ref="N279" authorId="0" shapeId="0" xr:uid="{00000000-0006-0000-0500-00005F000000}">
      <text>
        <r>
          <rPr>
            <sz val="11"/>
            <rFont val="Calibri"/>
            <family val="2"/>
            <scheme val="minor"/>
          </rPr>
          <t>YULIED.PENARANDA:
Descripción concreta del avance, máximo de caracteres 200</t>
        </r>
      </text>
    </comment>
    <comment ref="A294" authorId="0" shapeId="0" xr:uid="{00000000-0006-0000-0500-000060000000}">
      <text>
        <r>
          <rPr>
            <sz val="11"/>
            <rFont val="Calibri"/>
            <family val="2"/>
            <scheme val="minor"/>
          </rPr>
          <t>YULIED.PENARANDA:
Vigencia a reportar</t>
        </r>
      </text>
    </comment>
    <comment ref="B294" authorId="0" shapeId="0" xr:uid="{00000000-0006-0000-0500-000061000000}">
      <text>
        <r>
          <rPr>
            <sz val="11"/>
            <rFont val="Calibri"/>
            <family val="2"/>
            <scheme val="minor"/>
          </rPr>
          <t>YULIED.PENARANDA:
Describir los objetivo específico del proyecto, como se definió en la formulación del proyecto</t>
        </r>
      </text>
    </comment>
    <comment ref="C294" authorId="0" shapeId="0" xr:uid="{00000000-0006-0000-0500-000062000000}">
      <text>
        <r>
          <rPr>
            <sz val="11"/>
            <rFont val="Calibri"/>
            <family val="2"/>
            <scheme val="minor"/>
          </rPr>
          <t>YULIED.PENARANDA:
Describir los productos del proyecto, como se definió en la formulación del proyecto y de acuerdo con el catálogo de productos DNP</t>
        </r>
      </text>
    </comment>
    <comment ref="D294" authorId="0" shapeId="0" xr:uid="{00000000-0006-0000-0500-000063000000}">
      <text>
        <r>
          <rPr>
            <sz val="11"/>
            <rFont val="Calibri"/>
            <family val="2"/>
            <scheme val="minor"/>
          </rPr>
          <t xml:space="preserve">YULIED.PENARANDA:
Nombre completo del indicador. Expresión verbal, precisa y concreta del patrón de evaluación. </t>
        </r>
      </text>
    </comment>
    <comment ref="E294" authorId="0" shapeId="0" xr:uid="{00000000-0006-0000-0500-000064000000}">
      <text>
        <r>
          <rPr>
            <sz val="11"/>
            <rFont val="Calibri"/>
            <family val="2"/>
            <scheme val="minor"/>
          </rPr>
          <t xml:space="preserve">YULIED.PENARANDA:
Unidad cualitativa del indicador, define las características de la magnitud a realizar seguimiento. Eje: Hectáreas, estrategias, modelos, etc. </t>
        </r>
      </text>
    </comment>
    <comment ref="F294" authorId="0" shapeId="0" xr:uid="{00000000-0006-0000-0500-000065000000}">
      <text>
        <r>
          <rPr>
            <sz val="11"/>
            <rFont val="Calibri"/>
            <family val="2"/>
            <scheme val="minor"/>
          </rPr>
          <t>YULIED.PENARANDA:
Ponderación del indicador se realiza de acuerdo al peso que cada producto tiene en el caso total del proyecto.</t>
        </r>
      </text>
    </comment>
    <comment ref="G294" authorId="0" shapeId="0" xr:uid="{00000000-0006-0000-0500-000066000000}">
      <text>
        <r>
          <rPr>
            <sz val="11"/>
            <rFont val="Calibri"/>
            <family val="2"/>
            <scheme val="minor"/>
          </rPr>
          <t>YULIED.PENARANDA:
Nombre completo de la Meta  del Plan de Desarrollo, como se relaciona en el de gestión</t>
        </r>
      </text>
    </comment>
    <comment ref="N294" authorId="0" shapeId="0" xr:uid="{00000000-0006-0000-0500-000067000000}">
      <text>
        <r>
          <rPr>
            <sz val="11"/>
            <rFont val="Calibri"/>
            <family val="2"/>
            <scheme val="minor"/>
          </rPr>
          <t>YULIED.PENARANDA:
Descripción concreta del avance, máximo de caracteres 200</t>
        </r>
      </text>
    </comment>
    <comment ref="A309" authorId="0" shapeId="0" xr:uid="{00000000-0006-0000-0500-000068000000}">
      <text>
        <r>
          <rPr>
            <sz val="11"/>
            <rFont val="Calibri"/>
            <family val="2"/>
            <scheme val="minor"/>
          </rPr>
          <t>YULIED.PENARANDA:
Avance productos e indicadores de productos (según cadena de valor)
NOTA: Desagregar cuadro cuantas veces tenga productos y/o indicadores asociados</t>
        </r>
      </text>
    </comment>
    <comment ref="A310" authorId="0" shapeId="0" xr:uid="{00000000-0006-0000-0500-000069000000}">
      <text>
        <r>
          <rPr>
            <sz val="11"/>
            <rFont val="Calibri"/>
            <family val="2"/>
            <scheme val="minor"/>
          </rPr>
          <t>YULIED.PENARANDA:
Vigencia a reportar</t>
        </r>
      </text>
    </comment>
    <comment ref="B310" authorId="0" shapeId="0" xr:uid="{00000000-0006-0000-0500-00006A000000}">
      <text>
        <r>
          <rPr>
            <sz val="11"/>
            <rFont val="Calibri"/>
            <family val="2"/>
            <scheme val="minor"/>
          </rPr>
          <t>YULIED.PENARANDA:
Describir los objetivo específico del proyecto, como se definió en la formulación del proyecto</t>
        </r>
      </text>
    </comment>
    <comment ref="C310" authorId="0" shapeId="0" xr:uid="{00000000-0006-0000-0500-00006B000000}">
      <text>
        <r>
          <rPr>
            <sz val="11"/>
            <rFont val="Calibri"/>
            <family val="2"/>
            <scheme val="minor"/>
          </rPr>
          <t>YULIED.PENARANDA:
Describir los productos del proyecto, como se definió en la formulación del proyecto y de acuerdo con el catálogo de productos DNP</t>
        </r>
      </text>
    </comment>
    <comment ref="D310" authorId="0" shapeId="0" xr:uid="{00000000-0006-0000-0500-00006C000000}">
      <text>
        <r>
          <rPr>
            <sz val="11"/>
            <rFont val="Calibri"/>
            <family val="2"/>
            <scheme val="minor"/>
          </rPr>
          <t xml:space="preserve">YULIED.PENARANDA:
Nombre completo del indicador. Expresión verbal, precisa y concreta del patrón de evaluación. </t>
        </r>
      </text>
    </comment>
    <comment ref="E310" authorId="0" shapeId="0" xr:uid="{00000000-0006-0000-0500-00006D000000}">
      <text>
        <r>
          <rPr>
            <sz val="11"/>
            <rFont val="Calibri"/>
            <family val="2"/>
            <scheme val="minor"/>
          </rPr>
          <t xml:space="preserve">YULIED.PENARANDA:
Unidad cualitativa del indicador, define las características de la magnitud a realizar seguimiento. Eje: Hectáreas, estrategias, modelos, etc. </t>
        </r>
      </text>
    </comment>
    <comment ref="F310" authorId="0" shapeId="0" xr:uid="{00000000-0006-0000-0500-00006E000000}">
      <text>
        <r>
          <rPr>
            <sz val="11"/>
            <rFont val="Calibri"/>
            <family val="2"/>
            <scheme val="minor"/>
          </rPr>
          <t>YULIED.PENARANDA:
Ponderación del indicador se realiza de acuerdo al peso que cada producto tiene en el caso total del proyecto.</t>
        </r>
      </text>
    </comment>
    <comment ref="G310" authorId="0" shapeId="0" xr:uid="{00000000-0006-0000-0500-00006F000000}">
      <text>
        <r>
          <rPr>
            <sz val="11"/>
            <rFont val="Calibri"/>
            <family val="2"/>
            <scheme val="minor"/>
          </rPr>
          <t>YULIED.PENARANDA:
Nombre completo de la Meta  del Plan de Desarrollo, como se relaciona en el de gestión</t>
        </r>
      </text>
    </comment>
    <comment ref="N310" authorId="0" shapeId="0" xr:uid="{00000000-0006-0000-0500-000070000000}">
      <text>
        <r>
          <rPr>
            <sz val="11"/>
            <rFont val="Calibri"/>
            <family val="2"/>
            <scheme val="minor"/>
          </rPr>
          <t>YULIED.PENARANDA:
Descripción concreta del avance, máximo de caracteres 200</t>
        </r>
      </text>
    </comment>
    <comment ref="A325" authorId="0" shapeId="0" xr:uid="{00000000-0006-0000-0500-000071000000}">
      <text>
        <r>
          <rPr>
            <sz val="11"/>
            <rFont val="Calibri"/>
            <family val="2"/>
            <scheme val="minor"/>
          </rPr>
          <t>YULIED.PENARANDA:
Vigencia a reportar</t>
        </r>
      </text>
    </comment>
    <comment ref="B325" authorId="0" shapeId="0" xr:uid="{00000000-0006-0000-0500-000072000000}">
      <text>
        <r>
          <rPr>
            <sz val="11"/>
            <rFont val="Calibri"/>
            <family val="2"/>
            <scheme val="minor"/>
          </rPr>
          <t>YULIED.PENARANDA:
Describir los objetivo específico del proyecto, como se definió en la formulación del proyecto</t>
        </r>
      </text>
    </comment>
    <comment ref="C325" authorId="0" shapeId="0" xr:uid="{00000000-0006-0000-0500-000073000000}">
      <text>
        <r>
          <rPr>
            <sz val="11"/>
            <rFont val="Calibri"/>
            <family val="2"/>
            <scheme val="minor"/>
          </rPr>
          <t>YULIED.PENARANDA:
Describir los productos del proyecto, como se definió en la formulación del proyecto y de acuerdo con el catálogo de productos DNP</t>
        </r>
      </text>
    </comment>
    <comment ref="D325" authorId="0" shapeId="0" xr:uid="{00000000-0006-0000-0500-000074000000}">
      <text>
        <r>
          <rPr>
            <sz val="11"/>
            <rFont val="Calibri"/>
            <family val="2"/>
            <scheme val="minor"/>
          </rPr>
          <t xml:space="preserve">YULIED.PENARANDA:
Nombre completo del indicador. Expresión verbal, precisa y concreta del patrón de evaluación. </t>
        </r>
      </text>
    </comment>
    <comment ref="E325" authorId="0" shapeId="0" xr:uid="{00000000-0006-0000-0500-000075000000}">
      <text>
        <r>
          <rPr>
            <sz val="11"/>
            <rFont val="Calibri"/>
            <family val="2"/>
            <scheme val="minor"/>
          </rPr>
          <t xml:space="preserve">YULIED.PENARANDA:
Unidad cualitativa del indicador, define las características de la magnitud a realizar seguimiento. Eje: Hectáreas, estrategias, modelos, etc. </t>
        </r>
      </text>
    </comment>
    <comment ref="F325" authorId="0" shapeId="0" xr:uid="{00000000-0006-0000-0500-000076000000}">
      <text>
        <r>
          <rPr>
            <sz val="11"/>
            <rFont val="Calibri"/>
            <family val="2"/>
            <scheme val="minor"/>
          </rPr>
          <t>YULIED.PENARANDA:
Ponderación del indicador se realiza de acuerdo al peso que cada producto tiene en el caso total del proyecto.</t>
        </r>
      </text>
    </comment>
    <comment ref="G325" authorId="0" shapeId="0" xr:uid="{00000000-0006-0000-0500-000077000000}">
      <text>
        <r>
          <rPr>
            <sz val="11"/>
            <rFont val="Calibri"/>
            <family val="2"/>
            <scheme val="minor"/>
          </rPr>
          <t>YULIED.PENARANDA:
Nombre completo de la Meta  del Plan de Desarrollo, como se relaciona en el de gestión</t>
        </r>
      </text>
    </comment>
    <comment ref="N325" authorId="0" shapeId="0" xr:uid="{00000000-0006-0000-0500-000078000000}">
      <text>
        <r>
          <rPr>
            <sz val="11"/>
            <rFont val="Calibri"/>
            <family val="2"/>
            <scheme val="minor"/>
          </rPr>
          <t>YULIED.PENARANDA:
Descripción concreta del avance, máximo de caracteres 200</t>
        </r>
      </text>
    </comment>
    <comment ref="A340" authorId="0" shapeId="0" xr:uid="{00000000-0006-0000-0500-000079000000}">
      <text>
        <r>
          <rPr>
            <sz val="11"/>
            <rFont val="Calibri"/>
            <family val="2"/>
            <scheme val="minor"/>
          </rPr>
          <t>YULIED.PENARANDA:
Vigencia a reportar</t>
        </r>
      </text>
    </comment>
    <comment ref="B340" authorId="0" shapeId="0" xr:uid="{00000000-0006-0000-0500-00007A000000}">
      <text>
        <r>
          <rPr>
            <sz val="11"/>
            <rFont val="Calibri"/>
            <family val="2"/>
            <scheme val="minor"/>
          </rPr>
          <t>YULIED.PENARANDA:
Describir los objetivo específico del proyecto, como se definió en la formulación del proyecto</t>
        </r>
      </text>
    </comment>
    <comment ref="C340" authorId="0" shapeId="0" xr:uid="{00000000-0006-0000-0500-00007B000000}">
      <text>
        <r>
          <rPr>
            <sz val="11"/>
            <rFont val="Calibri"/>
            <family val="2"/>
            <scheme val="minor"/>
          </rPr>
          <t>YULIED.PENARANDA:
Describir los productos del proyecto, como se definió en la formulación del proyecto y de acuerdo con el catálogo de productos DNP</t>
        </r>
      </text>
    </comment>
    <comment ref="D340" authorId="0" shapeId="0" xr:uid="{00000000-0006-0000-0500-00007C000000}">
      <text>
        <r>
          <rPr>
            <sz val="11"/>
            <rFont val="Calibri"/>
            <family val="2"/>
            <scheme val="minor"/>
          </rPr>
          <t xml:space="preserve">YULIED.PENARANDA:
Nombre completo del indicador. Expresión verbal, precisa y concreta del patrón de evaluación. </t>
        </r>
      </text>
    </comment>
    <comment ref="E340" authorId="0" shapeId="0" xr:uid="{00000000-0006-0000-0500-00007D000000}">
      <text>
        <r>
          <rPr>
            <sz val="11"/>
            <rFont val="Calibri"/>
            <family val="2"/>
            <scheme val="minor"/>
          </rPr>
          <t xml:space="preserve">YULIED.PENARANDA:
Unidad cualitativa del indicador, define las características de la magnitud a realizar seguimiento. Eje: Hectáreas, estrategias, modelos, etc. </t>
        </r>
      </text>
    </comment>
    <comment ref="F340" authorId="0" shapeId="0" xr:uid="{00000000-0006-0000-0500-00007E000000}">
      <text>
        <r>
          <rPr>
            <sz val="11"/>
            <rFont val="Calibri"/>
            <family val="2"/>
            <scheme val="minor"/>
          </rPr>
          <t>YULIED.PENARANDA:
Ponderación del indicador se realiza de acuerdo al peso que cada producto tiene en el caso total del proyecto.</t>
        </r>
      </text>
    </comment>
    <comment ref="G340" authorId="0" shapeId="0" xr:uid="{00000000-0006-0000-0500-00007F000000}">
      <text>
        <r>
          <rPr>
            <sz val="11"/>
            <rFont val="Calibri"/>
            <family val="2"/>
            <scheme val="minor"/>
          </rPr>
          <t>YULIED.PENARANDA:
Nombre completo de la Meta  del Plan de Desarrollo, como se relaciona en el de gestión</t>
        </r>
      </text>
    </comment>
    <comment ref="N340" authorId="0" shapeId="0" xr:uid="{00000000-0006-0000-0500-000080000000}">
      <text>
        <r>
          <rPr>
            <sz val="11"/>
            <rFont val="Calibri"/>
            <family val="2"/>
            <scheme val="minor"/>
          </rPr>
          <t>YULIED.PENARANDA:
Descripción concreta del avance, máximo de caracteres 200</t>
        </r>
      </text>
    </comment>
    <comment ref="A355" authorId="0" shapeId="0" xr:uid="{00000000-0006-0000-0500-000081000000}">
      <text>
        <r>
          <rPr>
            <sz val="11"/>
            <rFont val="Calibri"/>
            <family val="2"/>
            <scheme val="minor"/>
          </rPr>
          <t>YULIED.PENARANDA:
Vigencia a reportar</t>
        </r>
      </text>
    </comment>
    <comment ref="B355" authorId="0" shapeId="0" xr:uid="{00000000-0006-0000-0500-000082000000}">
      <text>
        <r>
          <rPr>
            <sz val="11"/>
            <rFont val="Calibri"/>
            <family val="2"/>
            <scheme val="minor"/>
          </rPr>
          <t>YULIED.PENARANDA:
Describir los objetivo específico del proyecto, como se definió en la formulación del proyecto</t>
        </r>
      </text>
    </comment>
    <comment ref="C355" authorId="0" shapeId="0" xr:uid="{00000000-0006-0000-0500-000083000000}">
      <text>
        <r>
          <rPr>
            <sz val="11"/>
            <rFont val="Calibri"/>
            <family val="2"/>
            <scheme val="minor"/>
          </rPr>
          <t>YULIED.PENARANDA:
Describir los productos del proyecto, como se definió en la formulación del proyecto y de acuerdo con el catálogo de productos DNP</t>
        </r>
      </text>
    </comment>
    <comment ref="D355" authorId="0" shapeId="0" xr:uid="{00000000-0006-0000-0500-000084000000}">
      <text>
        <r>
          <rPr>
            <sz val="11"/>
            <rFont val="Calibri"/>
            <family val="2"/>
            <scheme val="minor"/>
          </rPr>
          <t xml:space="preserve">YULIED.PENARANDA:
Nombre completo del indicador. Expresión verbal, precisa y concreta del patrón de evaluación. </t>
        </r>
      </text>
    </comment>
    <comment ref="E355" authorId="0" shapeId="0" xr:uid="{00000000-0006-0000-0500-000085000000}">
      <text>
        <r>
          <rPr>
            <sz val="11"/>
            <rFont val="Calibri"/>
            <family val="2"/>
            <scheme val="minor"/>
          </rPr>
          <t xml:space="preserve">YULIED.PENARANDA:
Unidad cualitativa del indicador, define las características de la magnitud a realizar seguimiento. Eje: Hectáreas, estrategias, modelos, etc. </t>
        </r>
      </text>
    </comment>
    <comment ref="F355" authorId="0" shapeId="0" xr:uid="{00000000-0006-0000-0500-000086000000}">
      <text>
        <r>
          <rPr>
            <sz val="11"/>
            <rFont val="Calibri"/>
            <family val="2"/>
            <scheme val="minor"/>
          </rPr>
          <t>YULIED.PENARANDA:
Ponderación del indicador se realiza de acuerdo al peso que cada producto tiene en el caso total del proyecto.</t>
        </r>
      </text>
    </comment>
    <comment ref="G355" authorId="0" shapeId="0" xr:uid="{00000000-0006-0000-0500-000087000000}">
      <text>
        <r>
          <rPr>
            <sz val="11"/>
            <rFont val="Calibri"/>
            <family val="2"/>
            <scheme val="minor"/>
          </rPr>
          <t>YULIED.PENARANDA:
Nombre completo de la Meta  del Plan de Desarrollo, como se relaciona en el de gestión</t>
        </r>
      </text>
    </comment>
    <comment ref="N355" authorId="0" shapeId="0" xr:uid="{00000000-0006-0000-0500-000088000000}">
      <text>
        <r>
          <rPr>
            <sz val="11"/>
            <rFont val="Calibri"/>
            <family val="2"/>
            <scheme val="minor"/>
          </rPr>
          <t>YULIED.PENARANDA:
Descripción concreta del avance, máximo de caracteres 200</t>
        </r>
      </text>
    </comment>
    <comment ref="A370" authorId="0" shapeId="0" xr:uid="{00000000-0006-0000-0500-000089000000}">
      <text>
        <r>
          <rPr>
            <sz val="11"/>
            <rFont val="Calibri"/>
            <family val="2"/>
            <scheme val="minor"/>
          </rPr>
          <t>YULIED.PENARANDA:
Avance productos e indicadores de productos (según cadena de valor)
NOTA: Desagregar cuadro cuantas veces tenga productos y/o indicadores asociados</t>
        </r>
      </text>
    </comment>
    <comment ref="A371" authorId="0" shapeId="0" xr:uid="{00000000-0006-0000-0500-00008A000000}">
      <text>
        <r>
          <rPr>
            <sz val="11"/>
            <rFont val="Calibri"/>
            <family val="2"/>
            <scheme val="minor"/>
          </rPr>
          <t>YULIED.PENARANDA:
Vigencia a reportar</t>
        </r>
      </text>
    </comment>
    <comment ref="B371" authorId="0" shapeId="0" xr:uid="{00000000-0006-0000-0500-00008B000000}">
      <text>
        <r>
          <rPr>
            <sz val="11"/>
            <rFont val="Calibri"/>
            <family val="2"/>
            <scheme val="minor"/>
          </rPr>
          <t>YULIED.PENARANDA:
Describir los objetivo específico del proyecto, como se definió en la formulación del proyecto</t>
        </r>
      </text>
    </comment>
    <comment ref="C371" authorId="0" shapeId="0" xr:uid="{00000000-0006-0000-0500-00008C000000}">
      <text>
        <r>
          <rPr>
            <sz val="11"/>
            <rFont val="Calibri"/>
            <family val="2"/>
            <scheme val="minor"/>
          </rPr>
          <t>YULIED.PENARANDA:
Describir los productos del proyecto, como se definió en la formulación del proyecto y de acuerdo con el catálogo de productos DNP</t>
        </r>
      </text>
    </comment>
    <comment ref="D371" authorId="0" shapeId="0" xr:uid="{00000000-0006-0000-0500-00008D000000}">
      <text>
        <r>
          <rPr>
            <sz val="11"/>
            <rFont val="Calibri"/>
            <family val="2"/>
            <scheme val="minor"/>
          </rPr>
          <t xml:space="preserve">YULIED.PENARANDA:
Nombre completo del indicador. Expresión verbal, precisa y concreta del patrón de evaluación. </t>
        </r>
      </text>
    </comment>
    <comment ref="E371" authorId="0" shapeId="0" xr:uid="{00000000-0006-0000-0500-00008E000000}">
      <text>
        <r>
          <rPr>
            <sz val="11"/>
            <rFont val="Calibri"/>
            <family val="2"/>
            <scheme val="minor"/>
          </rPr>
          <t xml:space="preserve">YULIED.PENARANDA:
Unidad cualitativa del indicador, define las características de la magnitud a realizar seguimiento. Eje: Hectáreas, estrategias, modelos, etc. </t>
        </r>
      </text>
    </comment>
    <comment ref="F371" authorId="0" shapeId="0" xr:uid="{00000000-0006-0000-0500-00008F000000}">
      <text>
        <r>
          <rPr>
            <sz val="11"/>
            <rFont val="Calibri"/>
            <family val="2"/>
            <scheme val="minor"/>
          </rPr>
          <t>YULIED.PENARANDA:
Ponderación del indicador se realiza de acuerdo al peso que cada producto tiene en el caso total del proyecto.</t>
        </r>
      </text>
    </comment>
    <comment ref="G371" authorId="0" shapeId="0" xr:uid="{00000000-0006-0000-0500-000090000000}">
      <text>
        <r>
          <rPr>
            <sz val="11"/>
            <rFont val="Calibri"/>
            <family val="2"/>
            <scheme val="minor"/>
          </rPr>
          <t>YULIED.PENARANDA:
Nombre completo de la Meta  del Plan de Desarrollo, como se relaciona en el de gestión</t>
        </r>
      </text>
    </comment>
    <comment ref="N371" authorId="0" shapeId="0" xr:uid="{00000000-0006-0000-0500-000091000000}">
      <text>
        <r>
          <rPr>
            <sz val="11"/>
            <rFont val="Calibri"/>
            <family val="2"/>
            <scheme val="minor"/>
          </rPr>
          <t>YULIED.PENARANDA:
Descripción concreta del avance, máximo de caracteres 200</t>
        </r>
      </text>
    </comment>
    <comment ref="A386" authorId="0" shapeId="0" xr:uid="{00000000-0006-0000-0500-000092000000}">
      <text>
        <r>
          <rPr>
            <sz val="11"/>
            <rFont val="Calibri"/>
            <family val="2"/>
            <scheme val="minor"/>
          </rPr>
          <t>YULIED.PENARANDA:
Vigencia a reportar</t>
        </r>
      </text>
    </comment>
    <comment ref="B386" authorId="0" shapeId="0" xr:uid="{00000000-0006-0000-0500-000093000000}">
      <text>
        <r>
          <rPr>
            <sz val="11"/>
            <rFont val="Calibri"/>
            <family val="2"/>
            <scheme val="minor"/>
          </rPr>
          <t>YULIED.PENARANDA:
Describir los objetivo específico del proyecto, como se definió en la formulación del proyecto</t>
        </r>
      </text>
    </comment>
    <comment ref="C386" authorId="0" shapeId="0" xr:uid="{00000000-0006-0000-0500-000094000000}">
      <text>
        <r>
          <rPr>
            <sz val="11"/>
            <rFont val="Calibri"/>
            <family val="2"/>
            <scheme val="minor"/>
          </rPr>
          <t>YULIED.PENARANDA:
Describir los productos del proyecto, como se definió en la formulación del proyecto y de acuerdo con el catálogo de productos DNP</t>
        </r>
      </text>
    </comment>
    <comment ref="D386" authorId="0" shapeId="0" xr:uid="{00000000-0006-0000-0500-000095000000}">
      <text>
        <r>
          <rPr>
            <sz val="11"/>
            <rFont val="Calibri"/>
            <family val="2"/>
            <scheme val="minor"/>
          </rPr>
          <t xml:space="preserve">YULIED.PENARANDA:
Nombre completo del indicador. Expresión verbal, precisa y concreta del patrón de evaluación. </t>
        </r>
      </text>
    </comment>
    <comment ref="E386" authorId="0" shapeId="0" xr:uid="{00000000-0006-0000-0500-000096000000}">
      <text>
        <r>
          <rPr>
            <sz val="11"/>
            <rFont val="Calibri"/>
            <family val="2"/>
            <scheme val="minor"/>
          </rPr>
          <t xml:space="preserve">YULIED.PENARANDA:
Unidad cualitativa del indicador, define las características de la magnitud a realizar seguimiento. Eje: Hectáreas, estrategias, modelos, etc. </t>
        </r>
      </text>
    </comment>
    <comment ref="F386" authorId="0" shapeId="0" xr:uid="{00000000-0006-0000-0500-000097000000}">
      <text>
        <r>
          <rPr>
            <sz val="11"/>
            <rFont val="Calibri"/>
            <family val="2"/>
            <scheme val="minor"/>
          </rPr>
          <t>YULIED.PENARANDA:
Ponderación del indicador se realiza de acuerdo al peso que cada producto tiene en el caso total del proyecto.</t>
        </r>
      </text>
    </comment>
    <comment ref="G386" authorId="0" shapeId="0" xr:uid="{00000000-0006-0000-0500-000098000000}">
      <text>
        <r>
          <rPr>
            <sz val="11"/>
            <rFont val="Calibri"/>
            <family val="2"/>
            <scheme val="minor"/>
          </rPr>
          <t>YULIED.PENARANDA:
Nombre completo de la Meta  del Plan de Desarrollo, como se relaciona en el de gestión</t>
        </r>
      </text>
    </comment>
    <comment ref="N386" authorId="0" shapeId="0" xr:uid="{00000000-0006-0000-0500-000099000000}">
      <text>
        <r>
          <rPr>
            <sz val="11"/>
            <rFont val="Calibri"/>
            <family val="2"/>
            <scheme val="minor"/>
          </rPr>
          <t>YULIED.PENARANDA:
Descripción concreta del avance, máximo de caracteres 200</t>
        </r>
      </text>
    </comment>
    <comment ref="A401" authorId="0" shapeId="0" xr:uid="{00000000-0006-0000-0500-00009A000000}">
      <text>
        <r>
          <rPr>
            <sz val="11"/>
            <rFont val="Calibri"/>
            <family val="2"/>
            <scheme val="minor"/>
          </rPr>
          <t>YULIED.PENARANDA:
Vigencia a reportar</t>
        </r>
      </text>
    </comment>
    <comment ref="B401" authorId="0" shapeId="0" xr:uid="{00000000-0006-0000-0500-00009B000000}">
      <text>
        <r>
          <rPr>
            <sz val="11"/>
            <rFont val="Calibri"/>
            <family val="2"/>
            <scheme val="minor"/>
          </rPr>
          <t>YULIED.PENARANDA:
Describir los objetivo específico del proyecto, como se definió en la formulación del proyecto</t>
        </r>
      </text>
    </comment>
    <comment ref="C401" authorId="0" shapeId="0" xr:uid="{00000000-0006-0000-0500-00009C000000}">
      <text>
        <r>
          <rPr>
            <sz val="11"/>
            <rFont val="Calibri"/>
            <family val="2"/>
            <scheme val="minor"/>
          </rPr>
          <t>YULIED.PENARANDA:
Describir los productos del proyecto, como se definió en la formulación del proyecto y de acuerdo con el catálogo de productos DNP</t>
        </r>
      </text>
    </comment>
    <comment ref="D401" authorId="0" shapeId="0" xr:uid="{00000000-0006-0000-0500-00009D000000}">
      <text>
        <r>
          <rPr>
            <sz val="11"/>
            <rFont val="Calibri"/>
            <family val="2"/>
            <scheme val="minor"/>
          </rPr>
          <t xml:space="preserve">YULIED.PENARANDA:
Nombre completo del indicador. Expresión verbal, precisa y concreta del patrón de evaluación. </t>
        </r>
      </text>
    </comment>
    <comment ref="E401" authorId="0" shapeId="0" xr:uid="{00000000-0006-0000-0500-00009E000000}">
      <text>
        <r>
          <rPr>
            <sz val="11"/>
            <rFont val="Calibri"/>
            <family val="2"/>
            <scheme val="minor"/>
          </rPr>
          <t xml:space="preserve">YULIED.PENARANDA:
Unidad cualitativa del indicador, define las características de la magnitud a realizar seguimiento. Eje: Hectáreas, estrategias, modelos, etc. </t>
        </r>
      </text>
    </comment>
    <comment ref="F401" authorId="0" shapeId="0" xr:uid="{00000000-0006-0000-0500-00009F000000}">
      <text>
        <r>
          <rPr>
            <sz val="11"/>
            <rFont val="Calibri"/>
            <family val="2"/>
            <scheme val="minor"/>
          </rPr>
          <t>YULIED.PENARANDA:
Ponderación del indicador se realiza de acuerdo al peso que cada producto tiene en el caso total del proyecto.</t>
        </r>
      </text>
    </comment>
    <comment ref="G401" authorId="0" shapeId="0" xr:uid="{00000000-0006-0000-0500-0000A0000000}">
      <text>
        <r>
          <rPr>
            <sz val="11"/>
            <rFont val="Calibri"/>
            <family val="2"/>
            <scheme val="minor"/>
          </rPr>
          <t>YULIED.PENARANDA:
Nombre completo de la Meta  del Plan de Desarrollo, como se relaciona en el de gestión</t>
        </r>
      </text>
    </comment>
    <comment ref="N401" authorId="0" shapeId="0" xr:uid="{00000000-0006-0000-0500-0000A1000000}">
      <text>
        <r>
          <rPr>
            <sz val="11"/>
            <rFont val="Calibri"/>
            <family val="2"/>
            <scheme val="minor"/>
          </rPr>
          <t>YULIED.PENARANDA:
Descripción concreta del avance, máximo de caracteres 200</t>
        </r>
      </text>
    </comment>
    <comment ref="A416" authorId="0" shapeId="0" xr:uid="{00000000-0006-0000-0500-0000A2000000}">
      <text>
        <r>
          <rPr>
            <sz val="11"/>
            <rFont val="Calibri"/>
            <family val="2"/>
            <scheme val="minor"/>
          </rPr>
          <t>YULIED.PENARANDA:
Vigencia a reportar</t>
        </r>
      </text>
    </comment>
    <comment ref="B416" authorId="0" shapeId="0" xr:uid="{00000000-0006-0000-0500-0000A3000000}">
      <text>
        <r>
          <rPr>
            <sz val="11"/>
            <rFont val="Calibri"/>
            <family val="2"/>
            <scheme val="minor"/>
          </rPr>
          <t>YULIED.PENARANDA:
Describir los objetivo específico del proyecto, como se definió en la formulación del proyecto</t>
        </r>
      </text>
    </comment>
    <comment ref="C416" authorId="0" shapeId="0" xr:uid="{00000000-0006-0000-0500-0000A4000000}">
      <text>
        <r>
          <rPr>
            <sz val="11"/>
            <rFont val="Calibri"/>
            <family val="2"/>
            <scheme val="minor"/>
          </rPr>
          <t>YULIED.PENARANDA:
Describir los productos del proyecto, como se definió en la formulación del proyecto y de acuerdo con el catálogo de productos DNP</t>
        </r>
      </text>
    </comment>
    <comment ref="D416" authorId="0" shapeId="0" xr:uid="{00000000-0006-0000-0500-0000A5000000}">
      <text>
        <r>
          <rPr>
            <sz val="11"/>
            <rFont val="Calibri"/>
            <family val="2"/>
            <scheme val="minor"/>
          </rPr>
          <t xml:space="preserve">YULIED.PENARANDA:
Nombre completo del indicador. Expresión verbal, precisa y concreta del patrón de evaluación. </t>
        </r>
      </text>
    </comment>
    <comment ref="E416" authorId="0" shapeId="0" xr:uid="{00000000-0006-0000-0500-0000A6000000}">
      <text>
        <r>
          <rPr>
            <sz val="11"/>
            <rFont val="Calibri"/>
            <family val="2"/>
            <scheme val="minor"/>
          </rPr>
          <t xml:space="preserve">YULIED.PENARANDA:
Unidad cualitativa del indicador, define las características de la magnitud a realizar seguimiento. Eje: Hectáreas, estrategias, modelos, etc. </t>
        </r>
      </text>
    </comment>
    <comment ref="F416" authorId="0" shapeId="0" xr:uid="{00000000-0006-0000-0500-0000A7000000}">
      <text>
        <r>
          <rPr>
            <sz val="11"/>
            <rFont val="Calibri"/>
            <family val="2"/>
            <scheme val="minor"/>
          </rPr>
          <t>YULIED.PENARANDA:
Ponderación del indicador se realiza de acuerdo al peso que cada producto tiene en el caso total del proyecto.</t>
        </r>
      </text>
    </comment>
    <comment ref="G416" authorId="0" shapeId="0" xr:uid="{00000000-0006-0000-0500-0000A8000000}">
      <text>
        <r>
          <rPr>
            <sz val="11"/>
            <rFont val="Calibri"/>
            <family val="2"/>
            <scheme val="minor"/>
          </rPr>
          <t>YULIED.PENARANDA:
Nombre completo de la Meta  del Plan de Desarrollo, como se relaciona en el de gestión</t>
        </r>
      </text>
    </comment>
    <comment ref="N416" authorId="0" shapeId="0" xr:uid="{00000000-0006-0000-0500-0000A9000000}">
      <text>
        <r>
          <rPr>
            <sz val="11"/>
            <rFont val="Calibri"/>
            <family val="2"/>
            <scheme val="minor"/>
          </rPr>
          <t>YULIED.PENARANDA:
Descripción concreta del avance, máximo de caracteres 200</t>
        </r>
      </text>
    </comment>
    <comment ref="A429" authorId="0" shapeId="0" xr:uid="{00000000-0006-0000-0500-0000AA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30" authorId="0" shapeId="0" xr:uid="{00000000-0006-0000-0500-0000AB000000}">
      <text>
        <r>
          <rPr>
            <sz val="11"/>
            <rFont val="Calibri"/>
            <family val="2"/>
            <scheme val="minor"/>
          </rPr>
          <t>YULIED.PENARANDA:
Vigencia a reportar</t>
        </r>
      </text>
    </comment>
    <comment ref="B430" authorId="0" shapeId="0" xr:uid="{00000000-0006-0000-0500-0000AC000000}">
      <text>
        <r>
          <rPr>
            <sz val="11"/>
            <rFont val="Calibri"/>
            <family val="2"/>
            <scheme val="minor"/>
          </rPr>
          <t>YULIED.PENARANDA:
Describir los objetivo específico del proyecto, como se definió en la formulación del proyecto</t>
        </r>
      </text>
    </comment>
    <comment ref="C430" authorId="0" shapeId="0" xr:uid="{00000000-0006-0000-0500-0000AD000000}">
      <text>
        <r>
          <rPr>
            <sz val="11"/>
            <rFont val="Calibri"/>
            <family val="2"/>
            <scheme val="minor"/>
          </rPr>
          <t>YULIED.PENARANDA:
Describir los productos del proyecto, como se definió en la formulación del proyecto y de acuerdo con el catálogo de productos del DNP.</t>
        </r>
      </text>
    </comment>
    <comment ref="D430" authorId="0" shapeId="0" xr:uid="{00000000-0006-0000-0500-0000AE000000}">
      <text>
        <r>
          <rPr>
            <sz val="11"/>
            <rFont val="Calibri"/>
            <family val="2"/>
            <scheme val="minor"/>
          </rPr>
          <t xml:space="preserve">YULIED.PENARANDA:
Nombre completo del indicador. Expresión verbal, precisa y concreta del patrón de evaluación. </t>
        </r>
      </text>
    </comment>
    <comment ref="G430" authorId="0" shapeId="0" xr:uid="{00000000-0006-0000-0500-0000AF000000}">
      <text>
        <r>
          <rPr>
            <sz val="11"/>
            <rFont val="Calibri"/>
            <family val="2"/>
            <scheme val="minor"/>
          </rPr>
          <t>YULIED.PENARANDA:
Descripción concreta del avance, máximo de caracteres 200</t>
        </r>
      </text>
    </comment>
    <comment ref="A439" authorId="0" shapeId="0" xr:uid="{00000000-0006-0000-0500-0000B0000000}">
      <text>
        <r>
          <rPr>
            <sz val="11"/>
            <rFont val="Calibri"/>
            <family val="2"/>
            <scheme val="minor"/>
          </rPr>
          <t>YULIED.PENARANDA:
Vigencia a reportar</t>
        </r>
      </text>
    </comment>
    <comment ref="B439" authorId="0" shapeId="0" xr:uid="{00000000-0006-0000-0500-0000B1000000}">
      <text>
        <r>
          <rPr>
            <sz val="11"/>
            <rFont val="Calibri"/>
            <family val="2"/>
            <scheme val="minor"/>
          </rPr>
          <t>YULIED.PENARANDA:
Describir los objetivo específico del proyecto, como se definió en la formulación del proyecto</t>
        </r>
      </text>
    </comment>
    <comment ref="C439" authorId="0" shapeId="0" xr:uid="{00000000-0006-0000-0500-0000B2000000}">
      <text>
        <r>
          <rPr>
            <sz val="11"/>
            <rFont val="Calibri"/>
            <family val="2"/>
            <scheme val="minor"/>
          </rPr>
          <t>YULIED.PENARANDA:
Describir los productos del proyecto, como se definió en la formulación del proyecto y de acuerdo con el catálogo de productos del DNP.</t>
        </r>
      </text>
    </comment>
    <comment ref="D439" authorId="0" shapeId="0" xr:uid="{00000000-0006-0000-0500-0000B3000000}">
      <text>
        <r>
          <rPr>
            <sz val="11"/>
            <rFont val="Calibri"/>
            <family val="2"/>
            <scheme val="minor"/>
          </rPr>
          <t xml:space="preserve">YULIED.PENARANDA:
Nombre completo del indicador. Expresión verbal, precisa y concreta del patrón de evaluación. </t>
        </r>
      </text>
    </comment>
    <comment ref="G439" authorId="0" shapeId="0" xr:uid="{00000000-0006-0000-0500-0000B4000000}">
      <text>
        <r>
          <rPr>
            <sz val="11"/>
            <rFont val="Calibri"/>
            <family val="2"/>
            <scheme val="minor"/>
          </rPr>
          <t>YULIED.PENARANDA:
Descripción concreta del avance, máximo de caracteres 200</t>
        </r>
      </text>
    </comment>
    <comment ref="A448" authorId="0" shapeId="0" xr:uid="{00000000-0006-0000-0500-0000B5000000}">
      <text>
        <r>
          <rPr>
            <sz val="11"/>
            <rFont val="Calibri"/>
            <family val="2"/>
            <scheme val="minor"/>
          </rPr>
          <t>YULIED.PENARANDA:
Vigencia a reportar</t>
        </r>
      </text>
    </comment>
    <comment ref="B448" authorId="0" shapeId="0" xr:uid="{00000000-0006-0000-0500-0000B6000000}">
      <text>
        <r>
          <rPr>
            <sz val="11"/>
            <rFont val="Calibri"/>
            <family val="2"/>
            <scheme val="minor"/>
          </rPr>
          <t>YULIED.PENARANDA:
Describir los objetivo específico del proyecto, como se definió en la formulación del proyecto</t>
        </r>
      </text>
    </comment>
    <comment ref="C448" authorId="0" shapeId="0" xr:uid="{00000000-0006-0000-0500-0000B7000000}">
      <text>
        <r>
          <rPr>
            <sz val="11"/>
            <rFont val="Calibri"/>
            <family val="2"/>
            <scheme val="minor"/>
          </rPr>
          <t>YULIED.PENARANDA:
Describir los productos del proyecto, como se definió en la formulación del proyecto y de acuerdo con el catálogo de productos del DNP.</t>
        </r>
      </text>
    </comment>
    <comment ref="D448" authorId="0" shapeId="0" xr:uid="{00000000-0006-0000-0500-0000B8000000}">
      <text>
        <r>
          <rPr>
            <sz val="11"/>
            <rFont val="Calibri"/>
            <family val="2"/>
            <scheme val="minor"/>
          </rPr>
          <t xml:space="preserve">YULIED.PENARANDA:
Nombre completo del indicador. Expresión verbal, precisa y concreta del patrón de evaluación. </t>
        </r>
      </text>
    </comment>
    <comment ref="G448" authorId="0" shapeId="0" xr:uid="{00000000-0006-0000-0500-0000B9000000}">
      <text>
        <r>
          <rPr>
            <sz val="11"/>
            <rFont val="Calibri"/>
            <family val="2"/>
            <scheme val="minor"/>
          </rPr>
          <t>YULIED.PENARANDA:
Descripción concreta del avance, máximo de caracteres 200</t>
        </r>
      </text>
    </comment>
    <comment ref="A457" authorId="0" shapeId="0" xr:uid="{00000000-0006-0000-0500-0000BA000000}">
      <text>
        <r>
          <rPr>
            <sz val="11"/>
            <rFont val="Calibri"/>
            <family val="2"/>
            <scheme val="minor"/>
          </rPr>
          <t>YULIED.PENARANDA:
Vigencia a reportar</t>
        </r>
      </text>
    </comment>
    <comment ref="B457" authorId="0" shapeId="0" xr:uid="{00000000-0006-0000-0500-0000BB000000}">
      <text>
        <r>
          <rPr>
            <sz val="11"/>
            <rFont val="Calibri"/>
            <family val="2"/>
            <scheme val="minor"/>
          </rPr>
          <t>YULIED.PENARANDA:
Describir los objetivo específico del proyecto, como se definió en la formulación del proyecto</t>
        </r>
      </text>
    </comment>
    <comment ref="C457" authorId="0" shapeId="0" xr:uid="{00000000-0006-0000-0500-0000BC000000}">
      <text>
        <r>
          <rPr>
            <sz val="11"/>
            <rFont val="Calibri"/>
            <family val="2"/>
            <scheme val="minor"/>
          </rPr>
          <t>YULIED.PENARANDA:
Describir los productos del proyecto, como se definió en la formulación del proyecto y de acuerdo con el catálogo de productos del DNP.</t>
        </r>
      </text>
    </comment>
    <comment ref="D457" authorId="0" shapeId="0" xr:uid="{00000000-0006-0000-0500-0000BD000000}">
      <text>
        <r>
          <rPr>
            <sz val="11"/>
            <rFont val="Calibri"/>
            <family val="2"/>
            <scheme val="minor"/>
          </rPr>
          <t xml:space="preserve">YULIED.PENARANDA:
Nombre completo del indicador. Expresión verbal, precisa y concreta del patrón de evaluación. </t>
        </r>
      </text>
    </comment>
    <comment ref="G457" authorId="0" shapeId="0" xr:uid="{00000000-0006-0000-0500-0000BE000000}">
      <text>
        <r>
          <rPr>
            <sz val="11"/>
            <rFont val="Calibri"/>
            <family val="2"/>
            <scheme val="minor"/>
          </rPr>
          <t>YULIED.PENARANDA:
Descripción concreta del avance, máximo de caracteres 200</t>
        </r>
      </text>
    </comment>
    <comment ref="A465" authorId="0" shapeId="0" xr:uid="{00000000-0006-0000-0500-0000BF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466" authorId="0" shapeId="0" xr:uid="{00000000-0006-0000-0500-0000C0000000}">
      <text>
        <r>
          <rPr>
            <sz val="11"/>
            <rFont val="Calibri"/>
            <family val="2"/>
            <scheme val="minor"/>
          </rPr>
          <t>YULIED.PENARANDA:
Vigencia a reportar</t>
        </r>
      </text>
    </comment>
    <comment ref="B466" authorId="0" shapeId="0" xr:uid="{00000000-0006-0000-0500-0000C1000000}">
      <text>
        <r>
          <rPr>
            <sz val="11"/>
            <rFont val="Calibri"/>
            <family val="2"/>
            <scheme val="minor"/>
          </rPr>
          <t>YULIED.PENARANDA:
Describir los objetivo específico del proyecto, como se definió en la formulación del proyecto</t>
        </r>
      </text>
    </comment>
    <comment ref="C466" authorId="0" shapeId="0" xr:uid="{00000000-0006-0000-0500-0000C2000000}">
      <text>
        <r>
          <rPr>
            <sz val="11"/>
            <rFont val="Calibri"/>
            <family val="2"/>
            <scheme val="minor"/>
          </rPr>
          <t>YULIED.PENARANDA:
Describir los productos del proyecto, como se definió en la formulación del proyecto y de acuerdo con el catálogo de productos del DNP.</t>
        </r>
      </text>
    </comment>
    <comment ref="D466" authorId="0" shapeId="0" xr:uid="{00000000-0006-0000-0500-0000C3000000}">
      <text>
        <r>
          <rPr>
            <sz val="11"/>
            <rFont val="Calibri"/>
            <family val="2"/>
            <scheme val="minor"/>
          </rPr>
          <t xml:space="preserve">YULIED.PENARANDA:
Nombre completo del indicador. Expresión verbal, precisa y concreta del patrón de evaluación. </t>
        </r>
      </text>
    </comment>
    <comment ref="G466" authorId="0" shapeId="0" xr:uid="{00000000-0006-0000-0500-0000C4000000}">
      <text>
        <r>
          <rPr>
            <sz val="11"/>
            <rFont val="Calibri"/>
            <family val="2"/>
            <scheme val="minor"/>
          </rPr>
          <t>YULIED.PENARANDA:
Descripción concreta del avance, máximo de caracteres 200</t>
        </r>
      </text>
    </comment>
    <comment ref="A481" authorId="0" shapeId="0" xr:uid="{00000000-0006-0000-0500-0000C5000000}">
      <text>
        <r>
          <rPr>
            <sz val="11"/>
            <rFont val="Calibri"/>
            <family val="2"/>
            <scheme val="minor"/>
          </rPr>
          <t>YULIED.PENARANDA:
Vigencia a reportar</t>
        </r>
      </text>
    </comment>
    <comment ref="B481" authorId="0" shapeId="0" xr:uid="{00000000-0006-0000-0500-0000C6000000}">
      <text>
        <r>
          <rPr>
            <sz val="11"/>
            <rFont val="Calibri"/>
            <family val="2"/>
            <scheme val="minor"/>
          </rPr>
          <t>YULIED.PENARANDA:
Describir los objetivo específico del proyecto, como se definió en la formulación del proyecto</t>
        </r>
      </text>
    </comment>
    <comment ref="C481" authorId="0" shapeId="0" xr:uid="{00000000-0006-0000-0500-0000C7000000}">
      <text>
        <r>
          <rPr>
            <sz val="11"/>
            <rFont val="Calibri"/>
            <family val="2"/>
            <scheme val="minor"/>
          </rPr>
          <t>YULIED.PENARANDA:
Describir los productos del proyecto, como se definió en la formulación del proyecto y de acuerdo con el catálogo de productos del DNP.</t>
        </r>
      </text>
    </comment>
    <comment ref="D481" authorId="0" shapeId="0" xr:uid="{00000000-0006-0000-0500-0000C8000000}">
      <text>
        <r>
          <rPr>
            <sz val="11"/>
            <rFont val="Calibri"/>
            <family val="2"/>
            <scheme val="minor"/>
          </rPr>
          <t xml:space="preserve">YULIED.PENARANDA:
Nombre completo del indicador. Expresión verbal, precisa y concreta del patrón de evaluación. </t>
        </r>
      </text>
    </comment>
    <comment ref="G481" authorId="0" shapeId="0" xr:uid="{00000000-0006-0000-0500-0000C9000000}">
      <text>
        <r>
          <rPr>
            <sz val="11"/>
            <rFont val="Calibri"/>
            <family val="2"/>
            <scheme val="minor"/>
          </rPr>
          <t>YULIED.PENARANDA:
Descripción concreta del avance, máximo de caracteres 200</t>
        </r>
      </text>
    </comment>
    <comment ref="A496" authorId="0" shapeId="0" xr:uid="{00000000-0006-0000-0500-0000CA000000}">
      <text>
        <r>
          <rPr>
            <sz val="11"/>
            <rFont val="Calibri"/>
            <family val="2"/>
            <scheme val="minor"/>
          </rPr>
          <t>YULIED.PENARANDA:
Vigencia a reportar</t>
        </r>
      </text>
    </comment>
    <comment ref="B496" authorId="0" shapeId="0" xr:uid="{00000000-0006-0000-0500-0000CB000000}">
      <text>
        <r>
          <rPr>
            <sz val="11"/>
            <rFont val="Calibri"/>
            <family val="2"/>
            <scheme val="minor"/>
          </rPr>
          <t>YULIED.PENARANDA:
Describir los objetivo específico del proyecto, como se definió en la formulación del proyecto</t>
        </r>
      </text>
    </comment>
    <comment ref="C496" authorId="0" shapeId="0" xr:uid="{00000000-0006-0000-0500-0000CC000000}">
      <text>
        <r>
          <rPr>
            <sz val="11"/>
            <rFont val="Calibri"/>
            <family val="2"/>
            <scheme val="minor"/>
          </rPr>
          <t>YULIED.PENARANDA:
Describir los productos del proyecto, como se definió en la formulación del proyecto y de acuerdo con el catálogo de productos del DNP.</t>
        </r>
      </text>
    </comment>
    <comment ref="D496" authorId="0" shapeId="0" xr:uid="{00000000-0006-0000-0500-0000CD000000}">
      <text>
        <r>
          <rPr>
            <sz val="11"/>
            <rFont val="Calibri"/>
            <family val="2"/>
            <scheme val="minor"/>
          </rPr>
          <t xml:space="preserve">YULIED.PENARANDA:
Nombre completo del indicador. Expresión verbal, precisa y concreta del patrón de evaluación. </t>
        </r>
      </text>
    </comment>
    <comment ref="G496" authorId="0" shapeId="0" xr:uid="{00000000-0006-0000-0500-0000CE000000}">
      <text>
        <r>
          <rPr>
            <sz val="11"/>
            <rFont val="Calibri"/>
            <family val="2"/>
            <scheme val="minor"/>
          </rPr>
          <t>YULIED.PENARANDA:
Descripción concreta del avance, máximo de caracteres 200</t>
        </r>
      </text>
    </comment>
    <comment ref="A511" authorId="0" shapeId="0" xr:uid="{00000000-0006-0000-0500-0000CF000000}">
      <text>
        <r>
          <rPr>
            <sz val="11"/>
            <rFont val="Calibri"/>
            <family val="2"/>
            <scheme val="minor"/>
          </rPr>
          <t>YULIED.PENARANDA:
Vigencia a reportar</t>
        </r>
      </text>
    </comment>
    <comment ref="B511" authorId="0" shapeId="0" xr:uid="{00000000-0006-0000-0500-0000D0000000}">
      <text>
        <r>
          <rPr>
            <sz val="11"/>
            <rFont val="Calibri"/>
            <family val="2"/>
            <scheme val="minor"/>
          </rPr>
          <t>YULIED.PENARANDA:
Describir los objetivo específico del proyecto, como se definió en la formulación del proyecto</t>
        </r>
      </text>
    </comment>
    <comment ref="C511" authorId="0" shapeId="0" xr:uid="{00000000-0006-0000-0500-0000D1000000}">
      <text>
        <r>
          <rPr>
            <sz val="11"/>
            <rFont val="Calibri"/>
            <family val="2"/>
            <scheme val="minor"/>
          </rPr>
          <t>YULIED.PENARANDA:
Describir los productos del proyecto, como se definió en la formulación del proyecto y de acuerdo con el catálogo de productos del DNP.</t>
        </r>
      </text>
    </comment>
    <comment ref="D511" authorId="0" shapeId="0" xr:uid="{00000000-0006-0000-0500-0000D2000000}">
      <text>
        <r>
          <rPr>
            <sz val="11"/>
            <rFont val="Calibri"/>
            <family val="2"/>
            <scheme val="minor"/>
          </rPr>
          <t xml:space="preserve">YULIED.PENARANDA:
Nombre completo del indicador. Expresión verbal, precisa y concreta del patrón de evaluación. </t>
        </r>
      </text>
    </comment>
    <comment ref="G511" authorId="0" shapeId="0" xr:uid="{00000000-0006-0000-0500-0000D3000000}">
      <text>
        <r>
          <rPr>
            <sz val="11"/>
            <rFont val="Calibri"/>
            <family val="2"/>
            <scheme val="minor"/>
          </rPr>
          <t>YULIED.PENARANDA:
Descripción concreta del avance, máximo de caracteres 200</t>
        </r>
      </text>
    </comment>
    <comment ref="A526" authorId="0" shapeId="0" xr:uid="{00000000-0006-0000-0500-0000D4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527" authorId="0" shapeId="0" xr:uid="{00000000-0006-0000-0500-0000D5000000}">
      <text>
        <r>
          <rPr>
            <sz val="11"/>
            <rFont val="Calibri"/>
            <family val="2"/>
            <scheme val="minor"/>
          </rPr>
          <t>YULIED.PENARANDA:
Vigencia a reportar</t>
        </r>
      </text>
    </comment>
    <comment ref="B527" authorId="0" shapeId="0" xr:uid="{00000000-0006-0000-0500-0000D6000000}">
      <text>
        <r>
          <rPr>
            <sz val="11"/>
            <rFont val="Calibri"/>
            <family val="2"/>
            <scheme val="minor"/>
          </rPr>
          <t>YULIED.PENARANDA:
Describir los objetivo específico del proyecto, como se definió en la formulación del proyecto</t>
        </r>
      </text>
    </comment>
    <comment ref="C527" authorId="0" shapeId="0" xr:uid="{00000000-0006-0000-0500-0000D7000000}">
      <text>
        <r>
          <rPr>
            <sz val="11"/>
            <rFont val="Calibri"/>
            <family val="2"/>
            <scheme val="minor"/>
          </rPr>
          <t>YULIED.PENARANDA:
Describir los productos del proyecto, como se definió en la formulación del proyecto y de acuerdo con el catálogo de productos del DNP.</t>
        </r>
      </text>
    </comment>
    <comment ref="D527" authorId="0" shapeId="0" xr:uid="{00000000-0006-0000-0500-0000D8000000}">
      <text>
        <r>
          <rPr>
            <sz val="11"/>
            <rFont val="Calibri"/>
            <family val="2"/>
            <scheme val="minor"/>
          </rPr>
          <t xml:space="preserve">YULIED.PENARANDA:
Nombre completo del indicador. Expresión verbal, precisa y concreta del patrón de evaluación. </t>
        </r>
      </text>
    </comment>
    <comment ref="G527" authorId="0" shapeId="0" xr:uid="{00000000-0006-0000-0500-0000D9000000}">
      <text>
        <r>
          <rPr>
            <sz val="11"/>
            <rFont val="Calibri"/>
            <family val="2"/>
            <scheme val="minor"/>
          </rPr>
          <t>YULIED.PENARANDA:
Descripción concreta del avance, máximo de caracteres 200</t>
        </r>
      </text>
    </comment>
    <comment ref="A542" authorId="0" shapeId="0" xr:uid="{00000000-0006-0000-0500-0000DA000000}">
      <text>
        <r>
          <rPr>
            <sz val="11"/>
            <rFont val="Calibri"/>
            <family val="2"/>
            <scheme val="minor"/>
          </rPr>
          <t>YULIED.PENARANDA:
Vigencia a reportar</t>
        </r>
      </text>
    </comment>
    <comment ref="B542" authorId="0" shapeId="0" xr:uid="{00000000-0006-0000-0500-0000DB000000}">
      <text>
        <r>
          <rPr>
            <sz val="11"/>
            <rFont val="Calibri"/>
            <family val="2"/>
            <scheme val="minor"/>
          </rPr>
          <t>YULIED.PENARANDA:
Describir los objetivo específico del proyecto, como se definió en la formulación del proyecto</t>
        </r>
      </text>
    </comment>
    <comment ref="C542" authorId="0" shapeId="0" xr:uid="{00000000-0006-0000-0500-0000DC000000}">
      <text>
        <r>
          <rPr>
            <sz val="11"/>
            <rFont val="Calibri"/>
            <family val="2"/>
            <scheme val="minor"/>
          </rPr>
          <t>YULIED.PENARANDA:
Describir los productos del proyecto, como se definió en la formulación del proyecto y de acuerdo con el catálogo de productos del DNP.</t>
        </r>
      </text>
    </comment>
    <comment ref="D542" authorId="0" shapeId="0" xr:uid="{00000000-0006-0000-0500-0000DD000000}">
      <text>
        <r>
          <rPr>
            <sz val="11"/>
            <rFont val="Calibri"/>
            <family val="2"/>
            <scheme val="minor"/>
          </rPr>
          <t xml:space="preserve">YULIED.PENARANDA:
Nombre completo del indicador. Expresión verbal, precisa y concreta del patrón de evaluación. </t>
        </r>
      </text>
    </comment>
    <comment ref="G542" authorId="0" shapeId="0" xr:uid="{00000000-0006-0000-0500-0000DE000000}">
      <text>
        <r>
          <rPr>
            <sz val="11"/>
            <rFont val="Calibri"/>
            <family val="2"/>
            <scheme val="minor"/>
          </rPr>
          <t>YULIED.PENARANDA:
Descripción concreta del avance, máximo de caracteres 200</t>
        </r>
      </text>
    </comment>
    <comment ref="A557" authorId="0" shapeId="0" xr:uid="{00000000-0006-0000-0500-0000DF000000}">
      <text>
        <r>
          <rPr>
            <sz val="11"/>
            <rFont val="Calibri"/>
            <family val="2"/>
            <scheme val="minor"/>
          </rPr>
          <t>YULIED.PENARANDA:
Vigencia a reportar</t>
        </r>
      </text>
    </comment>
    <comment ref="B557" authorId="0" shapeId="0" xr:uid="{00000000-0006-0000-0500-0000E0000000}">
      <text>
        <r>
          <rPr>
            <sz val="11"/>
            <rFont val="Calibri"/>
            <family val="2"/>
            <scheme val="minor"/>
          </rPr>
          <t>YULIED.PENARANDA:
Describir los objetivo específico del proyecto, como se definió en la formulación del proyecto</t>
        </r>
      </text>
    </comment>
    <comment ref="C557" authorId="0" shapeId="0" xr:uid="{00000000-0006-0000-0500-0000E1000000}">
      <text>
        <r>
          <rPr>
            <sz val="11"/>
            <rFont val="Calibri"/>
            <family val="2"/>
            <scheme val="minor"/>
          </rPr>
          <t>YULIED.PENARANDA:
Describir los productos del proyecto, como se definió en la formulación del proyecto y de acuerdo con el catálogo de productos del DNP.</t>
        </r>
      </text>
    </comment>
    <comment ref="D557" authorId="0" shapeId="0" xr:uid="{00000000-0006-0000-0500-0000E2000000}">
      <text>
        <r>
          <rPr>
            <sz val="11"/>
            <rFont val="Calibri"/>
            <family val="2"/>
            <scheme val="minor"/>
          </rPr>
          <t xml:space="preserve">YULIED.PENARANDA:
Nombre completo del indicador. Expresión verbal, precisa y concreta del patrón de evaluación. </t>
        </r>
      </text>
    </comment>
    <comment ref="G557" authorId="0" shapeId="0" xr:uid="{00000000-0006-0000-0500-0000E3000000}">
      <text>
        <r>
          <rPr>
            <sz val="11"/>
            <rFont val="Calibri"/>
            <family val="2"/>
            <scheme val="minor"/>
          </rPr>
          <t>YULIED.PENARANDA:
Descripción concreta del avance, máximo de caracteres 200</t>
        </r>
      </text>
    </comment>
    <comment ref="A572" authorId="0" shapeId="0" xr:uid="{00000000-0006-0000-0500-0000E4000000}">
      <text>
        <r>
          <rPr>
            <sz val="11"/>
            <rFont val="Calibri"/>
            <family val="2"/>
            <scheme val="minor"/>
          </rPr>
          <t>YULIED.PENARANDA:
Vigencia a reportar</t>
        </r>
      </text>
    </comment>
    <comment ref="B572" authorId="0" shapeId="0" xr:uid="{00000000-0006-0000-0500-0000E5000000}">
      <text>
        <r>
          <rPr>
            <sz val="11"/>
            <rFont val="Calibri"/>
            <family val="2"/>
            <scheme val="minor"/>
          </rPr>
          <t>YULIED.PENARANDA:
Describir los objetivo específico del proyecto, como se definió en la formulación del proyecto</t>
        </r>
      </text>
    </comment>
    <comment ref="C572" authorId="0" shapeId="0" xr:uid="{00000000-0006-0000-0500-0000E6000000}">
      <text>
        <r>
          <rPr>
            <sz val="11"/>
            <rFont val="Calibri"/>
            <family val="2"/>
            <scheme val="minor"/>
          </rPr>
          <t>YULIED.PENARANDA:
Describir los productos del proyecto, como se definió en la formulación del proyecto y de acuerdo con el catálogo de productos del DNP.</t>
        </r>
      </text>
    </comment>
    <comment ref="D572" authorId="0" shapeId="0" xr:uid="{00000000-0006-0000-0500-0000E7000000}">
      <text>
        <r>
          <rPr>
            <sz val="11"/>
            <rFont val="Calibri"/>
            <family val="2"/>
            <scheme val="minor"/>
          </rPr>
          <t xml:space="preserve">YULIED.PENARANDA:
Nombre completo del indicador. Expresión verbal, precisa y concreta del patrón de evaluación. </t>
        </r>
      </text>
    </comment>
    <comment ref="G572" authorId="0" shapeId="0" xr:uid="{00000000-0006-0000-0500-0000E8000000}">
      <text>
        <r>
          <rPr>
            <sz val="11"/>
            <rFont val="Calibri"/>
            <family val="2"/>
            <scheme val="minor"/>
          </rPr>
          <t>YULIED.PENARANDA:
Descripción concreta del avance, máximo de caracteres 200</t>
        </r>
      </text>
    </comment>
    <comment ref="A587" authorId="0" shapeId="0" xr:uid="{00000000-0006-0000-0500-0000E9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588" authorId="0" shapeId="0" xr:uid="{00000000-0006-0000-0500-0000EA000000}">
      <text>
        <r>
          <rPr>
            <sz val="11"/>
            <rFont val="Calibri"/>
            <family val="2"/>
            <scheme val="minor"/>
          </rPr>
          <t>YULIED.PENARANDA:
Vigencia a reportar</t>
        </r>
      </text>
    </comment>
    <comment ref="B588" authorId="0" shapeId="0" xr:uid="{00000000-0006-0000-0500-0000EB000000}">
      <text>
        <r>
          <rPr>
            <sz val="11"/>
            <rFont val="Calibri"/>
            <family val="2"/>
            <scheme val="minor"/>
          </rPr>
          <t>YULIED.PENARANDA:
Describir los objetivo específico del proyecto, como se definió en la formulación del proyecto</t>
        </r>
      </text>
    </comment>
    <comment ref="C588" authorId="0" shapeId="0" xr:uid="{00000000-0006-0000-0500-0000EC000000}">
      <text>
        <r>
          <rPr>
            <sz val="11"/>
            <rFont val="Calibri"/>
            <family val="2"/>
            <scheme val="minor"/>
          </rPr>
          <t>YULIED.PENARANDA:
Describir los productos del proyecto, como se definió en la formulación del proyecto y de acuerdo con el catálogo de productos del DNP.</t>
        </r>
      </text>
    </comment>
    <comment ref="D588" authorId="0" shapeId="0" xr:uid="{00000000-0006-0000-0500-0000ED000000}">
      <text>
        <r>
          <rPr>
            <sz val="11"/>
            <rFont val="Calibri"/>
            <family val="2"/>
            <scheme val="minor"/>
          </rPr>
          <t xml:space="preserve">YULIED.PENARANDA:
Nombre completo del indicador. Expresión verbal, precisa y concreta del patrón de evaluación. </t>
        </r>
      </text>
    </comment>
    <comment ref="G588" authorId="0" shapeId="0" xr:uid="{00000000-0006-0000-0500-0000EE000000}">
      <text>
        <r>
          <rPr>
            <sz val="11"/>
            <rFont val="Calibri"/>
            <family val="2"/>
            <scheme val="minor"/>
          </rPr>
          <t>YULIED.PENARANDA:
Descripción concreta del avance, máximo de caracteres 200</t>
        </r>
      </text>
    </comment>
    <comment ref="A603" authorId="0" shapeId="0" xr:uid="{00000000-0006-0000-0500-0000EF000000}">
      <text>
        <r>
          <rPr>
            <sz val="11"/>
            <rFont val="Calibri"/>
            <family val="2"/>
            <scheme val="minor"/>
          </rPr>
          <t>YULIED.PENARANDA:
Vigencia a reportar</t>
        </r>
      </text>
    </comment>
    <comment ref="B603" authorId="0" shapeId="0" xr:uid="{00000000-0006-0000-0500-0000F0000000}">
      <text>
        <r>
          <rPr>
            <sz val="11"/>
            <rFont val="Calibri"/>
            <family val="2"/>
            <scheme val="minor"/>
          </rPr>
          <t>YULIED.PENARANDA:
Describir los objetivo específico del proyecto, como se definió en la formulación del proyecto</t>
        </r>
      </text>
    </comment>
    <comment ref="C603" authorId="0" shapeId="0" xr:uid="{00000000-0006-0000-0500-0000F1000000}">
      <text>
        <r>
          <rPr>
            <sz val="11"/>
            <rFont val="Calibri"/>
            <family val="2"/>
            <scheme val="minor"/>
          </rPr>
          <t>YULIED.PENARANDA:
Describir los productos del proyecto, como se definió en la formulación del proyecto y de acuerdo con el catálogo de productos del DNP.</t>
        </r>
      </text>
    </comment>
    <comment ref="D603" authorId="0" shapeId="0" xr:uid="{00000000-0006-0000-0500-0000F2000000}">
      <text>
        <r>
          <rPr>
            <sz val="11"/>
            <rFont val="Calibri"/>
            <family val="2"/>
            <scheme val="minor"/>
          </rPr>
          <t xml:space="preserve">YULIED.PENARANDA:
Nombre completo del indicador. Expresión verbal, precisa y concreta del patrón de evaluación. </t>
        </r>
      </text>
    </comment>
    <comment ref="G603" authorId="0" shapeId="0" xr:uid="{00000000-0006-0000-0500-0000F3000000}">
      <text>
        <r>
          <rPr>
            <sz val="11"/>
            <rFont val="Calibri"/>
            <family val="2"/>
            <scheme val="minor"/>
          </rPr>
          <t>YULIED.PENARANDA:
Descripción concreta del avance, máximo de caracteres 200</t>
        </r>
      </text>
    </comment>
    <comment ref="A618" authorId="0" shapeId="0" xr:uid="{00000000-0006-0000-0500-0000F4000000}">
      <text>
        <r>
          <rPr>
            <sz val="11"/>
            <rFont val="Calibri"/>
            <family val="2"/>
            <scheme val="minor"/>
          </rPr>
          <t>YULIED.PENARANDA:
Vigencia a reportar</t>
        </r>
      </text>
    </comment>
    <comment ref="B618" authorId="0" shapeId="0" xr:uid="{00000000-0006-0000-0500-0000F5000000}">
      <text>
        <r>
          <rPr>
            <sz val="11"/>
            <rFont val="Calibri"/>
            <family val="2"/>
            <scheme val="minor"/>
          </rPr>
          <t>YULIED.PENARANDA:
Describir los objetivo específico del proyecto, como se definió en la formulación del proyecto</t>
        </r>
      </text>
    </comment>
    <comment ref="C618" authorId="0" shapeId="0" xr:uid="{00000000-0006-0000-0500-0000F6000000}">
      <text>
        <r>
          <rPr>
            <sz val="11"/>
            <rFont val="Calibri"/>
            <family val="2"/>
            <scheme val="minor"/>
          </rPr>
          <t>YULIED.PENARANDA:
Describir los productos del proyecto, como se definió en la formulación del proyecto y de acuerdo con el catálogo de productos del DNP.</t>
        </r>
      </text>
    </comment>
    <comment ref="D618" authorId="0" shapeId="0" xr:uid="{00000000-0006-0000-0500-0000F7000000}">
      <text>
        <r>
          <rPr>
            <sz val="11"/>
            <rFont val="Calibri"/>
            <family val="2"/>
            <scheme val="minor"/>
          </rPr>
          <t xml:space="preserve">YULIED.PENARANDA:
Nombre completo del indicador. Expresión verbal, precisa y concreta del patrón de evaluación. </t>
        </r>
      </text>
    </comment>
    <comment ref="G618" authorId="0" shapeId="0" xr:uid="{00000000-0006-0000-0500-0000F8000000}">
      <text>
        <r>
          <rPr>
            <sz val="11"/>
            <rFont val="Calibri"/>
            <family val="2"/>
            <scheme val="minor"/>
          </rPr>
          <t>YULIED.PENARANDA:
Descripción concreta del avance, máximo de caracteres 200</t>
        </r>
      </text>
    </comment>
    <comment ref="A633" authorId="0" shapeId="0" xr:uid="{00000000-0006-0000-0500-0000F9000000}">
      <text>
        <r>
          <rPr>
            <sz val="11"/>
            <rFont val="Calibri"/>
            <family val="2"/>
            <scheme val="minor"/>
          </rPr>
          <t>YULIED.PENARANDA:
Vigencia a reportar</t>
        </r>
      </text>
    </comment>
    <comment ref="B633" authorId="0" shapeId="0" xr:uid="{00000000-0006-0000-0500-0000FA000000}">
      <text>
        <r>
          <rPr>
            <sz val="11"/>
            <rFont val="Calibri"/>
            <family val="2"/>
            <scheme val="minor"/>
          </rPr>
          <t>YULIED.PENARANDA:
Describir los objetivo específico del proyecto, como se definió en la formulación del proyecto</t>
        </r>
      </text>
    </comment>
    <comment ref="C633" authorId="0" shapeId="0" xr:uid="{00000000-0006-0000-0500-0000FB000000}">
      <text>
        <r>
          <rPr>
            <sz val="11"/>
            <rFont val="Calibri"/>
            <family val="2"/>
            <scheme val="minor"/>
          </rPr>
          <t>YULIED.PENARANDA:
Describir los productos del proyecto, como se definió en la formulación del proyecto y de acuerdo con el catálogo de productos del DNP.</t>
        </r>
      </text>
    </comment>
    <comment ref="D633" authorId="0" shapeId="0" xr:uid="{00000000-0006-0000-0500-0000FC000000}">
      <text>
        <r>
          <rPr>
            <sz val="11"/>
            <rFont val="Calibri"/>
            <family val="2"/>
            <scheme val="minor"/>
          </rPr>
          <t xml:space="preserve">YULIED.PENARANDA:
Nombre completo del indicador. Expresión verbal, precisa y concreta del patrón de evaluación. </t>
        </r>
      </text>
    </comment>
    <comment ref="G633" authorId="0" shapeId="0" xr:uid="{00000000-0006-0000-0500-0000FD000000}">
      <text>
        <r>
          <rPr>
            <sz val="11"/>
            <rFont val="Calibri"/>
            <family val="2"/>
            <scheme val="minor"/>
          </rPr>
          <t>YULIED.PENARANDA:
Descripción concreta del avance, máximo de caracteres 200</t>
        </r>
      </text>
    </comment>
    <comment ref="A648" authorId="0" shapeId="0" xr:uid="{00000000-0006-0000-0500-0000FE000000}">
      <text>
        <r>
          <rPr>
            <sz val="11"/>
            <rFont val="Calibri"/>
            <family val="2"/>
            <scheme val="minor"/>
          </rPr>
          <t>YULIED.PENARANDA
Distribuir las obligaciones del proyecto entre las diferentes actividades que hacen parte de un producto y un objetivo específico.
NOTA: Desagregar cuadro cuantas veces tenga productos asociados</t>
        </r>
      </text>
    </comment>
    <comment ref="A649" authorId="0" shapeId="0" xr:uid="{00000000-0006-0000-0500-0000FF000000}">
      <text>
        <r>
          <rPr>
            <sz val="11"/>
            <rFont val="Calibri"/>
            <family val="2"/>
            <scheme val="minor"/>
          </rPr>
          <t>YULIED.PENARANDA:
Vigencia a reportar</t>
        </r>
      </text>
    </comment>
    <comment ref="B649" authorId="0" shapeId="0" xr:uid="{00000000-0006-0000-0500-000000010000}">
      <text>
        <r>
          <rPr>
            <sz val="11"/>
            <rFont val="Calibri"/>
            <family val="2"/>
            <scheme val="minor"/>
          </rPr>
          <t>YULIED.PENARANDA:
Describir los objetivo específico del proyecto, como se definió en la formulación del proyecto</t>
        </r>
      </text>
    </comment>
    <comment ref="C649" authorId="0" shapeId="0" xr:uid="{00000000-0006-0000-0500-000001010000}">
      <text>
        <r>
          <rPr>
            <sz val="11"/>
            <rFont val="Calibri"/>
            <family val="2"/>
            <scheme val="minor"/>
          </rPr>
          <t>YULIED.PENARANDA:
Describir los productos del proyecto, como se definió en la formulación del proyecto y de acuerdo con el catálogo de productos del DNP.</t>
        </r>
      </text>
    </comment>
    <comment ref="D649" authorId="0" shapeId="0" xr:uid="{00000000-0006-0000-0500-000002010000}">
      <text>
        <r>
          <rPr>
            <sz val="11"/>
            <rFont val="Calibri"/>
            <family val="2"/>
            <scheme val="minor"/>
          </rPr>
          <t xml:space="preserve">YULIED.PENARANDA:
Nombre completo del indicador. Expresión verbal, precisa y concreta del patrón de evaluación. </t>
        </r>
      </text>
    </comment>
    <comment ref="G649" authorId="0" shapeId="0" xr:uid="{00000000-0006-0000-0500-000003010000}">
      <text>
        <r>
          <rPr>
            <sz val="11"/>
            <rFont val="Calibri"/>
            <family val="2"/>
            <scheme val="minor"/>
          </rPr>
          <t>YULIED.PENARANDA:
Descripción concreta del avance, máximo de caracteres 200</t>
        </r>
      </text>
    </comment>
    <comment ref="A664" authorId="0" shapeId="0" xr:uid="{00000000-0006-0000-0500-000004010000}">
      <text>
        <r>
          <rPr>
            <sz val="11"/>
            <rFont val="Calibri"/>
            <family val="2"/>
            <scheme val="minor"/>
          </rPr>
          <t>YULIED.PENARANDA:
Avance indicadores de gestión
NOTA: Desagregar cuadro cuantas veces tenga indicadores asociados</t>
        </r>
      </text>
    </comment>
    <comment ref="A665" authorId="0" shapeId="0" xr:uid="{00000000-0006-0000-0500-000005010000}">
      <text>
        <r>
          <rPr>
            <sz val="11"/>
            <rFont val="Calibri"/>
            <family val="2"/>
            <scheme val="minor"/>
          </rPr>
          <t>YULIED.PENARANDA:
Vigencia a reportar</t>
        </r>
      </text>
    </comment>
    <comment ref="B665" authorId="0" shapeId="0" xr:uid="{00000000-0006-0000-0500-000006010000}">
      <text>
        <r>
          <rPr>
            <sz val="11"/>
            <rFont val="Calibri"/>
            <family val="2"/>
            <scheme val="minor"/>
          </rPr>
          <t xml:space="preserve">YULIED.PENARANDA:
Nombre completo del indicador. Expresión verbal, precisa y concreta del patrón de evaluación. </t>
        </r>
      </text>
    </comment>
    <comment ref="C665" authorId="0" shapeId="0" xr:uid="{00000000-0006-0000-0500-000007010000}">
      <text>
        <r>
          <rPr>
            <sz val="11"/>
            <rFont val="Calibri"/>
            <family val="2"/>
            <scheme val="minor"/>
          </rPr>
          <t xml:space="preserve">YULIED.PENARANDA:
Unidad del indicador, define las características de la magnitud a realizar seguimiento. Eje: Hectáreas, estrategias, modelos, número etc. </t>
        </r>
      </text>
    </comment>
    <comment ref="D665" authorId="0" shapeId="0" xr:uid="{00000000-0006-0000-0500-000008010000}">
      <text>
        <r>
          <rPr>
            <sz val="11"/>
            <rFont val="Calibri"/>
            <family val="2"/>
            <scheme val="minor"/>
          </rPr>
          <t>YULIED.PENARANDA:
Peso porcentual de acuerdo con la distribución de los indicadores de gestión.</t>
        </r>
      </text>
    </comment>
    <comment ref="H665" authorId="0" shapeId="0" xr:uid="{00000000-0006-0000-0500-000009010000}">
      <text>
        <r>
          <rPr>
            <sz val="11"/>
            <rFont val="Calibri"/>
            <family val="2"/>
            <scheme val="minor"/>
          </rPr>
          <t>YULIED.PENARANDA:
Descripción concreta del avance, máximo de caracteres 200</t>
        </r>
      </text>
    </comment>
    <comment ref="A674" authorId="0" shapeId="0" xr:uid="{00000000-0006-0000-0500-00000A010000}">
      <text>
        <r>
          <rPr>
            <sz val="11"/>
            <rFont val="Calibri"/>
            <family val="2"/>
            <scheme val="minor"/>
          </rPr>
          <t>YULIED.PENARANDA:
Vigencia a reportar</t>
        </r>
      </text>
    </comment>
    <comment ref="B674" authorId="0" shapeId="0" xr:uid="{00000000-0006-0000-0500-00000B010000}">
      <text>
        <r>
          <rPr>
            <sz val="11"/>
            <rFont val="Calibri"/>
            <family val="2"/>
            <scheme val="minor"/>
          </rPr>
          <t xml:space="preserve">YULIED.PENARANDA:
Nombre completo del indicador. Expresión verbal, precisa y concreta del patrón de evaluación. </t>
        </r>
      </text>
    </comment>
    <comment ref="C674" authorId="0" shapeId="0" xr:uid="{00000000-0006-0000-0500-00000C010000}">
      <text>
        <r>
          <rPr>
            <sz val="11"/>
            <rFont val="Calibri"/>
            <family val="2"/>
            <scheme val="minor"/>
          </rPr>
          <t xml:space="preserve">YULIED.PENARANDA:
Unidad del indicador, define las características de la magnitud a realizar seguimiento. Eje: Hectáreas, estrategias, modelos, número etc. </t>
        </r>
      </text>
    </comment>
    <comment ref="D674" authorId="0" shapeId="0" xr:uid="{00000000-0006-0000-0500-00000D010000}">
      <text>
        <r>
          <rPr>
            <sz val="11"/>
            <rFont val="Calibri"/>
            <family val="2"/>
            <scheme val="minor"/>
          </rPr>
          <t>YULIED.PENARANDA:
Peso porcentual de acuerdo con la distribución de los indicadores de gestión.</t>
        </r>
      </text>
    </comment>
    <comment ref="H674" authorId="0" shapeId="0" xr:uid="{00000000-0006-0000-0500-00000E010000}">
      <text>
        <r>
          <rPr>
            <sz val="11"/>
            <rFont val="Calibri"/>
            <family val="2"/>
            <scheme val="minor"/>
          </rPr>
          <t>YULIED.PENARANDA:
Descripción concreta del avance, máximo de caracteres 200</t>
        </r>
      </text>
    </comment>
    <comment ref="A683" authorId="0" shapeId="0" xr:uid="{00000000-0006-0000-0500-00000F010000}">
      <text>
        <r>
          <rPr>
            <sz val="11"/>
            <rFont val="Calibri"/>
            <family val="2"/>
            <scheme val="minor"/>
          </rPr>
          <t>YULIED.PENARANDA:
Vigencia a reportar</t>
        </r>
      </text>
    </comment>
    <comment ref="B683" authorId="0" shapeId="0" xr:uid="{00000000-0006-0000-0500-000010010000}">
      <text>
        <r>
          <rPr>
            <sz val="11"/>
            <rFont val="Calibri"/>
            <family val="2"/>
            <scheme val="minor"/>
          </rPr>
          <t xml:space="preserve">YULIED.PENARANDA:
Nombre completo del indicador. Expresión verbal, precisa y concreta del patrón de evaluación. </t>
        </r>
      </text>
    </comment>
    <comment ref="C683" authorId="0" shapeId="0" xr:uid="{00000000-0006-0000-0500-000011010000}">
      <text>
        <r>
          <rPr>
            <sz val="11"/>
            <rFont val="Calibri"/>
            <family val="2"/>
            <scheme val="minor"/>
          </rPr>
          <t xml:space="preserve">YULIED.PENARANDA:
Unidad del indicador, define las características de la magnitud a realizar seguimiento. Eje: Hectáreas, estrategias, modelos, número etc. </t>
        </r>
      </text>
    </comment>
    <comment ref="D683" authorId="0" shapeId="0" xr:uid="{00000000-0006-0000-0500-000012010000}">
      <text>
        <r>
          <rPr>
            <sz val="11"/>
            <rFont val="Calibri"/>
            <family val="2"/>
            <scheme val="minor"/>
          </rPr>
          <t>YULIED.PENARANDA:
Peso porcentual de acuerdo con la distribución de los indicadores de gestión.</t>
        </r>
      </text>
    </comment>
    <comment ref="H683" authorId="0" shapeId="0" xr:uid="{00000000-0006-0000-0500-000013010000}">
      <text>
        <r>
          <rPr>
            <sz val="11"/>
            <rFont val="Calibri"/>
            <family val="2"/>
            <scheme val="minor"/>
          </rPr>
          <t>YULIED.PENARANDA:
Descripción concreta del avance, máximo de caracteres 200</t>
        </r>
      </text>
    </comment>
    <comment ref="A692" authorId="0" shapeId="0" xr:uid="{00000000-0006-0000-0500-000014010000}">
      <text>
        <r>
          <rPr>
            <sz val="11"/>
            <rFont val="Calibri"/>
            <family val="2"/>
            <scheme val="minor"/>
          </rPr>
          <t>YULIED.PENARANDA:
Vigencia a reportar</t>
        </r>
      </text>
    </comment>
    <comment ref="B692" authorId="0" shapeId="0" xr:uid="{00000000-0006-0000-0500-000015010000}">
      <text>
        <r>
          <rPr>
            <sz val="11"/>
            <rFont val="Calibri"/>
            <family val="2"/>
            <scheme val="minor"/>
          </rPr>
          <t xml:space="preserve">YULIED.PENARANDA:
Nombre completo del indicador. Expresión verbal, precisa y concreta del patrón de evaluación. </t>
        </r>
      </text>
    </comment>
    <comment ref="C692" authorId="0" shapeId="0" xr:uid="{00000000-0006-0000-0500-000016010000}">
      <text>
        <r>
          <rPr>
            <sz val="11"/>
            <rFont val="Calibri"/>
            <family val="2"/>
            <scheme val="minor"/>
          </rPr>
          <t xml:space="preserve">YULIED.PENARANDA:
Unidad del indicador, define las características de la magnitud a realizar seguimiento. Eje: Hectáreas, estrategias, modelos, número etc. </t>
        </r>
      </text>
    </comment>
    <comment ref="D692" authorId="0" shapeId="0" xr:uid="{00000000-0006-0000-0500-000017010000}">
      <text>
        <r>
          <rPr>
            <sz val="11"/>
            <rFont val="Calibri"/>
            <family val="2"/>
            <scheme val="minor"/>
          </rPr>
          <t>YULIED.PENARANDA:
Peso porcentual de acuerdo con la distribución de los indicadores de gestión.</t>
        </r>
      </text>
    </comment>
    <comment ref="H692" authorId="0" shapeId="0" xr:uid="{00000000-0006-0000-0500-000018010000}">
      <text>
        <r>
          <rPr>
            <sz val="11"/>
            <rFont val="Calibri"/>
            <family val="2"/>
            <scheme val="minor"/>
          </rPr>
          <t>YULIED.PENARANDA:
Descripción concreta del avance, máximo de caracteres 200</t>
        </r>
      </text>
    </comment>
    <comment ref="A701" authorId="0" shapeId="0" xr:uid="{00000000-0006-0000-0500-000019010000}">
      <text>
        <r>
          <rPr>
            <sz val="11"/>
            <rFont val="Calibri"/>
            <family val="2"/>
            <scheme val="minor"/>
          </rPr>
          <t>YULIED.PENARANDA:
Avance indicadores de gestión
NOTA: Desagregar cuadro cuantas veces tenga indicadores asociados</t>
        </r>
      </text>
    </comment>
    <comment ref="A702" authorId="0" shapeId="0" xr:uid="{00000000-0006-0000-0500-00001A010000}">
      <text>
        <r>
          <rPr>
            <sz val="11"/>
            <rFont val="Calibri"/>
            <family val="2"/>
            <scheme val="minor"/>
          </rPr>
          <t>YULIED.PENARANDA:
Vigencia a reportar</t>
        </r>
      </text>
    </comment>
    <comment ref="B702" authorId="0" shapeId="0" xr:uid="{00000000-0006-0000-0500-00001B010000}">
      <text>
        <r>
          <rPr>
            <sz val="11"/>
            <rFont val="Calibri"/>
            <family val="2"/>
            <scheme val="minor"/>
          </rPr>
          <t xml:space="preserve">YULIED.PENARANDA:
Nombre completo del indicador. Expresión verbal, precisa y concreta del patrón de evaluación. </t>
        </r>
      </text>
    </comment>
    <comment ref="C702" authorId="0" shapeId="0" xr:uid="{00000000-0006-0000-0500-00001C010000}">
      <text>
        <r>
          <rPr>
            <sz val="11"/>
            <rFont val="Calibri"/>
            <family val="2"/>
            <scheme val="minor"/>
          </rPr>
          <t xml:space="preserve">YULIED.PENARANDA:
Unidad del indicador, define las características de la magnitud a realizar seguimiento. Eje: Hectáreas, estrategias, modelos, número etc. </t>
        </r>
      </text>
    </comment>
    <comment ref="D702" authorId="0" shapeId="0" xr:uid="{00000000-0006-0000-0500-00001D010000}">
      <text>
        <r>
          <rPr>
            <sz val="11"/>
            <rFont val="Calibri"/>
            <family val="2"/>
            <scheme val="minor"/>
          </rPr>
          <t>YULIED.PENARANDA:
Peso porcentual de acuerdo con la distribución de los indicadores de gestión.</t>
        </r>
      </text>
    </comment>
    <comment ref="H702" authorId="0" shapeId="0" xr:uid="{00000000-0006-0000-0500-00001E010000}">
      <text>
        <r>
          <rPr>
            <sz val="11"/>
            <rFont val="Calibri"/>
            <family val="2"/>
            <scheme val="minor"/>
          </rPr>
          <t>YULIED.PENARANDA:
Descripción concreta del avance, máximo de caracteres 200</t>
        </r>
      </text>
    </comment>
    <comment ref="A717" authorId="0" shapeId="0" xr:uid="{00000000-0006-0000-0500-00001F010000}">
      <text>
        <r>
          <rPr>
            <sz val="11"/>
            <rFont val="Calibri"/>
            <family val="2"/>
            <scheme val="minor"/>
          </rPr>
          <t>YULIED.PENARANDA:
Vigencia a reportar</t>
        </r>
      </text>
    </comment>
    <comment ref="B717" authorId="0" shapeId="0" xr:uid="{00000000-0006-0000-0500-000020010000}">
      <text>
        <r>
          <rPr>
            <sz val="11"/>
            <rFont val="Calibri"/>
            <family val="2"/>
            <scheme val="minor"/>
          </rPr>
          <t xml:space="preserve">YULIED.PENARANDA:
Nombre completo del indicador. Expresión verbal, precisa y concreta del patrón de evaluación. </t>
        </r>
      </text>
    </comment>
    <comment ref="C717" authorId="0" shapeId="0" xr:uid="{00000000-0006-0000-0500-000021010000}">
      <text>
        <r>
          <rPr>
            <sz val="11"/>
            <rFont val="Calibri"/>
            <family val="2"/>
            <scheme val="minor"/>
          </rPr>
          <t xml:space="preserve">YULIED.PENARANDA:
Unidad del indicador, define las características de la magnitud a realizar seguimiento. Eje: Hectáreas, estrategias, modelos, número etc. </t>
        </r>
      </text>
    </comment>
    <comment ref="D717" authorId="0" shapeId="0" xr:uid="{00000000-0006-0000-0500-000022010000}">
      <text>
        <r>
          <rPr>
            <sz val="11"/>
            <rFont val="Calibri"/>
            <family val="2"/>
            <scheme val="minor"/>
          </rPr>
          <t>YULIED.PENARANDA:
Peso porcentual de acuerdo con la distribución de los indicadores de gestión.</t>
        </r>
      </text>
    </comment>
    <comment ref="H717" authorId="0" shapeId="0" xr:uid="{00000000-0006-0000-0500-000023010000}">
      <text>
        <r>
          <rPr>
            <sz val="11"/>
            <rFont val="Calibri"/>
            <family val="2"/>
            <scheme val="minor"/>
          </rPr>
          <t>YULIED.PENARANDA:
Descripción concreta del avance, máximo de caracteres 200</t>
        </r>
      </text>
    </comment>
    <comment ref="A732" authorId="0" shapeId="0" xr:uid="{00000000-0006-0000-0500-000024010000}">
      <text>
        <r>
          <rPr>
            <sz val="11"/>
            <rFont val="Calibri"/>
            <family val="2"/>
            <scheme val="minor"/>
          </rPr>
          <t>YULIED.PENARANDA:
Vigencia a reportar</t>
        </r>
      </text>
    </comment>
    <comment ref="B732" authorId="0" shapeId="0" xr:uid="{00000000-0006-0000-0500-000025010000}">
      <text>
        <r>
          <rPr>
            <sz val="11"/>
            <rFont val="Calibri"/>
            <family val="2"/>
            <scheme val="minor"/>
          </rPr>
          <t xml:space="preserve">YULIED.PENARANDA:
Nombre completo del indicador. Expresión verbal, precisa y concreta del patrón de evaluación. </t>
        </r>
      </text>
    </comment>
    <comment ref="C732" authorId="0" shapeId="0" xr:uid="{00000000-0006-0000-0500-000026010000}">
      <text>
        <r>
          <rPr>
            <sz val="11"/>
            <rFont val="Calibri"/>
            <family val="2"/>
            <scheme val="minor"/>
          </rPr>
          <t xml:space="preserve">YULIED.PENARANDA:
Unidad del indicador, define las características de la magnitud a realizar seguimiento. Eje: Hectáreas, estrategias, modelos, número etc. </t>
        </r>
      </text>
    </comment>
    <comment ref="D732" authorId="0" shapeId="0" xr:uid="{00000000-0006-0000-0500-000027010000}">
      <text>
        <r>
          <rPr>
            <sz val="11"/>
            <rFont val="Calibri"/>
            <family val="2"/>
            <scheme val="minor"/>
          </rPr>
          <t>YULIED.PENARANDA:
Peso porcentual de acuerdo con la distribución de los indicadores de gestión.</t>
        </r>
      </text>
    </comment>
    <comment ref="H732" authorId="0" shapeId="0" xr:uid="{00000000-0006-0000-0500-000028010000}">
      <text>
        <r>
          <rPr>
            <sz val="11"/>
            <rFont val="Calibri"/>
            <family val="2"/>
            <scheme val="minor"/>
          </rPr>
          <t>YULIED.PENARANDA:
Descripción concreta del avance, máximo de caracteres 200</t>
        </r>
      </text>
    </comment>
    <comment ref="A747" authorId="0" shapeId="0" xr:uid="{00000000-0006-0000-0500-000029010000}">
      <text>
        <r>
          <rPr>
            <sz val="11"/>
            <rFont val="Calibri"/>
            <family val="2"/>
            <scheme val="minor"/>
          </rPr>
          <t>YULIED.PENARANDA:
Vigencia a reportar</t>
        </r>
      </text>
    </comment>
    <comment ref="B747" authorId="0" shapeId="0" xr:uid="{00000000-0006-0000-0500-00002A010000}">
      <text>
        <r>
          <rPr>
            <sz val="11"/>
            <rFont val="Calibri"/>
            <family val="2"/>
            <scheme val="minor"/>
          </rPr>
          <t xml:space="preserve">YULIED.PENARANDA:
Nombre completo del indicador. Expresión verbal, precisa y concreta del patrón de evaluación. </t>
        </r>
      </text>
    </comment>
    <comment ref="C747" authorId="0" shapeId="0" xr:uid="{00000000-0006-0000-0500-00002B010000}">
      <text>
        <r>
          <rPr>
            <sz val="11"/>
            <rFont val="Calibri"/>
            <family val="2"/>
            <scheme val="minor"/>
          </rPr>
          <t xml:space="preserve">YULIED.PENARANDA:
Unidad del indicador, define las características de la magnitud a realizar seguimiento. Eje: Hectáreas, estrategias, modelos, número etc. </t>
        </r>
      </text>
    </comment>
    <comment ref="D747" authorId="0" shapeId="0" xr:uid="{00000000-0006-0000-0500-00002C010000}">
      <text>
        <r>
          <rPr>
            <sz val="11"/>
            <rFont val="Calibri"/>
            <family val="2"/>
            <scheme val="minor"/>
          </rPr>
          <t>YULIED.PENARANDA:
Peso porcentual de acuerdo con la distribución de los indicadores de gestión.</t>
        </r>
      </text>
    </comment>
    <comment ref="H747" authorId="0" shapeId="0" xr:uid="{00000000-0006-0000-0500-00002D010000}">
      <text>
        <r>
          <rPr>
            <sz val="11"/>
            <rFont val="Calibri"/>
            <family val="2"/>
            <scheme val="minor"/>
          </rPr>
          <t>YULIED.PENARANDA:
Descripción concreta del avance, máximo de caracteres 200</t>
        </r>
      </text>
    </comment>
    <comment ref="A762" authorId="0" shapeId="0" xr:uid="{00000000-0006-0000-0500-00002E010000}">
      <text>
        <r>
          <rPr>
            <sz val="11"/>
            <rFont val="Calibri"/>
            <family val="2"/>
            <scheme val="minor"/>
          </rPr>
          <t>YULIED.PENARANDA:
Avance indicadores de gestión.
NOTA: Desagregar cuadro cuantas veces tenga indicadores asociados</t>
        </r>
      </text>
    </comment>
    <comment ref="A763" authorId="0" shapeId="0" xr:uid="{00000000-0006-0000-0500-00002F010000}">
      <text>
        <r>
          <rPr>
            <sz val="11"/>
            <rFont val="Calibri"/>
            <family val="2"/>
            <scheme val="minor"/>
          </rPr>
          <t>YULIED.PENARANDA:
Vigencia a reportar</t>
        </r>
      </text>
    </comment>
    <comment ref="B763" authorId="0" shapeId="0" xr:uid="{00000000-0006-0000-0500-000030010000}">
      <text>
        <r>
          <rPr>
            <sz val="11"/>
            <rFont val="Calibri"/>
            <family val="2"/>
            <scheme val="minor"/>
          </rPr>
          <t xml:space="preserve">YULIED.PENARANDA:
Nombre completo del indicador. Expresión verbal, precisa y concreta del patrón de evaluación. </t>
        </r>
      </text>
    </comment>
    <comment ref="C763" authorId="0" shapeId="0" xr:uid="{00000000-0006-0000-0500-000031010000}">
      <text>
        <r>
          <rPr>
            <sz val="11"/>
            <rFont val="Calibri"/>
            <family val="2"/>
            <scheme val="minor"/>
          </rPr>
          <t xml:space="preserve">YULIED.PENARANDA:
Unidad del indicador, define las características de la magnitud a realizar seguimiento. Eje: Hectáreas, estrategias, modelos, número etc. </t>
        </r>
      </text>
    </comment>
    <comment ref="D763" authorId="0" shapeId="0" xr:uid="{00000000-0006-0000-0500-000032010000}">
      <text>
        <r>
          <rPr>
            <sz val="11"/>
            <rFont val="Calibri"/>
            <family val="2"/>
            <scheme val="minor"/>
          </rPr>
          <t>YULIED.PENARANDA:
Peso porcentual de acuerdo con la distribución de los indicadores de gestión.</t>
        </r>
      </text>
    </comment>
    <comment ref="H763" authorId="0" shapeId="0" xr:uid="{00000000-0006-0000-0500-000033010000}">
      <text>
        <r>
          <rPr>
            <sz val="11"/>
            <rFont val="Calibri"/>
            <family val="2"/>
            <scheme val="minor"/>
          </rPr>
          <t>YULIED.PENARANDA:
Descripción concreta del avance, máximo de caracteres 200</t>
        </r>
      </text>
    </comment>
    <comment ref="A778" authorId="0" shapeId="0" xr:uid="{00000000-0006-0000-0500-000034010000}">
      <text>
        <r>
          <rPr>
            <sz val="11"/>
            <rFont val="Calibri"/>
            <family val="2"/>
            <scheme val="minor"/>
          </rPr>
          <t>YULIED.PENARANDA:
Vigencia a reportar</t>
        </r>
      </text>
    </comment>
    <comment ref="B778" authorId="0" shapeId="0" xr:uid="{00000000-0006-0000-0500-000035010000}">
      <text>
        <r>
          <rPr>
            <sz val="11"/>
            <rFont val="Calibri"/>
            <family val="2"/>
            <scheme val="minor"/>
          </rPr>
          <t xml:space="preserve">YULIED.PENARANDA:
Nombre completo del indicador. Expresión verbal, precisa y concreta del patrón de evaluación. </t>
        </r>
      </text>
    </comment>
    <comment ref="C778" authorId="0" shapeId="0" xr:uid="{00000000-0006-0000-0500-000036010000}">
      <text>
        <r>
          <rPr>
            <sz val="11"/>
            <rFont val="Calibri"/>
            <family val="2"/>
            <scheme val="minor"/>
          </rPr>
          <t xml:space="preserve">YULIED.PENARANDA:
Unidad del indicador, define las características de la magnitud a realizar seguimiento. Eje: Hectáreas, estrategias, modelos, número etc. </t>
        </r>
      </text>
    </comment>
    <comment ref="D778" authorId="0" shapeId="0" xr:uid="{00000000-0006-0000-0500-000037010000}">
      <text>
        <r>
          <rPr>
            <sz val="11"/>
            <rFont val="Calibri"/>
            <family val="2"/>
            <scheme val="minor"/>
          </rPr>
          <t>YULIED.PENARANDA:
Peso porcentual de acuerdo con la distribución de los indicadores de gestión.</t>
        </r>
      </text>
    </comment>
    <comment ref="H778" authorId="0" shapeId="0" xr:uid="{00000000-0006-0000-0500-000038010000}">
      <text>
        <r>
          <rPr>
            <sz val="11"/>
            <rFont val="Calibri"/>
            <family val="2"/>
            <scheme val="minor"/>
          </rPr>
          <t>YULIED.PENARANDA:
Descripción concreta del avance, máximo de caracteres 200</t>
        </r>
      </text>
    </comment>
    <comment ref="A793" authorId="0" shapeId="0" xr:uid="{00000000-0006-0000-0500-000039010000}">
      <text>
        <r>
          <rPr>
            <sz val="11"/>
            <rFont val="Calibri"/>
            <family val="2"/>
            <scheme val="minor"/>
          </rPr>
          <t>YULIED.PENARANDA:
Vigencia a reportar</t>
        </r>
      </text>
    </comment>
    <comment ref="B793" authorId="0" shapeId="0" xr:uid="{00000000-0006-0000-0500-00003A010000}">
      <text>
        <r>
          <rPr>
            <sz val="11"/>
            <rFont val="Calibri"/>
            <family val="2"/>
            <scheme val="minor"/>
          </rPr>
          <t xml:space="preserve">YULIED.PENARANDA:
Nombre completo del indicador. Expresión verbal, precisa y concreta del patrón de evaluación. </t>
        </r>
      </text>
    </comment>
    <comment ref="C793" authorId="0" shapeId="0" xr:uid="{00000000-0006-0000-0500-00003B010000}">
      <text>
        <r>
          <rPr>
            <sz val="11"/>
            <rFont val="Calibri"/>
            <family val="2"/>
            <scheme val="minor"/>
          </rPr>
          <t xml:space="preserve">YULIED.PENARANDA:
Unidad del indicador, define las características de la magnitud a realizar seguimiento. Eje: Hectáreas, estrategias, modelos, número etc. </t>
        </r>
      </text>
    </comment>
    <comment ref="D793" authorId="0" shapeId="0" xr:uid="{00000000-0006-0000-0500-00003C010000}">
      <text>
        <r>
          <rPr>
            <sz val="11"/>
            <rFont val="Calibri"/>
            <family val="2"/>
            <scheme val="minor"/>
          </rPr>
          <t>YULIED.PENARANDA:
Peso porcentual de acuerdo con la distribución de los indicadores de gestión.</t>
        </r>
      </text>
    </comment>
    <comment ref="H793" authorId="0" shapeId="0" xr:uid="{00000000-0006-0000-0500-00003D010000}">
      <text>
        <r>
          <rPr>
            <sz val="11"/>
            <rFont val="Calibri"/>
            <family val="2"/>
            <scheme val="minor"/>
          </rPr>
          <t>YULIED.PENARANDA:
Descripción concreta del avance, máximo de caracteres 200</t>
        </r>
      </text>
    </comment>
    <comment ref="A808" authorId="0" shapeId="0" xr:uid="{00000000-0006-0000-0500-00003E010000}">
      <text>
        <r>
          <rPr>
            <sz val="11"/>
            <rFont val="Calibri"/>
            <family val="2"/>
            <scheme val="minor"/>
          </rPr>
          <t>YULIED.PENARANDA:
Vigencia a reportar</t>
        </r>
      </text>
    </comment>
    <comment ref="B808" authorId="0" shapeId="0" xr:uid="{00000000-0006-0000-0500-00003F010000}">
      <text>
        <r>
          <rPr>
            <sz val="11"/>
            <rFont val="Calibri"/>
            <family val="2"/>
            <scheme val="minor"/>
          </rPr>
          <t xml:space="preserve">YULIED.PENARANDA:
Nombre completo del indicador. Expresión verbal, precisa y concreta del patrón de evaluación. </t>
        </r>
      </text>
    </comment>
    <comment ref="C808" authorId="0" shapeId="0" xr:uid="{00000000-0006-0000-0500-000040010000}">
      <text>
        <r>
          <rPr>
            <sz val="11"/>
            <rFont val="Calibri"/>
            <family val="2"/>
            <scheme val="minor"/>
          </rPr>
          <t xml:space="preserve">YULIED.PENARANDA:
Unidad del indicador, define las características de la magnitud a realizar seguimiento. Eje: Hectáreas, estrategias, modelos, número etc. </t>
        </r>
      </text>
    </comment>
    <comment ref="D808" authorId="0" shapeId="0" xr:uid="{00000000-0006-0000-0500-000041010000}">
      <text>
        <r>
          <rPr>
            <sz val="11"/>
            <rFont val="Calibri"/>
            <family val="2"/>
            <scheme val="minor"/>
          </rPr>
          <t>YULIED.PENARANDA:
Peso porcentual de acuerdo con la distribución de los indicadores de gestión.</t>
        </r>
      </text>
    </comment>
    <comment ref="H808" authorId="0" shapeId="0" xr:uid="{00000000-0006-0000-0500-000042010000}">
      <text>
        <r>
          <rPr>
            <sz val="11"/>
            <rFont val="Calibri"/>
            <family val="2"/>
            <scheme val="minor"/>
          </rPr>
          <t>YULIED.PENARANDA:
Descripción concreta del avance, máximo de caracteres 200</t>
        </r>
      </text>
    </comment>
    <comment ref="A823" authorId="0" shapeId="0" xr:uid="{00000000-0006-0000-0500-000043010000}">
      <text>
        <r>
          <rPr>
            <sz val="11"/>
            <rFont val="Calibri"/>
            <family val="2"/>
            <scheme val="minor"/>
          </rPr>
          <t>YULIED.PENARANDA:
Avance indicadores de gestión.
NOTA: Desagregar cuadro cuantas veces tenga indicadores asociados</t>
        </r>
      </text>
    </comment>
    <comment ref="A824" authorId="0" shapeId="0" xr:uid="{00000000-0006-0000-0500-000044010000}">
      <text>
        <r>
          <rPr>
            <sz val="11"/>
            <rFont val="Calibri"/>
            <family val="2"/>
            <scheme val="minor"/>
          </rPr>
          <t>YULIED.PENARANDA:
Vigencia a reportar</t>
        </r>
      </text>
    </comment>
    <comment ref="B824" authorId="0" shapeId="0" xr:uid="{00000000-0006-0000-0500-000045010000}">
      <text>
        <r>
          <rPr>
            <sz val="11"/>
            <rFont val="Calibri"/>
            <family val="2"/>
            <scheme val="minor"/>
          </rPr>
          <t xml:space="preserve">YULIED.PENARANDA:
Nombre completo del indicador. Expresión verbal, precisa y concreta del patrón de evaluación. </t>
        </r>
      </text>
    </comment>
    <comment ref="C824" authorId="0" shapeId="0" xr:uid="{00000000-0006-0000-0500-000046010000}">
      <text>
        <r>
          <rPr>
            <sz val="11"/>
            <rFont val="Calibri"/>
            <family val="2"/>
            <scheme val="minor"/>
          </rPr>
          <t xml:space="preserve">YULIED.PENARANDA:
Unidad del indicador, define las características de la magnitud a realizar seguimiento. Eje: Hectáreas, estrategias, modelos, número etc. </t>
        </r>
      </text>
    </comment>
    <comment ref="D824" authorId="0" shapeId="0" xr:uid="{00000000-0006-0000-0500-000047010000}">
      <text>
        <r>
          <rPr>
            <sz val="11"/>
            <rFont val="Calibri"/>
            <family val="2"/>
            <scheme val="minor"/>
          </rPr>
          <t>YULIED.PENARANDA:
Ponderación del indicador se realiza de acuerdo al peso que cada producto tiene en el caso total del proyecto.</t>
        </r>
      </text>
    </comment>
    <comment ref="H824" authorId="0" shapeId="0" xr:uid="{00000000-0006-0000-0500-000048010000}">
      <text>
        <r>
          <rPr>
            <sz val="11"/>
            <rFont val="Calibri"/>
            <family val="2"/>
            <scheme val="minor"/>
          </rPr>
          <t>YULIED.PENARANDA:
Descripción concreta del avance, máximo de caracteres 200</t>
        </r>
      </text>
    </comment>
    <comment ref="A839" authorId="0" shapeId="0" xr:uid="{00000000-0006-0000-0500-000049010000}">
      <text>
        <r>
          <rPr>
            <sz val="11"/>
            <rFont val="Calibri"/>
            <family val="2"/>
            <scheme val="minor"/>
          </rPr>
          <t>YULIED.PENARANDA:
Vigencia a reportar</t>
        </r>
      </text>
    </comment>
    <comment ref="B839" authorId="0" shapeId="0" xr:uid="{00000000-0006-0000-0500-00004A010000}">
      <text>
        <r>
          <rPr>
            <sz val="11"/>
            <rFont val="Calibri"/>
            <family val="2"/>
            <scheme val="minor"/>
          </rPr>
          <t xml:space="preserve">YULIED.PENARANDA:
Nombre completo del indicador. Expresión verbal, precisa y concreta del patrón de evaluación. </t>
        </r>
      </text>
    </comment>
    <comment ref="C839" authorId="0" shapeId="0" xr:uid="{00000000-0006-0000-0500-00004B010000}">
      <text>
        <r>
          <rPr>
            <sz val="11"/>
            <rFont val="Calibri"/>
            <family val="2"/>
            <scheme val="minor"/>
          </rPr>
          <t xml:space="preserve">YULIED.PENARANDA:
Unidad del indicador, define las características de la magnitud a realizar seguimiento. Eje: Hectáreas, estrategias, modelos, número etc. </t>
        </r>
      </text>
    </comment>
    <comment ref="D839" authorId="0" shapeId="0" xr:uid="{00000000-0006-0000-0500-00004C010000}">
      <text>
        <r>
          <rPr>
            <sz val="11"/>
            <rFont val="Calibri"/>
            <family val="2"/>
            <scheme val="minor"/>
          </rPr>
          <t>YULIED.PENARANDA:
Ponderación del indicador se realiza de acuerdo al peso que cada producto tiene en el caso total del proyecto.</t>
        </r>
      </text>
    </comment>
    <comment ref="H839" authorId="0" shapeId="0" xr:uid="{00000000-0006-0000-0500-00004D010000}">
      <text>
        <r>
          <rPr>
            <sz val="11"/>
            <rFont val="Calibri"/>
            <family val="2"/>
            <scheme val="minor"/>
          </rPr>
          <t>YULIED.PENARANDA:
Descripción concreta del avance, máximo de caracteres 200</t>
        </r>
      </text>
    </comment>
    <comment ref="A854" authorId="0" shapeId="0" xr:uid="{00000000-0006-0000-0500-00004E010000}">
      <text>
        <r>
          <rPr>
            <sz val="11"/>
            <rFont val="Calibri"/>
            <family val="2"/>
            <scheme val="minor"/>
          </rPr>
          <t>YULIED.PENARANDA:
Vigencia a reportar</t>
        </r>
      </text>
    </comment>
    <comment ref="B854" authorId="0" shapeId="0" xr:uid="{00000000-0006-0000-0500-00004F010000}">
      <text>
        <r>
          <rPr>
            <sz val="11"/>
            <rFont val="Calibri"/>
            <family val="2"/>
            <scheme val="minor"/>
          </rPr>
          <t xml:space="preserve">YULIED.PENARANDA:
Nombre completo del indicador. Expresión verbal, precisa y concreta del patrón de evaluación. </t>
        </r>
      </text>
    </comment>
    <comment ref="C854" authorId="0" shapeId="0" xr:uid="{00000000-0006-0000-0500-000050010000}">
      <text>
        <r>
          <rPr>
            <sz val="11"/>
            <rFont val="Calibri"/>
            <family val="2"/>
            <scheme val="minor"/>
          </rPr>
          <t xml:space="preserve">YULIED.PENARANDA:
Unidad del indicador, define las características de la magnitud a realizar seguimiento. Eje: Hectáreas, estrategias, modelos, número etc. </t>
        </r>
      </text>
    </comment>
    <comment ref="D854" authorId="0" shapeId="0" xr:uid="{00000000-0006-0000-0500-000051010000}">
      <text>
        <r>
          <rPr>
            <sz val="11"/>
            <rFont val="Calibri"/>
            <family val="2"/>
            <scheme val="minor"/>
          </rPr>
          <t>YULIED.PENARANDA:
Ponderación del indicador se realiza de acuerdo al peso que cada producto tiene en el caso total del proyecto.</t>
        </r>
      </text>
    </comment>
    <comment ref="H854" authorId="0" shapeId="0" xr:uid="{00000000-0006-0000-0500-000052010000}">
      <text>
        <r>
          <rPr>
            <sz val="11"/>
            <rFont val="Calibri"/>
            <family val="2"/>
            <scheme val="minor"/>
          </rPr>
          <t>YULIED.PENARANDA:
Descripción concreta del avance, máximo de caracteres 200</t>
        </r>
      </text>
    </comment>
    <comment ref="A869" authorId="0" shapeId="0" xr:uid="{00000000-0006-0000-0500-000053010000}">
      <text>
        <r>
          <rPr>
            <sz val="11"/>
            <rFont val="Calibri"/>
            <family val="2"/>
            <scheme val="minor"/>
          </rPr>
          <t>YULIED.PENARANDA:
Vigencia a reportar</t>
        </r>
      </text>
    </comment>
    <comment ref="B869" authorId="0" shapeId="0" xr:uid="{00000000-0006-0000-0500-000054010000}">
      <text>
        <r>
          <rPr>
            <sz val="11"/>
            <rFont val="Calibri"/>
            <family val="2"/>
            <scheme val="minor"/>
          </rPr>
          <t xml:space="preserve">YULIED.PENARANDA:
Nombre completo del indicador. Expresión verbal, precisa y concreta del patrón de evaluación. </t>
        </r>
      </text>
    </comment>
    <comment ref="C869" authorId="0" shapeId="0" xr:uid="{00000000-0006-0000-0500-000055010000}">
      <text>
        <r>
          <rPr>
            <sz val="11"/>
            <rFont val="Calibri"/>
            <family val="2"/>
            <scheme val="minor"/>
          </rPr>
          <t xml:space="preserve">YULIED.PENARANDA:
Unidad del indicador, define las características de la magnitud a realizar seguimiento. Eje: Hectáreas, estrategias, modelos, número etc. </t>
        </r>
      </text>
    </comment>
    <comment ref="D869" authorId="0" shapeId="0" xr:uid="{00000000-0006-0000-0500-000056010000}">
      <text>
        <r>
          <rPr>
            <sz val="11"/>
            <rFont val="Calibri"/>
            <family val="2"/>
            <scheme val="minor"/>
          </rPr>
          <t>YULIED.PENARANDA:
Ponderación del indicador se realiza de acuerdo al peso que cada producto tiene en el caso total del proyecto.</t>
        </r>
      </text>
    </comment>
    <comment ref="H869" authorId="0" shapeId="0" xr:uid="{00000000-0006-0000-0500-000057010000}">
      <text>
        <r>
          <rPr>
            <sz val="11"/>
            <rFont val="Calibri"/>
            <family val="2"/>
            <scheme val="minor"/>
          </rPr>
          <t>YULIED.PENARANDA:
Descripción concreta del avance, máximo de caracteres 200</t>
        </r>
      </text>
    </comment>
    <comment ref="A886" authorId="0" shapeId="0" xr:uid="{00000000-0006-0000-0500-000058010000}">
      <text>
        <r>
          <rPr>
            <sz val="11"/>
            <rFont val="Calibri"/>
            <family val="2"/>
            <scheme val="minor"/>
          </rPr>
          <t>YULIED.PENARANDA:
Avance indicadores de gestión.
NOTA: Desagregar cuadro cuantas veces tenga indicadores asociados</t>
        </r>
      </text>
    </comment>
    <comment ref="A887" authorId="0" shapeId="0" xr:uid="{00000000-0006-0000-0500-000059010000}">
      <text>
        <r>
          <rPr>
            <sz val="11"/>
            <rFont val="Calibri"/>
            <family val="2"/>
            <scheme val="minor"/>
          </rPr>
          <t>YULIED.PENARANDA:
Vigencia a reportar</t>
        </r>
      </text>
    </comment>
    <comment ref="B887" authorId="0" shapeId="0" xr:uid="{00000000-0006-0000-0500-00005A010000}">
      <text>
        <r>
          <rPr>
            <sz val="11"/>
            <rFont val="Calibri"/>
            <family val="2"/>
            <scheme val="minor"/>
          </rPr>
          <t xml:space="preserve">YULIED.PENARANDA:
Nombre completo del indicador. Expresión verbal, precisa y concreta del patrón de evaluación. </t>
        </r>
      </text>
    </comment>
    <comment ref="C887" authorId="0" shapeId="0" xr:uid="{00000000-0006-0000-0500-00005B010000}">
      <text>
        <r>
          <rPr>
            <sz val="11"/>
            <rFont val="Calibri"/>
            <family val="2"/>
            <scheme val="minor"/>
          </rPr>
          <t xml:space="preserve">YULIED.PENARANDA:
Unidad del indicador, define las características de la magnitud a realizar seguimiento. Eje: Hectáreas, estrategias, modelos, número etc. </t>
        </r>
      </text>
    </comment>
    <comment ref="D887" authorId="0" shapeId="0" xr:uid="{00000000-0006-0000-0500-00005C010000}">
      <text>
        <r>
          <rPr>
            <sz val="11"/>
            <rFont val="Calibri"/>
            <family val="2"/>
            <scheme val="minor"/>
          </rPr>
          <t>YULIED.PENARANDA:
Peso porcentual de acuerdo con la distribución de los indicadores de gestión.</t>
        </r>
      </text>
    </comment>
    <comment ref="H887" authorId="0" shapeId="0" xr:uid="{00000000-0006-0000-0500-00005D010000}">
      <text>
        <r>
          <rPr>
            <sz val="11"/>
            <rFont val="Calibri"/>
            <family val="2"/>
            <scheme val="minor"/>
          </rPr>
          <t>YULIED.PENARANDA:
Descripción concreta del avance, máximo de caracteres 200</t>
        </r>
      </text>
    </comment>
  </commentList>
</comments>
</file>

<file path=xl/sharedStrings.xml><?xml version="1.0" encoding="utf-8"?>
<sst xmlns="http://schemas.openxmlformats.org/spreadsheetml/2006/main" count="2456" uniqueCount="700">
  <si>
    <t>DIRECCIONAMIENTO ESTRATÉGICO</t>
  </si>
  <si>
    <t>Formato: Programación, Actualización y Seguimiento del Plan de Acción -  Componente de gestión</t>
  </si>
  <si>
    <t>Código: PE01-PR02-F2</t>
  </si>
  <si>
    <t>Versión: 14</t>
  </si>
  <si>
    <t>DEPENDENCIA:</t>
  </si>
  <si>
    <t>Subdirección de Ecosistemas y Ruralidad</t>
  </si>
  <si>
    <t>CÓDIGO Y NOMBRE PROYECTO:</t>
  </si>
  <si>
    <t>7769 Implementación de intervenciones para la restauración y mantenimiento de áreas de la Estructura Ecológica Principal, Cerros Orientales y otras áreas de interés ambiental de Bogotá</t>
  </si>
  <si>
    <t>Propósito Plan de Desarrollo</t>
  </si>
  <si>
    <t>02 Cambiar nuestros hábitos de vida para reverdecer a Bogotá y adaptarnos y mitigar la crisis climática</t>
  </si>
  <si>
    <t>Programa Plan de Desarrollo</t>
  </si>
  <si>
    <t>28 Bogotá protectora de sus recursos naturales</t>
  </si>
  <si>
    <t>1. ESTRUCTURA DEL PLAN DE DESARROLLO</t>
  </si>
  <si>
    <t>2. PROGRAMACIÓN Y EJECUCIÓN</t>
  </si>
  <si>
    <t>3, % CUMPLIMIENTO 
(En el periodo)</t>
  </si>
  <si>
    <t>4, % CUMPLIMIENTO ACUMULADO (al periodo)</t>
  </si>
  <si>
    <t>5, % CUMPLIMIENTO ACUMULADO (Vigencia) SEGPLAN</t>
  </si>
  <si>
    <t>6, % CUMPLIMIENTO ACUMULADO (al periodo) cuatrienio</t>
  </si>
  <si>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</si>
  <si>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</si>
  <si>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</si>
  <si>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</si>
  <si>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</si>
  <si>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</si>
  <si>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</si>
  <si>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</si>
  <si>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</si>
  <si>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</si>
  <si>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</si>
  <si>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</si>
  <si>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</si>
  <si>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</si>
  <si>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</si>
  <si>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</si>
  <si>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</si>
  <si>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</si>
  <si>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</si>
  <si>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</si>
  <si>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</si>
  <si>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t>PROGRAMADO VALOR ABSOLUTO VIGENCIA</t>
  </si>
  <si>
    <t>PROGRAMADO ACUMULADO AL PERIODO
AÑO 2020</t>
  </si>
  <si>
    <t>EJECUTADO ACUMUALDO AL PERIODO
 AÑO 2020</t>
  </si>
  <si>
    <t>PROGRAMADO ACUMULADO SEGPLAN
AÑO 2020</t>
  </si>
  <si>
    <t>EJECUTADO ACUMUALDO  SEGPLAN
 AÑO 2020</t>
  </si>
  <si>
    <t>PROGRAMADO ACUMULADO AL PERIODO
AÑO 2021</t>
  </si>
  <si>
    <t>EJECUTADO ACUMUALDO AL PERIODO
 AÑO 2021</t>
  </si>
  <si>
    <t>PROGRAMADO ACUMULADO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</si>
  <si>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</si>
  <si>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</si>
  <si>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</si>
  <si>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</si>
  <si>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</si>
  <si>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</si>
  <si>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</si>
  <si>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</si>
  <si>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</si>
  <si>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</si>
  <si>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</si>
  <si>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</si>
  <si>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Alcanzar el 75% de cumplimiento del  plan de manejo de la franja de adecuación de los Cerros Orientales en lo que corresponde a la SDA.</t>
  </si>
  <si>
    <t>Porcentaje de avance en el cumplimiento de los proyectos del Plan de manejo del área de ocupación público prioritaria de la franja de adecuación de Cerros Orientales de competencia de la SDA.</t>
  </si>
  <si>
    <t>%</t>
  </si>
  <si>
    <t>Creciente</t>
  </si>
  <si>
    <t>N/A</t>
  </si>
  <si>
    <t>Mejorar la oferta de áreas con servicios ecosistémicos de los Cerros Orientales además de la reducción de conflictos socioambientales</t>
  </si>
  <si>
    <t>Archivos en drive proyecto 7769</t>
  </si>
  <si>
    <t xml:space="preserve">Restaurar, rehabilitar o recuperar a 370 nuevas hectáreas degradadas en la estructura ecológica principal y áreas de interés ambiental, con 450.000 individuos.
</t>
  </si>
  <si>
    <t>Número de nuevas hectáreas restauradas, rehabilitadas o recuperadas</t>
  </si>
  <si>
    <t>Hectáreas</t>
  </si>
  <si>
    <t>SUMA</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</si>
  <si>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</si>
  <si>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Número de individuos vegetales plantados</t>
  </si>
  <si>
    <t>#</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</si>
  <si>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</si>
  <si>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</si>
  <si>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CONSTANTE</t>
  </si>
  <si>
    <t>Conservar los ecosistemas que hacen del patrimonio ecológico de la ciudad y fortalecer los servicios ecosistémicos, a través del mantenimiento y la sostenibilidad de procesos anteriores de restauración, rehabilitación o recuperación ecológica.</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</si>
  <si>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</si>
  <si>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</si>
  <si>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Lograr la identificación de las acciones socioambientales en la Franja de Adecuación y los Cerros Orientales necesarios para restablecer la conectividad ecológica entre ecosistemas de alta importancia para la ciudad, ampliando espacios de interacción con la naturaleza</t>
  </si>
  <si>
    <t>CONTROL DE CAMBIOS</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</si>
  <si>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</si>
  <si>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</si>
  <si>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</si>
  <si>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</si>
  <si>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</si>
  <si>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</si>
  <si>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Formato: Programación, Actualización y Seguimiento del Plan de Acción -Componente de Inversión</t>
  </si>
  <si>
    <t>1,  INFORMACIÓN META DE PROYECTO</t>
  </si>
  <si>
    <t xml:space="preserve"> AÑO 2020</t>
  </si>
  <si>
    <t>1,1 LÍNEA DE ACCIÓN</t>
  </si>
  <si>
    <t>1,2 COD.</t>
  </si>
  <si>
    <t>1,3 META</t>
  </si>
  <si>
    <t>1,4 TIPOLOGÍA</t>
  </si>
  <si>
    <t>1,5 COD. META PDD A QUE SE ASOCIA META PROY</t>
  </si>
  <si>
    <t>1,6, VARIABLE REQUERIDA</t>
  </si>
  <si>
    <t>1,7, VALOR   CUATRIENIO</t>
  </si>
  <si>
    <t>Implementar intervenciones para la restauración y mantenimiento ecológico en la estructura ecológica principal, la franja de adecuación de los cerros orientales y otras áreas de interés ambiental en el D.C</t>
  </si>
  <si>
    <t>Alcanzar el 75 porciento de cumplimiento del  plan de manejo de la franja de adecuación de los Cerros Orientales en lo que corresponde a la SDA.</t>
  </si>
  <si>
    <t xml:space="preserve">Creciente </t>
  </si>
  <si>
    <t>MAGNITUD  FÍSICA</t>
  </si>
  <si>
    <t>Mejorar la oferta de áreas con servicios ecosistémicos de los Cerros Orientales ademàs de la reducción de conflictos socioambientales</t>
  </si>
  <si>
    <t>PRESUPUESTO VIGENCIA</t>
  </si>
  <si>
    <t>GIRO VIGENCIA</t>
  </si>
  <si>
    <t>MAGNITUD FÍSICA RESERVAS</t>
  </si>
  <si>
    <t>RESERVA PRESUPUESTAL</t>
  </si>
  <si>
    <t>TOTAL MAGNITUD FÍSICA</t>
  </si>
  <si>
    <t>TOTAL PRESUPUESTO DE LA META</t>
  </si>
  <si>
    <t>Restaurar, rehabilitar o recuperar a 370 nuevas hectáreas degradadas en la estructura ecológica principal y áreas de interés ambiental, con 450.000 individuos.</t>
  </si>
  <si>
    <t>Lograr la identificaciòn de las acciones socioambientales en la Franja de Adecuación y los Cerros Orientales necesarios para restablecer la conectividad ecológica entre ecosistemas de alta importancia para la ciudad, ampliando espacios de interacción con la naturaleza</t>
  </si>
  <si>
    <t>TOTAL PROYECTO</t>
  </si>
  <si>
    <t>TOTAL PRESUPUESTO VIGENCIA  DEL PROYECTO</t>
  </si>
  <si>
    <t>TOTAL RESERVA PRESUPUESTAL DEL PROYECTO</t>
  </si>
  <si>
    <t>TOTAL PROYECTO VIGENCIA + RESERVAS</t>
  </si>
  <si>
    <t>Codigo:PE01-PR02-F2</t>
  </si>
  <si>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</si>
  <si>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</si>
  <si>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</si>
  <si>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</si>
  <si>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</si>
  <si>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</si>
  <si>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</si>
  <si>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</si>
  <si>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</si>
  <si>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</si>
  <si>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</si>
  <si>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</si>
  <si>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</si>
  <si>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</si>
  <si>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</si>
  <si>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</si>
  <si>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</si>
  <si>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</si>
  <si>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</si>
  <si>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</si>
  <si>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</si>
  <si>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</si>
  <si>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</si>
  <si>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</si>
  <si>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1. Realizar acciones de gestión para la adquisición de predios: Selección de predios y determinación de viabilidad del proceso de adquisición y recoleccion de informacion de los predios seleccionados.</t>
  </si>
  <si>
    <t>X</t>
  </si>
  <si>
    <t>Programado</t>
  </si>
  <si>
    <t>Ejecutado</t>
  </si>
  <si>
    <t>2. Implementar la restauración ecológica para generar corredores de bosque y agua para los bogotanos: Intervención 14ha</t>
  </si>
  <si>
    <t>3.Recuperar y mantener de la red de senderos existentes: Seguimiento a ejecución de convenios, articulación, planificación de acciones en nuevos senderos y operación Sendero Guadalupe Aguanoso</t>
  </si>
  <si>
    <t>x</t>
  </si>
  <si>
    <t xml:space="preserve">4. Adecuar 1 zona de cantera para parques y equipamentos: Acciones de planificación e inicio de implementación de intervenciones </t>
  </si>
  <si>
    <t>5. Implementar hitos de amojonamiento sociocultural y ambiental y seguimiento  a iniciativas de participación ciudadana en la gestión ambiental.</t>
  </si>
  <si>
    <t xml:space="preserve">6. Implementar incentivos y acuerdos de conservación. </t>
  </si>
  <si>
    <t>7. Identificar, priorizar áreas y elaborar los respectivos diagnósticos de las zonas a intervenir.</t>
  </si>
  <si>
    <t xml:space="preserve">8. Elaborar los diseños a las áreas priorizadas, de acuerdo a los resultados del diagnóstico realizado. </t>
  </si>
  <si>
    <t>9 Implementar acciones de recuperación, rehabilitación o restauración ecológica.</t>
  </si>
  <si>
    <t>10.  Priorizar áreas que requieren acciones de mantenimiento básicas de fertilización, poda, riego, replante, entre otras. Así como la sostenibilidad mediante la inducción de trayectorias ecológicas</t>
  </si>
  <si>
    <t>11.  Implementar las acciones de mantenimiento y sostenibilidad, con la revisión fitosanitaria, enriquecimiento orgánica, plateo y replante de árboles en las áreas establecidas.</t>
  </si>
  <si>
    <t>12.  Implementar el plan de producción de material vegetal de acuerdo con las necesidades de las metas de restauración ecológica.</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</si>
  <si>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</si>
  <si>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 xml:space="preserve">13. Elaborar documentos técnicos de los proyectos de los cuatro corredores de conectividad ecológica urbano-rural entre elementos de la EEP y otras áreas de interés ambiental del D.C. </t>
  </si>
  <si>
    <t xml:space="preserve">14. Aplicar el procedimiento para implementar y efectuar el seguimiento a corredores de conectividad ecológica en Bogotá D.C.  </t>
  </si>
  <si>
    <t xml:space="preserve">15. Implementar estrategias para promover la gobernanza y participación de los actores sociales e institucionales en el diagnóstico, diseño, implementación y seguimiento de corredores ecológicos. </t>
  </si>
  <si>
    <t>16.Implementación de procesos de formación a líderes sociales para la gobernanza en la comunidad.</t>
  </si>
  <si>
    <t>TOTAL</t>
  </si>
  <si>
    <t>Se crea hoja de SPI</t>
  </si>
  <si>
    <t>Radicado No. 2021IE106063 del 31 de mayo del 2021.</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</si>
  <si>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</si>
  <si>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</si>
  <si>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</si>
  <si>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</si>
  <si>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</si>
  <si>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</si>
  <si>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</si>
  <si>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</si>
  <si>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</si>
  <si>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</si>
  <si>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</si>
  <si>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</si>
  <si>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 5. PROGRAMACIÓN INICIAL AÑO 2023</t>
  </si>
  <si>
    <t>1.6.REPROGRAMACIÓN VIGENCIA</t>
  </si>
  <si>
    <t>Observaciones</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</si>
  <si>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</si>
  <si>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</si>
  <si>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</si>
  <si>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</si>
  <si>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</si>
  <si>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</si>
  <si>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</si>
  <si>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</si>
  <si>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</si>
  <si>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</si>
  <si>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</si>
  <si>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</si>
  <si>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</si>
  <si>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</si>
  <si>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</si>
  <si>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</si>
  <si>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</si>
  <si>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</si>
  <si>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</si>
  <si>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Punto de inversión Cerros Orientales de Bogota D.C.</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</si>
  <si>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</si>
  <si>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Barrios de las UPZ de influencia</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</si>
  <si>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</si>
  <si>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</si>
  <si>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</si>
  <si>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Sin Datos</t>
  </si>
  <si>
    <t>868126 personas (Fuente DANE)</t>
  </si>
  <si>
    <t xml:space="preserve">
4. San Cristóbal,
5. Usme, 
1. Usaquén,
19. Ciudad Bolívar,
7. Bosa,
9. Fontibón,
10. Engativá,
6. Tunjuelito,
2. Chapinero,
3. Santafé
8. Kennedy
11. Suba</t>
  </si>
  <si>
    <t>UPR Zona Norte (1),  UPZ Castilla (46), UPZ Tunjuelito (62)
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</si>
  <si>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</si>
  <si>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</si>
  <si>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</si>
  <si>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</si>
  <si>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Punto de inversión 
Rafael Uribe Uribe,4. San Cristóbal,5. Usme,11.Suba,1Usaqué,19. Ciudad Bolívar,18. Rafael Uribe Uribe,12.Barrios Unidos,7.Bosa,9.Fontibón,8.Kennedy,10.Engativá,6.Tunjuelito,2Chapinero,3 Santafé</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</si>
  <si>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</si>
  <si>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</si>
  <si>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54. Marruecos,34. 20 de julio, 50. La Gloria,51. Los Libertadores, 57. Gran Yomasa, 59. Alfonso López, 89.San Isidro Patios</t>
  </si>
  <si>
    <r>
      <rPr>
        <b/>
        <sz val="9"/>
        <rFont val="Arial"/>
        <family val="2"/>
      </rPr>
      <t>Punto 1. Conector ecosistémico</t>
    </r>
    <r>
      <rPr>
        <sz val="9"/>
        <rFont val="Arial"/>
        <family val="2"/>
      </rPr>
      <t xml:space="preserve"> Páramos Chingaza Sumapaz</t>
    </r>
  </si>
  <si>
    <r>
      <rPr>
        <b/>
        <sz val="9"/>
        <rFont val="Arial"/>
        <family val="2"/>
      </rPr>
      <t xml:space="preserve">UPR </t>
    </r>
    <r>
      <rPr>
        <sz val="9"/>
        <rFont val="Arial"/>
        <family val="2"/>
      </rPr>
      <t xml:space="preserve">de Ciudad Bolivar, Cuenca media y alta del río Tunjuelo
</t>
    </r>
    <r>
      <rPr>
        <b/>
        <sz val="9"/>
        <rFont val="Arial"/>
        <family val="2"/>
      </rPr>
      <t>UPZ:</t>
    </r>
    <r>
      <rPr>
        <sz val="9"/>
        <rFont val="Arial"/>
        <family val="2"/>
      </rPr>
      <t xml:space="preserve"> 63. Mochuelo, 64. Monte Blanco, </t>
    </r>
  </si>
  <si>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</si>
  <si>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</si>
  <si>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</si>
  <si>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395.967 personas (Fuente DANE)</t>
  </si>
  <si>
    <r>
      <rPr>
        <b/>
        <sz val="9"/>
        <rFont val="Arial"/>
        <family val="2"/>
      </rPr>
      <t xml:space="preserve">Punto 2. Conector ecosistémico - </t>
    </r>
    <r>
      <rPr>
        <sz val="9"/>
        <rFont val="Arial"/>
        <family val="2"/>
      </rPr>
      <t xml:space="preserve">  Bosque Oriental - Río Bogotá</t>
    </r>
  </si>
  <si>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</si>
  <si>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t>
  </si>
  <si>
    <t>9. Verbenal; 11 San Cristóbal; 27. Suba; 28 Rincón; 71 Tibabuyes</t>
  </si>
  <si>
    <t>1.738.288 personas (Fuente DANE)</t>
  </si>
  <si>
    <r>
      <rPr>
        <b/>
        <sz val="9"/>
        <rFont val="Arial"/>
        <family val="2"/>
      </rPr>
      <t xml:space="preserve">Punto 3. Conector ecosistémico - </t>
    </r>
    <r>
      <rPr>
        <sz val="9"/>
        <rFont val="Arial"/>
        <family val="2"/>
      </rPr>
      <t>Cerros - Virrey - Neuque</t>
    </r>
  </si>
  <si>
    <t>02. Chapinero</t>
  </si>
  <si>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</si>
  <si>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</si>
  <si>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 San Isidro Patios.
28. El Rincon, 71. Tubabuyes
74. Engativa</t>
  </si>
  <si>
    <t>899.947 personas (Fuente: DANE)</t>
  </si>
  <si>
    <r>
      <rPr>
        <b/>
        <sz val="9"/>
        <rFont val="Arial"/>
        <family val="2"/>
      </rPr>
      <t xml:space="preserve">Punto 4. Conector ecosistémico - </t>
    </r>
    <r>
      <rPr>
        <sz val="9"/>
        <rFont val="Arial"/>
        <family val="2"/>
      </rPr>
      <t xml:space="preserve"> Suba - Conejera</t>
    </r>
  </si>
  <si>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</si>
  <si>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</si>
  <si>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</si>
  <si>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</si>
  <si>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</si>
  <si>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r>
      <rPr>
        <b/>
        <sz val="9"/>
        <rFont val="Arial"/>
        <family val="2"/>
      </rPr>
      <t>Punto 5</t>
    </r>
    <r>
      <rPr>
        <sz val="9"/>
        <rFont val="Arial"/>
        <family val="2"/>
      </rPr>
      <t>. Conector ecosistémico - Media Luna del Sur y Conector ecosistémico Río Fucha</t>
    </r>
  </si>
  <si>
    <t xml:space="preserve">Se identifican las UPL
17 Bosa, 18 Kennedy, 3 Arborizadora, 62Tunjuelito </t>
  </si>
  <si>
    <t>Barrios de las UPL de influencia</t>
  </si>
  <si>
    <t>El polígono del Corredor de conectividad ecológica indice positivamente en los polígonos de la EEP de la cuenca Tunjuelo y área de manejo especial del río Bogotá.</t>
  </si>
  <si>
    <t>Continuo a 62. Tunjuelito</t>
  </si>
  <si>
    <t>Total Meta</t>
  </si>
  <si>
    <t>TOTALES - PROYECTO</t>
  </si>
  <si>
    <t>TOTALES Rec. Vigencia</t>
  </si>
  <si>
    <t>TOTALES Rec. Reservas</t>
  </si>
  <si>
    <t>TOTAL PRESUPUESTO</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</si>
  <si>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</si>
  <si>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</si>
  <si>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PROGRAMADO</t>
    </r>
    <r>
      <rPr>
        <b/>
        <sz val="12"/>
        <rFont val="Arial"/>
        <family val="2"/>
      </rPr>
      <t xml:space="preserve"> FEB.</t>
    </r>
  </si>
  <si>
    <r>
      <rPr>
        <sz val="12"/>
        <rFont val="Arial"/>
        <family val="2"/>
      </rPr>
      <t xml:space="preserve">PROGRAMADO </t>
    </r>
    <r>
      <rPr>
        <b/>
        <sz val="12"/>
        <rFont val="Arial"/>
        <family val="2"/>
      </rPr>
      <t>MAR.</t>
    </r>
  </si>
  <si>
    <r>
      <rPr>
        <sz val="12"/>
        <rFont val="Arial"/>
        <family val="2"/>
      </rPr>
      <t xml:space="preserve">PROGRAMADO </t>
    </r>
    <r>
      <rPr>
        <b/>
        <sz val="12"/>
        <rFont val="Arial"/>
        <family val="2"/>
      </rPr>
      <t>ABR.</t>
    </r>
  </si>
  <si>
    <r>
      <rPr>
        <sz val="12"/>
        <rFont val="Arial"/>
        <family val="2"/>
      </rPr>
      <t xml:space="preserve">PROGRAMADO </t>
    </r>
    <r>
      <rPr>
        <b/>
        <sz val="12"/>
        <rFont val="Arial"/>
        <family val="2"/>
      </rPr>
      <t>MAY.</t>
    </r>
  </si>
  <si>
    <r>
      <rPr>
        <sz val="12"/>
        <rFont val="Arial"/>
        <family val="2"/>
      </rPr>
      <t>PROGRAMADO</t>
    </r>
    <r>
      <rPr>
        <b/>
        <sz val="12"/>
        <rFont val="Arial"/>
        <family val="2"/>
      </rPr>
      <t xml:space="preserve"> JUN.</t>
    </r>
  </si>
  <si>
    <r>
      <rPr>
        <sz val="12"/>
        <rFont val="Arial"/>
        <family val="2"/>
      </rPr>
      <t>PROGRAMADO</t>
    </r>
    <r>
      <rPr>
        <b/>
        <sz val="12"/>
        <rFont val="Arial"/>
        <family val="2"/>
      </rPr>
      <t xml:space="preserve"> JUL.</t>
    </r>
  </si>
  <si>
    <r>
      <rPr>
        <sz val="12"/>
        <rFont val="Arial"/>
        <family val="2"/>
      </rPr>
      <t xml:space="preserve">PROGRAMADO </t>
    </r>
    <r>
      <rPr>
        <b/>
        <sz val="12"/>
        <rFont val="Arial"/>
        <family val="2"/>
      </rPr>
      <t>AGO.</t>
    </r>
  </si>
  <si>
    <r>
      <rPr>
        <sz val="12"/>
        <rFont val="Arial"/>
        <family val="2"/>
      </rPr>
      <t xml:space="preserve">PROGRAMADO </t>
    </r>
    <r>
      <rPr>
        <b/>
        <sz val="12"/>
        <rFont val="Arial"/>
        <family val="2"/>
      </rPr>
      <t>SEP.</t>
    </r>
  </si>
  <si>
    <r>
      <rPr>
        <sz val="12"/>
        <rFont val="Arial"/>
        <family val="2"/>
      </rPr>
      <t>PROGRAMADO</t>
    </r>
    <r>
      <rPr>
        <b/>
        <sz val="12"/>
        <rFont val="Arial"/>
        <family val="2"/>
      </rPr>
      <t xml:space="preserve"> OCT.</t>
    </r>
  </si>
  <si>
    <r>
      <rPr>
        <sz val="12"/>
        <rFont val="Arial"/>
        <family val="2"/>
      </rPr>
      <t xml:space="preserve">PROGRAMADO </t>
    </r>
    <r>
      <rPr>
        <b/>
        <sz val="12"/>
        <rFont val="Arial"/>
        <family val="2"/>
      </rPr>
      <t>NOV.</t>
    </r>
  </si>
  <si>
    <r>
      <rPr>
        <sz val="12"/>
        <rFont val="Arial"/>
        <family val="2"/>
      </rPr>
      <t xml:space="preserve">PROGRAMADO  </t>
    </r>
    <r>
      <rPr>
        <b/>
        <sz val="12"/>
        <rFont val="Arial"/>
        <family val="2"/>
      </rPr>
      <t>DIC.</t>
    </r>
  </si>
  <si>
    <t>Porcentaje</t>
  </si>
  <si>
    <t>Arboles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</si>
  <si>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</si>
  <si>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</si>
  <si>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</si>
  <si>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</si>
  <si>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</si>
  <si>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</si>
  <si>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</si>
  <si>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</si>
  <si>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</si>
  <si>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</si>
  <si>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12-OTROS DISTRITO</t>
  </si>
  <si>
    <t xml:space="preserve">263-RECURSOS PASIVOS PLUSVALIA </t>
  </si>
  <si>
    <t>27-FONDO CUENTA FINANCIACIÓN PGA</t>
  </si>
  <si>
    <t>41-PLUSVALIA</t>
  </si>
  <si>
    <t>508-PASIVOS EXIGIBLES CUPO</t>
  </si>
  <si>
    <t>AGOSTO</t>
  </si>
  <si>
    <t>SEPTIEMBRE</t>
  </si>
  <si>
    <t>OCTUBRE</t>
  </si>
  <si>
    <t>NOVIEMBRE</t>
  </si>
  <si>
    <t>DICIEMBRE</t>
  </si>
  <si>
    <t>I PRESUPUESTAL VIGENCIA 2021</t>
  </si>
  <si>
    <t>ENERO</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</si>
  <si>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</si>
  <si>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</si>
  <si>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</si>
  <si>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</si>
  <si>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</si>
  <si>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</si>
  <si>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</si>
  <si>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</si>
  <si>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FEBRERO</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</si>
  <si>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</si>
  <si>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</si>
  <si>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</si>
  <si>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</si>
  <si>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</si>
  <si>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</si>
  <si>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</si>
  <si>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</si>
  <si>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MARZO</t>
  </si>
  <si>
    <t>ABRIL</t>
  </si>
  <si>
    <t>1-601-F001-PAS-OTROS DISTRITO</t>
  </si>
  <si>
    <t>MAYO</t>
  </si>
  <si>
    <t>JUNIO</t>
  </si>
  <si>
    <t>1-601-F001- PAS-OTROS DISTRITO</t>
  </si>
  <si>
    <t>I PRESUPUESTAL VIGENCIA 2022</t>
  </si>
  <si>
    <t>1-200-I004-RB-1% INGRESOS CORRIENTES-LEY 99 DE 1993</t>
  </si>
  <si>
    <t>1-601-I030 PAS-OTROS RECURSOS GESTIÓN AMBIENTAL</t>
  </si>
  <si>
    <t>1-602-I030 PAS-RB-OTROS RECURSOS GESTIÓN AMBIENTAL</t>
  </si>
  <si>
    <t>1-100-F001  VA-RECURSOS DISTRITO</t>
  </si>
  <si>
    <t>1-100-F039  VA-CRÉDITO</t>
  </si>
  <si>
    <t>1-200-I004  RB-1% INGRESOS CORRIENTES-LEY 99</t>
  </si>
  <si>
    <t>1-601-I030  PAS-OTROS RECURSOS GESTIÓN AMBIENTAL</t>
  </si>
  <si>
    <t>1-602-I030  PAS-RB-OTROS RECURSOS GESTIÓN AMBIENTAL</t>
  </si>
  <si>
    <t>I PRESUPUESTAL VIGENCIA 2023</t>
  </si>
  <si>
    <t xml:space="preserve">OBJETIVO ESPECÍFICO </t>
  </si>
  <si>
    <t>PRODUCTO MGA</t>
  </si>
  <si>
    <t>INDICADOR DE PRODUCTO</t>
  </si>
  <si>
    <t>UNIDAD DE MEDIDA</t>
  </si>
  <si>
    <t>% PESO 2020</t>
  </si>
  <si>
    <t>META TOTAL PROYECTO 2000-2024</t>
  </si>
  <si>
    <t>META REZAGADA</t>
  </si>
  <si>
    <t>AVANCE REZAGADO</t>
  </si>
  <si>
    <t>%AVANCE RESERVA</t>
  </si>
  <si>
    <t>OBSERVACIÓN MENSUAL (200 Caracteres)</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</si>
  <si>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</si>
  <si>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</si>
  <si>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Documentos de lineamientos técnicos realizados</t>
  </si>
  <si>
    <t>Número - Número: Cantidad</t>
  </si>
  <si>
    <t>Identificación y priorización de senderos en conjunto con la Empresa de Acueducto y Alcantarillado de Bogotá, se adelanto la revisión de componentes de diseño del proyecto Serranía del Zuque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</si>
  <si>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</si>
  <si>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</si>
  <si>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Restaurar, rehabilitar o recuperar nuevas hectáreas y mantener y hacer seguimiento a las áreas ya restauradas.</t>
  </si>
  <si>
    <t>Servicio de restauración de ecosistemas</t>
  </si>
  <si>
    <t>Áreas en proceso de restauración</t>
  </si>
  <si>
    <t>Hectáreas - Hectarea: Superficie</t>
  </si>
  <si>
    <t>El acumulado al mes de octubre es de 1,54 ha implementadas en Humedal Vaca sector Norte (0,39 ha) y Sur (0,2 ha), Capellanía (0,14 ha) Parque Entrenubes (0,81 ha), respecto a las 5 ha de esta vigencia</t>
  </si>
  <si>
    <t xml:space="preserve">El acumulado total al mes de noviembre en áreas nuevas en restauración implementadas es de 2,54 ha y de 1729 individuos. </t>
  </si>
  <si>
    <t xml:space="preserve">El acumulado total al mes de diciembre en áreas nuevas en restauración implementadas es de 5,49ha y de 2.900 individuos. </t>
  </si>
  <si>
    <t xml:space="preserve"> Áreas en proceso restauración en mantenimiento </t>
  </si>
  <si>
    <t>Se continua con erradicación de retamo y replante en Chapinero vereda Verjones predio la Unión, estamos en conversaciones con propietario de otros predio en misma vereda.</t>
  </si>
  <si>
    <t xml:space="preserve">Se continua con las  actividades en la Localidad Chapinero vereda Verjones predio la Unión continuando con erradicación de retamo, replante y se empezaron trabajos en el Predio Utopia en misma vereda </t>
  </si>
  <si>
    <t>El avance del indicador a diciembre es de 5,24ha de las 54ha programadas para esta vigencia de los cuales en el periodo se continua con la  erradicación de rebrotes de retamo y plantación en ahoyado</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</si>
  <si>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</si>
  <si>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</si>
  <si>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</si>
  <si>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Se avanzó en la consolidación del documento de diagnóstico construido participativamente con todos los actores de la mesa del corredor Cerros - El Virrey.</t>
  </si>
  <si>
    <t>% PESO 2021</t>
  </si>
  <si>
    <t>Se reporta un acumulado de 1,48ha, lo cual se distribuye entre lo reportado en las áreas de humedal de mantenimiento, por contrato de Aguas de Bogotá y lo realizado en el predio Utopia</t>
  </si>
  <si>
    <t>Se reporta un acumulado de 2,86ha, lo cual se distribuye entre lo reportado en las áreas de humedal de mantenimiento, lo realizado en el predio Utopia y quebrada los Verjones</t>
  </si>
  <si>
    <t>Se reporta un acumulado de 8,71ha, lo cual se distribuye entre lo reportado en las áreas de humedal de mantenimiento, lo realizado en el predio Utopia, quebrada los Verjones y e n el sector de Aguas Claras, localidad San Cristobal</t>
  </si>
  <si>
    <t>Se reporta un acumulado de 10,01ha, lo cual se distribuye entre lo reportado en las áreas de humedal de mantenimiento, lo realizado en el predio Utopia, quebrada los Verjones y e n el sector de Aguas Claras, localidad San Cristobal</t>
  </si>
  <si>
    <t>Se reporta un acumulado de 29,73ha, lo cual se distribuye entre lo reportado en las áreas de humedal de mantenimiento, lo realizado en el predio Utopia, quebrada los Verjones y e n el sector de Aguas Claras, localidad San Cristobal</t>
  </si>
  <si>
    <t>Se reporta un acumulado de 40,72ha, lo cual se distribuye entre lo reportado en las áreas de humedal de mantenimiento, en lalocalidad San Cristobal, localidad de Suba y localidad de Usme</t>
  </si>
  <si>
    <t>Se reporta un acumulado de 55,02ha, lo cual se distribuye entre lo reportado en las áreas de humedal de mantenimiento, en lalocalidad San Cristobal, localidad de Suba y localidad de Usme</t>
  </si>
  <si>
    <t>Se reporta un acumulado de 57,14ha, lo cual se distribuye entre lo reportado en las áreas de humedal de mantenimiento, en lalocalidad San Cristobal, localidad de Suba y localidad de Usme</t>
  </si>
  <si>
    <t>Se avanzó en consolidar la propuesta de procedimiento para implementar y efectuar el seguimiento a corredores de conectividad ecológica en Bogotá D.C</t>
  </si>
  <si>
    <t>Durante este periodo se continúa con la consolidación de la propuesta de procedimiento para implementar y efectuar el seguimiento a corredores de conectividad ecológica en Bogotá D.C,</t>
  </si>
  <si>
    <t>Para cuatrienio se tiene un acumulado del 0.59 con un avance en la vigencia del 0,26 a la fecha, representado en acciones de diferentes mesas de trabajo para avanzar en la revisión y retroalimentación de los diferentes documentos</t>
  </si>
  <si>
    <t>Para cuatrienio se tiene un acumulado del 0,73 con un avance en la vigencia del 0,46 a la fecha, representado en acciones de diferentes mesas de trabajo para avanzar en la revisión y retroalimentación de los diferentes documentos</t>
  </si>
  <si>
    <t>Para cuatrienio se tiene un acumulado del 0,79 con un avance en la vigencia del 0,53 a la fecha, representado en acciones de diferentes mesas de trabajo para avanzar en la revisión y retroalimentación de los diferentes documentos</t>
  </si>
  <si>
    <t>Para cuatrienio se tiene un acumulado del 0,86 con un avance en la vigencia del 0,60 a la fecha, representado en acciones de diferentes mesas de trabajo para avanzar en la revisión y retroalimentación de los diferentes documentos</t>
  </si>
  <si>
    <t>Para cuatrienio se tiene un acumulado del 0,93 con un avance en la vigencia del 0,67 a la fecha, representado en acciones de diferentes mesas de trabajo para avanzar en la revisión y retroalimentación de los diferentes documentos</t>
  </si>
  <si>
    <t>II PRODUCTO (FÍSICO) VIGENCIA 2023</t>
  </si>
  <si>
    <t>% PESO 2023</t>
  </si>
  <si>
    <t>META VIGENCIA  2023</t>
  </si>
  <si>
    <t>AVANCE VIGENCIA 2023</t>
  </si>
  <si>
    <t>% AVANCE VIGENCIA 2023</t>
  </si>
  <si>
    <t>Para enero no se programaron acciones que aportaran al cumplimiento de la meta, debido a que nos encontramos en procesos de contratación de personal de apoyo requerido para el cumplimiento de la misma</t>
  </si>
  <si>
    <t>Se avanzó en un 0,18 acumulado lo anterior está representado en la ejecución de las diversas actividades, las cuales al  mes de Febrero aportan una magnitud de 9% al total de la meta de la vigencia</t>
  </si>
  <si>
    <t xml:space="preserve">En enero del 2023 no hubo acciones en campo ya que se priorizaron las actividades de planeación y contratación del recurso humano para las actividades de restauración. </t>
  </si>
  <si>
    <t xml:space="preserve">En febrero de 2023 no hubo acciones en campo ya que el CONSORCIO BARZZILAI  empresa que ganó la licitación para la restauración del 2022 – 2023 se encuentra en la etapa preoperativa y en contratación </t>
  </si>
  <si>
    <t>En el enero de 2023, se realizaron actividades relacionadas con el mantenimiento del material vegetal  ubicado en los tres viveros que administra la Secretaria Distrital de Ambiente</t>
  </si>
  <si>
    <t>En el febrero de 2023, se realizaron actividades relacionadas con el mantenimiento del material vegetal  ubicado en los tres viveros que administra la Secretaria Distrital de Ambiente</t>
  </si>
  <si>
    <t>En enero 2023 no se programaron acciones que aportaran al cumplimiento de la meta, ya que nos encontramos en procesos de contratación de personal de apoyo requerido para el cumplimiento de la misma</t>
  </si>
  <si>
    <t>Durante este periodo se continúa implementacio y el seguimiento a los corredores de conectividad ecológica en Bogotá D.C,</t>
  </si>
  <si>
    <t>II PRODUCTO (FÍSICO) VIGENCIA 2024</t>
  </si>
  <si>
    <t>% PESO 2022</t>
  </si>
  <si>
    <t>META VIGENCIA  2022</t>
  </si>
  <si>
    <t>AVANCE VIGENCIA 2022</t>
  </si>
  <si>
    <t>% AVANCE VIGENCIA 2022</t>
  </si>
  <si>
    <t>III ACTIVIDADES SUIFT (PRESUPUESTO) VIGENCIA 2020</t>
  </si>
  <si>
    <t>ACTIVIDAD (SUIFT) META (SEGPLAN)</t>
  </si>
  <si>
    <t>PRESUPUESTO VIGENCIA SUIFP 2020</t>
  </si>
  <si>
    <t>PRESUPUESTO
OBLIGADO (GIRADO) 2020</t>
  </si>
  <si>
    <t>Observación mensual (200 Caracteres)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</si>
  <si>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</si>
  <si>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</si>
  <si>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Operador Logistico Obligado</t>
  </si>
  <si>
    <t>Prestaciones de servicio y operador logístico obligados hasta Octubre</t>
  </si>
  <si>
    <t>Prestaciones de servicio obligadas hasta noviembre, operador logístico y adición al contrato de transporte.</t>
  </si>
  <si>
    <t>Prestaciones de servicio obligadas hasta Diciembre y adiciones, operador logístico, adición al contrato de transporte, convenio de restauración con IDIPRON, fortalecimiento de huertas comunitarias, estudios y diseños 200ha</t>
  </si>
  <si>
    <t>Inversión - Adquisición de Bienes y Servicios: Restaurar, rehabilitar o recuperar a 370 nuevas hectáreas degradadas en la estructura ecológica principal y áreas de interés ambiental, con 450.000 individuos.</t>
  </si>
  <si>
    <t>No hubo ejecución presupuestal</t>
  </si>
  <si>
    <t>Prestaciones de servicio obligadas hasta Octubre</t>
  </si>
  <si>
    <t>Prestaciones de servicio obligadas hasta Noviembre y adición al contrato de transporte.</t>
  </si>
  <si>
    <t>Prestaciones de servicio obligadas hasta diciembre y adiciones, adición al contrato de transporte y contrato de Estudios y Diseños de 200ha</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</si>
  <si>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</si>
  <si>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</si>
  <si>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Prestaciones de servicio obligadas hasta Noviembre, servicio de telefonía  y adición al contrato de transporte.</t>
  </si>
  <si>
    <t>Prestaciones de servicio obligadas hasta diciembre y adiciones, servicio de telefonía, adición al contrato de transporte, convenio de ocupaciones ilegales, adquisición de chaquetas, Elementos Informativos Interno y Externo,</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</si>
  <si>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</si>
  <si>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</si>
  <si>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Prestaciones de servicio obligadas hasta Noviembre  y adición al contrato de transporte.</t>
  </si>
  <si>
    <t>Prestaciones de servicio obligadas hasta diciembre y adición, contrato de diseño e implemtación de un diplomado virtual  y adición al contrato de transporte.</t>
  </si>
  <si>
    <t>III ACTIVIDADES SUIFT (PRESUPUESTO) VIGENCIA 2021</t>
  </si>
  <si>
    <t>PRESUPUESTO VIGENCIA SUIFP 2021</t>
  </si>
  <si>
    <t>PRESUPUESTO
OBLIGADO (GIRADO) 2021</t>
  </si>
  <si>
    <t xml:space="preserve">Sin Presupuesto obligado por encontrarnos en periodo de contrataciòn </t>
  </si>
  <si>
    <t>Representado en la adiciòn al contrato de transporte y contrataciòn de OPS</t>
  </si>
  <si>
    <t>Representado en el transporte y la adiciòn de mismo ademas de la contrataciòn de OPS</t>
  </si>
  <si>
    <t>Representado en el transporte, adiciòn de mismo y elementos de bioseguridad ademas de la contrataciòn de OPS</t>
  </si>
  <si>
    <t>Representado en el transporte, adiciòn de mismo, convenio de PSA, elementos de bioseguridad ademas de la contrataciòn de OPS</t>
  </si>
  <si>
    <t>Representado en el transporte, adiciòn de mismo, convenio de PSA, elementos de bioseguridad y el contrato de mantenimiento de areas ademas de la contrataciòn de OPS</t>
  </si>
  <si>
    <t>Representado en el transporte, adiciòn de mismo, convenio de PSA, elementos de bioseguridad, contrato de mantenimiento y el de restauración de areas, adición al convenios 1240 con la EAAB, pago del pasivo con IDIPRON y pago de sentencia ademas de la contrataciòn de OPS</t>
  </si>
  <si>
    <t>Representado en la contrataciòn de OPS</t>
  </si>
  <si>
    <t>Representado en la contrataciòn de OPS y el contrato de transporte</t>
  </si>
  <si>
    <t>Representado en la contrataciòn de OPS, el contrato de transporte y de elementos de bioseguridad</t>
  </si>
  <si>
    <t>Representado en la contrataciòn de OPS, el contrato de transporte, de elementos de bioseguridad y viveros</t>
  </si>
  <si>
    <t>Representado en la contrataciòn de OPS, el contrato de transporte, de elementos de bioseguridad, viveros y restauraciòn</t>
  </si>
  <si>
    <t>Representado en la adiciòn al contrato de transporte, el pago de telefonia movil y contrataciòn de OPS</t>
  </si>
  <si>
    <t>Representado contrato de transporte y la adiciòn, el pago de telefonia movi, pago de Pasivo con el JBB  y contrataciòn de OPS</t>
  </si>
  <si>
    <t>Representado contrato de transporte y la adiciòn, el pago de telefonia movi, pago de Pasivo con el JBB, elementos de bioseguridad y contrataciòn de OPS</t>
  </si>
  <si>
    <t>Representado contrato de transporte y la adiciòn, el pago de telefonia movil, pago de Pasivo con el JBB, elementos de bioseguridad, convenio con PNUD -mujeres reverdecen y contrataciòn de OPS</t>
  </si>
  <si>
    <t>Representado contrato de transporte y la adiciòn, el pago de telefonia movil, pago de Pasivo con el JBB, elementos de bioseguridad, convenio con PNUD -mujeres reverdecen, mantenimiento de areas y contrataciòn de OPS</t>
  </si>
  <si>
    <t>III ACTIVIDADES SUIFT (PRESUPUESTO) VIGENCIA 2022</t>
  </si>
  <si>
    <t>PRESUPUESTO VIGENCIA SUIFP 2022</t>
  </si>
  <si>
    <t>PRESUPUESTO
OBLIGADO (GIRADO) 2022</t>
  </si>
  <si>
    <t xml:space="preserve"> </t>
  </si>
  <si>
    <t>Representado en la contrataciòn de OPS y contrato de trasporte</t>
  </si>
  <si>
    <t>Representado en la contrataciòn de OPS, contrato de trasporte y Zuque</t>
  </si>
  <si>
    <t>Representado en la contrataciòn de OPS, contrato de trasporte, Zuque y su interventoria</t>
  </si>
  <si>
    <t>Representado en la contrataciòn de OPS y contrato de trasporte e interventoria de restauraciòn</t>
  </si>
  <si>
    <t>Representado en la contrataciòn de OPS, contrato de trasporte e interventoria de restauraciòn del 2021 y contrato de restauracion y su interventoria</t>
  </si>
  <si>
    <t>Representado en la contrataciòn de OPS, contrato de trasporte, pago de pasivo y adición al contrato de interventoria de mantenimiento</t>
  </si>
  <si>
    <t>Representado en la contrataciòn de OPS, contrato de trasporte, pago de pasivo, adición al contrato de interventoria de mantenimiento2021 y contrato de mantenimiento e interventoria</t>
  </si>
  <si>
    <t>Representado en la contrataciòn de OPS, contrato de trasporte y el contrato de señaletica</t>
  </si>
  <si>
    <t>III ACTIVIDADES SUIFT (PRESUPUESTO) VIGENCIA 2023</t>
  </si>
  <si>
    <t>PRESUPUESTO VIGENCIA SUIFP 2023</t>
  </si>
  <si>
    <t>PRESUPUESTO
OBLIGADO (GIRADO) 2023</t>
  </si>
  <si>
    <t>Representado en la contrataciòn de OPS, contrato de trasporte y el contato de Zuque</t>
  </si>
  <si>
    <t>Representado en la contrataciòn de OPS, contrato de trasporte y el contrato de Zuque</t>
  </si>
  <si>
    <t>Representado en la contrataciòn de OPS, contrato de trasporte y el contato de Restauraciòn</t>
  </si>
  <si>
    <t>Representado en la contrataciòn de OPS, contrato de trasporte y el contrato de mantenimiento</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</si>
  <si>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</si>
  <si>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</si>
  <si>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</si>
  <si>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</si>
  <si>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</si>
  <si>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</si>
  <si>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</si>
  <si>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</si>
  <si>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1000G725Porcentaje de acciones de fortalecimineto a los beneficairios directos , emprendidas-</t>
  </si>
  <si>
    <t>Porcentaje- Porcentaje: Cantidad</t>
  </si>
  <si>
    <t xml:space="preserve">0900G188- Areas sembradas con cobertura vegetal </t>
  </si>
  <si>
    <t>Hectáreas- Hectarea: Superficie</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</si>
  <si>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</si>
  <si>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</si>
  <si>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</si>
  <si>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la consolidación del documento de diagnóstico construido participativamente con todos los actores de la mesa del corredor del gran Chicó</t>
  </si>
  <si>
    <t>IV GESTIÓN  (FÍSICO) VIGENCIA 2021</t>
  </si>
  <si>
    <t>META VIGENCIA 2021</t>
  </si>
  <si>
    <t>AVANCE META VIGENCIA 2021</t>
  </si>
  <si>
    <t>% AVANCE META VIGENCIA 2021</t>
  </si>
  <si>
    <t>Se avanzó en un 46.28%, cabe señalar que esta meta inicia de una línea base establecida de 44%, lo anterior está representado en la ejecución de las diversas actividades, las cuales para el mes de enero aportan una magnitud de 0.36% al total de la meta.</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</si>
  <si>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</si>
  <si>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</si>
  <si>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</si>
  <si>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</si>
  <si>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Se avanzó en un 47,81%, cabe señalar que esta meta inicia de una línea base establecida de 44%, lo anterior está representado en la ejecución de las diversas actividades, las cuales para el mes de junio aportan una magnitud de 0.25% al total de la meta.</t>
  </si>
  <si>
    <t>Se avanzó en un 48,74%, cabe señalar que esta meta inicia de una línea base establecida de 44%, lo anterior está representado en la ejecución de las diversas actividades, las cuales para el mes de julio aportan una magnitud de 0.93% al total de la meta.</t>
  </si>
  <si>
    <t>Se avanzó en un 49,19%, cabe señalar que esta meta inicia de una línea base establecida de 44%, lo anterior está representado en la ejecución de las diversas actividades, las cuales para el mes de agosto aportan una magnitud de 0.45% al total de la meta.</t>
  </si>
  <si>
    <t>Se avanzó en un 49,95%, cabe señalar que esta meta inicia de una línea base establecida de 44%, lo anterior está representado en la ejecución de las diversas actividades, las cuales para el mes de septiembre aportan una magnitud de 0.76% al total de la meta.</t>
  </si>
  <si>
    <t>Se avanzó en un 50,86%, cabe señalar que esta meta inicia de una línea base establecida de 44%, lo anterior está representado en la ejecución de las diversas actividades, las cuales para el mes de octubre aportan una magnitud de 0.91% al total de la meta.</t>
  </si>
  <si>
    <t>Se avanzó en un 51,66%, cabe señalar que esta meta inicia de una línea base establecida de 44%, lo anterior está representado en la ejecución de las diversas actividades, las cuales para el mes de noviembre aportan una magnitud de 0.80% al total de la meta.</t>
  </si>
  <si>
    <t>Se avanzó en un 52,19%, cabe señalar que esta meta inicia de una línea base establecida de 44%, lo anterior está representado en la ejecución de las diversas actividades, las cuales para el mes de diciembre aportan una magnitud de 93,20% al total de la meta.</t>
  </si>
  <si>
    <t>Se registran 0,12ha nuevas, las cuales corresponden a 0,04ha en el Humedal Juan Amarillo como parte de la fase 2 del plan de restauración de la Chucua de los Curíes. Por otra parte, se realizan 0,08ha en PEDH Humedal la Conejera.</t>
  </si>
  <si>
    <t>Se registran 1,10ha nuevas, las cuales corresponden a acciones realizadas en  en la localidad de Usme, Suba, San Cristóbal, Usaquén, y PEDH Juan Amarillo y Conejera</t>
  </si>
  <si>
    <t>Se registran 1,73ha nuevas, las cuales corresponden a acciones realizadas en  en la localidad de Usme, Suba, San Cristóbal, Usaquén, y PEDH Juan Amarillo y Conejera</t>
  </si>
  <si>
    <t>Se registran 2,24ha nuevas, las cuales corresponden a acciones realizadas en  en la localidad de Usme, Suba, San Cristóbal, Usaquén, y PEDH Juan Amarillo y Conejera</t>
  </si>
  <si>
    <t>Se registran 6,29ha nuevas, las cuales corresponden a acciones realizadas en  en la localidad de Usme, Suba, San Cristóbal, Usaquén, y PEDH Juan Amarillo y Conejera</t>
  </si>
  <si>
    <t>Se registran 11,06ha nuevas, las cuales corresponden a acciones realizadas en  en la localidad de Usme, Suba, San Cristóbal, Usaquén, y PEDH Juan Amarillo y Conejera</t>
  </si>
  <si>
    <t>Se registran 14,19ha nuevas, las cuales corresponden a acciones realizadas en  en la localidad de Usme, Suba, San Cristóbal, Usaquén, y PEDH Juan Amarillo y Conejera</t>
  </si>
  <si>
    <t>Se reporta un acumulado de 35,48ha, lo cual se distribuye entre lo reportado en las áreas de humedal de mantenimiento, en lalocalidad San Cristobal, localidad de Suba y localidad de Usme</t>
  </si>
  <si>
    <t>Se reporta un acumulado de 60,56ha, lo cual se distribuye entre lo reportado en las áreas de humedal de mantenimiento, en la localidad San Cristobal, localidad de Suba y localidad de Usme</t>
  </si>
  <si>
    <t>El avance esta para este periodo esta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</si>
  <si>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</si>
  <si>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Para cuatrienio se tiene un cumplimiento en la vigencia del 100% representado en acciones de diferentes mesas de trabajo para avanzar en la revisión y retroalimentación de los diferentes documentos</t>
  </si>
  <si>
    <t>IV GESTIÓN  (FÍSICO) VIGENCIA 2022</t>
  </si>
  <si>
    <t>META VIGENCIA 2022</t>
  </si>
  <si>
    <t>AVANCE META VIGENCIA 2022</t>
  </si>
  <si>
    <t>% AVANCE META VIGENCIA 2022</t>
  </si>
  <si>
    <t>Se avanzó en un52,59%, cabe señalar que esta meta inicia de una línea base establecida de 44%, lo anterior está representado en la ejecución de las diversas actividades, las cuales para el mes de febrero aportan una magnitud de 0.40% al total de la meta.</t>
  </si>
  <si>
    <t>Se avanzó en un 53,18%, cabe señalar que esta meta inicia de una línea base establecida de 44%, lo anterior está representado en la ejecución de las diversas actividades, las cuales para el mes de marzo aportan una magnitud de 0,99% al total de la meta.</t>
  </si>
  <si>
    <t>Se avanzó en un 53,85%, cabe señalar que esta meta inicia de una línea base establecida de 44%, lo anterior está representado en la ejecución de las diversas actividades, las cuales para el mes de abril aportan una magnitud de 0,84% al total de la meta.</t>
  </si>
  <si>
    <t>Se avanzó en un 55,45%, cabe señalar que esta meta inicia de una línea base establecida de 44%, lo anterior está representado en la ejecución de las diversas actividades, las cuales para el mes de junio aportan una magnitud de 0,87% al total de la meta.</t>
  </si>
  <si>
    <t>Se avanzó en un 55,45%, cabe señalar que esta meta inicia de una línea base establecida de 44%, lo anterior está representado en la ejecución de las diversas actividades, las cuales para el mes de junio aportan una magnitud de 0,85% al total de la meta.</t>
  </si>
  <si>
    <t>Se avanzó en un 57,85%, cabe señalar que esta meta inicia de una línea base establecida de 44%, lo anterior está representado en la ejecución de las diversas actividades, las cuales para el mes de agosto aportan una magnitud de 0,90% al total de la meta.</t>
  </si>
  <si>
    <t>Se avanzó en un 59,06%, cabe señalar que esta meta inicia de una línea base establecida de 44%, lo anterior está representado en la ejecución de las diversas actividades, las cuales a septiembre aportan una magnitud de 0,92% al total de la meta.</t>
  </si>
  <si>
    <t>Se avanzó en un60,24%, cabe señalar que esta meta inicia de una línea base establecida de 44%, lo anterior está representado en la ejecución de las diversas actividades, las cuales a octubre aportan una magnitud de 0,94% al total de la meta.</t>
  </si>
  <si>
    <t>Se avanzó en un 61.33%, cabe señalar que esta meta inicia de una línea base establecida de 44%, lo anterior está representado en la ejecución de las diversas actividades, las cuales a octubre aportan una magnitud de 0,96% al total de la meta.</t>
  </si>
  <si>
    <t>Se avanzó en un 62,61%, cabe señalar que esta meta inicia de una línea base establecida de 44%, lo anterior está representado en la ejecución de las diversas actividades, las cuales a octubre aportan una magnitud de 0,98% al total de la meta.</t>
  </si>
  <si>
    <t xml:space="preserve">En enero del 2022 no hubo acciones en campo ya que se priorizaron las actividades de planeación y contratación del recurso humano para las actividades de restauración. </t>
  </si>
  <si>
    <t xml:space="preserve">Enfebrero del 2022 no hubo acciones en campo ya que se priorizaron las actividades de planeación y diseños de contratación para las actividades de restauración. </t>
  </si>
  <si>
    <t>Para la vigencia 2022 en el periodo comprendido de enero a marzo, el avance acumulado es 3,20ha</t>
  </si>
  <si>
    <t>Para la vigencia 2022 en el periodo comprendido de enero a abril, el avance acumulado es 3,30ha</t>
  </si>
  <si>
    <t>Para la vigencia 2022 en el periodo comprendido de enero a mayo, el avance acumulado es 4,27ha</t>
  </si>
  <si>
    <t>Para la vigencia 2022 en el periodo comprendido de enero a junio, el avance acumulado es 4,36ha</t>
  </si>
  <si>
    <t>Para la vigencia 2022 en el periodo comprendido de enero a julio, el avance acumulado es 16,89ha</t>
  </si>
  <si>
    <t>Para la vigencia 2022 en el periodo comprendido de enero a agosto, el avance acumulado es 17,02ha</t>
  </si>
  <si>
    <t>Para la vigencia 2022 en el periodo comprendido de enero aseptiembre, el avance acumulado es 24,46ha</t>
  </si>
  <si>
    <t>Para la vigencia 2022 en el periodo comprendido de enero a octubre, el avance acumulado es 27,18ha</t>
  </si>
  <si>
    <t>Para la vigencia 2022 en el periodo comprendido de enero a noviembre, el avance acumulado es 28,15ha</t>
  </si>
  <si>
    <t>Para la vigencia 2022 en el periodo comprendido de enero a diciembre, el avance acumulado es 30,66ha</t>
  </si>
  <si>
    <t>En el enero de 2022, se realizaron actividades relacionadas con el mantenimiento del material vegetal  ubicado en los tres viveros que administra la Secretaria Distrital de Ambiente</t>
  </si>
  <si>
    <t>En el febrero de 2022, se realizaron actividades relacionadas con el mantenimiento del material vegetal  ubicado en los tres viveros que administra la Secretaria Distrital de Ambiente</t>
  </si>
  <si>
    <t>En marzo se avanzó en 7.12ha correspondiente a las actividades de mantenimiento</t>
  </si>
  <si>
    <t>En abril se avanzó en 7.12ha correspondiente a las actividades de mantenimiento</t>
  </si>
  <si>
    <t>En mayo se avanzó en 17,55ha correspondiente a las actividades de mantenimiento</t>
  </si>
  <si>
    <t>En Junio se avanzó en 24,52ha correspondiente a las actividades de mantenimiento</t>
  </si>
  <si>
    <t>En Julio se avanzó en 27,66ha correspondiente a las actividades de mantenimiento</t>
  </si>
  <si>
    <t>En agosto se avanzó en 35,16ha correspondiente a las actividades de mantenimiento</t>
  </si>
  <si>
    <t>En Septiembre se avanzó en 35,16ha correspondiente a las actividades de mantenimiento</t>
  </si>
  <si>
    <t>En octubre se avanzó en 35,16ha correspondiente a las actividades de mantenimiento</t>
  </si>
  <si>
    <t>En noviembre se avanzó en 35,16ha correspondiente a las actividades de mantenimiento</t>
  </si>
  <si>
    <t>En diciembre se avanzó en 35,16ha correspondiente a las actividades de mantenimiento</t>
  </si>
  <si>
    <t>En enero 2022 no se programaron acciones que aportaran al cumplimiento de la meta, ya que nos encontramos en procesos de contratación de personal de apoyo requerido para el cumplimiento de la misma</t>
  </si>
  <si>
    <t>IV GESTIÓN  (FÍSICO) VIGENCIA 2023</t>
  </si>
  <si>
    <t>META VIGENCIA 2023</t>
  </si>
  <si>
    <t>AVANCE META VIGENCIA 2023</t>
  </si>
  <si>
    <t>% AVANCE META VIGENCIA 2023</t>
  </si>
  <si>
    <t>Se avanzó en un62,81%, cabe señalar que esta meta inicia de una línea base establecida de 44%, lo anterior está representado en la ejecución de las diversas actividades, las cuales para el mes de febrero aportan una magnitud de 0.20% al total de la meta.</t>
  </si>
  <si>
    <t>En enero de 2023, se realizaron actividades relacionadas con el mantenimiento del material vegetal  ubicado en los tres viveros que administra la Secretaria Distrital de Ambiente</t>
  </si>
  <si>
    <t>IV GESTIÓN  (FÍSICO) VIGENCIA 2024</t>
  </si>
  <si>
    <t>% PESO 2024</t>
  </si>
  <si>
    <t>META VIGENCIA 2024</t>
  </si>
  <si>
    <t>AVANCE META VIGENCIA 2024</t>
  </si>
  <si>
    <t>% AVANCE META VIGENCIA 2024</t>
  </si>
  <si>
    <t>Se avanzó en un 0,36 acumulado lo anterior está representado en la ejecución de las diversas actividades, las cuales al  mes de marzo aportan una magnitud de 18% al total de la meta de la vigencia</t>
  </si>
  <si>
    <t>En marzo de 2023, se realizaron actividades relacionadas con el mantenimiento del material vegetal  ubicado en los tres viveros que administra la Secretaria Distrital de Ambiente</t>
  </si>
  <si>
    <t>Durante este periodo se continúa implementacion y el seguimiento a los corredores de conectividad ecológica en Bogotá D.C,</t>
  </si>
  <si>
    <t>Se avanzó en un 63,21%, cabe señalar que esta meta inicia de una línea base establecida de 44%, lo anterior está representado en la ejecución de las diversas actividades, las cuales para el mes de marzo aportan una magnitud de 85,42% al total de la meta.</t>
  </si>
  <si>
    <t>En el marzo de 2023, se realizaron actividades relacionadas con el mantenimiento del material vegetal  ubicado en los tres viveros que administra la Secretaria Distrital de Ambiente</t>
  </si>
  <si>
    <t xml:space="preserve">01Usaquén
02 Chapinero
03 Santafe
04 San Cristobal
05 Usme </t>
  </si>
  <si>
    <t>En Marzo se realizaron acciones de restauración en la localidad de Kennedy 0,017ha  y en la localidad de Suba  0,017ha para un total de 0,034ha.</t>
  </si>
  <si>
    <t>En marzo se realizaron acciones de restauración en la localidad de Kennedy 0,017ha  y en la localidad de Suba  0,017ha para un total de 0,034ha.</t>
  </si>
  <si>
    <t>18.Rafael Uribe Uribe
4.San Cristóbal
5.Usme
11.Suba
1.Usaquén
19.Ciudad Bolívar
12.Barrios Unidos
7.Bosa
9.Fontibón
8.Kennedy
10.Engativá
6.Tunjuelito
2.Chapinero
3.Santafé</t>
  </si>
  <si>
    <t xml:space="preserve"> 05 Usme
19. Ciudad Bolivar 
</t>
  </si>
  <si>
    <t>01. Usaquén
11. Suba</t>
  </si>
  <si>
    <t>6. Tunjuelito
7. Bosa
8. Kennedy
19. Ciudad Bolivar</t>
  </si>
  <si>
    <t>Se avanzó en un 0,54 acumulado lo anterior está representado en la ejecución de las diversas actividades, las cuales al  mes de abril aportan una magnitud de 24% al total de la meta de la vigencia</t>
  </si>
  <si>
    <t>En abril se realizaron acciones de restauración en 4,51ha.</t>
  </si>
  <si>
    <t>Se avanzó en un 63,79%, cabe señalar que esta meta inicia de una línea base establecida de 44%, lo anterior está representado en la ejecución de las diversas actividades, las cuales para el mes de abril aportan una magnitud de 86,20% al total de la meta.</t>
  </si>
  <si>
    <t>En el abril de 2023, se realizaron actividades relacionadas con el mantenimiento del material vegetal  ubicado en los tres viveros que administra la Secretaria Distrital de Ambiente</t>
  </si>
  <si>
    <r>
      <t>Versión:</t>
    </r>
    <r>
      <rPr>
        <b/>
        <sz val="12"/>
        <color rgb="FFFF0000"/>
        <rFont val="Arial"/>
        <family val="2"/>
      </rPr>
      <t xml:space="preserve"> </t>
    </r>
    <r>
      <rPr>
        <b/>
        <sz val="12"/>
        <rFont val="Arial"/>
        <family val="2"/>
      </rPr>
      <t>14</t>
    </r>
  </si>
  <si>
    <t>Formato: Programación, Actualización y Seguimiento del Plan de Acción - Componente de Actividades</t>
  </si>
  <si>
    <t>2, PROGRAMACIÓN Y EJECUCIÓN</t>
  </si>
  <si>
    <t>6, % CUMPLIMIENTO ACUMULADO (al periodo) DEL CUATRIENIO</t>
  </si>
  <si>
    <t xml:space="preserve"> AÑO 2021</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</si>
  <si>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</si>
  <si>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</si>
  <si>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</si>
  <si>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</si>
  <si>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</si>
  <si>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</si>
  <si>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</si>
  <si>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</si>
  <si>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</si>
  <si>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</si>
  <si>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</si>
  <si>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</si>
  <si>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</si>
  <si>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</si>
  <si>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</si>
  <si>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</si>
  <si>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</si>
  <si>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</si>
  <si>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</si>
  <si>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</si>
  <si>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</si>
  <si>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</si>
  <si>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</si>
  <si>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</si>
  <si>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</si>
  <si>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PROGRAMADO ACUMULADO AL PERIODO AÑO 2021</t>
  </si>
  <si>
    <t>EJECUTADO ACUMUALDO AL PERIODO AÑO 2021</t>
  </si>
  <si>
    <t>PROGRAMADO ACUMULADO SEGPLAN AÑO 2021</t>
  </si>
  <si>
    <t>EJECUTADO ACUMUALDO  SEGPLAN AÑO 2021</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</si>
  <si>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</si>
  <si>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</si>
  <si>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</si>
  <si>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</si>
  <si>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</si>
  <si>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</si>
  <si>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</si>
  <si>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</si>
  <si>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</si>
  <si>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</si>
  <si>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</si>
  <si>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</si>
  <si>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</si>
  <si>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</si>
  <si>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</si>
  <si>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</si>
  <si>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</si>
  <si>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</si>
  <si>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</si>
  <si>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</si>
  <si>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</si>
  <si>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</si>
  <si>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</si>
  <si>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</si>
  <si>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</si>
  <si>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EJECUTADO ACUMULADO  SEGPLAN
 AÑO 2021</t>
  </si>
  <si>
    <t>Formato: Programación, Actualización y Seguimiento del Plan de Acción - Componente de  Territorialización</t>
  </si>
  <si>
    <t>• Se ha solicitado en los comité de seguimiento del convenio darle prioridad a los predios en gestion en el AOPP asi como presentar informe de seguimiento de los mismos.</t>
  </si>
  <si>
    <t xml:space="preserve">Se entregaran dos polígonos nuevos (La Regadera localidad de Usme y Siberia localidad de Chapinero) para reemplazar los que no se pudieron entregar debido a las ocupaciones ilegales. </t>
  </si>
  <si>
    <t>En el marco del contrato 20222007 con Barzzilai, se han presentado dificultades en la vinculación de personal operativo. Al entregar algunos predios se encontraron 2 situaciones de ocupación ilegal, lo que ha hecho que se presenten tensiones sociales que imposibilitaron la entrega e intervención de estas áreas.</t>
  </si>
  <si>
    <t xml:space="preserve">4-PEDH el Burro;       6-PEDH  Capellania, Localidad de Fontibón.
PEDH Juan Amarillo 
PEDM Parque Distrital Ecológico de Montaña Entrenubes, 
PEDH el Tunjo 
Arborizadora Alta
Rio Tunjuelo
PEDH Tibanica
PEDH Techo
PEDH Torca y Guaymaral
</t>
  </si>
  <si>
    <t xml:space="preserve"> 50. La Gloria, 51. Los Libertadores,  96 Lourdes, 32 San Blas, 52 La Flora, 56 Danubio,  70 Jerusalen, 85 Bosa Central, 71 Tibabuyes, 28 El Rincon, </t>
  </si>
  <si>
    <t>Se avanzó en un 0,73 acumulado lo anterior está representado en la ejecución de las diversas actividades, las cuales al  mes de mayo aportan una magnitud de 36,50% al total de la meta de la vigencia</t>
  </si>
  <si>
    <t>En mayo se realizaron acciones de restauración en 4,57ha</t>
  </si>
  <si>
    <t>En abril de 2023, se realizaron actividades relacionadas con el mantenimiento del material vegetal  ubicado en los tres viveros que administra la Secretaria Distrital de Ambiente</t>
  </si>
  <si>
    <t>En mayo de 2023, se realizaron actividades relacionadas con mantenimiento en 22,36ha.</t>
  </si>
  <si>
    <t>Se avanzó en un 64,79%, cabe señalar que esta meta inicia de una línea base establecida de 44%, lo anterior está representado en la ejecución de las diversas actividades, las cuales para el mes de mayo aportan una magnitud de 87,55% al total de la meta.</t>
  </si>
  <si>
    <t>En mayo se realizaron acciones de restauración en 4,57ha.</t>
  </si>
  <si>
    <t>PMR</t>
  </si>
  <si>
    <t>Se reportan 2.0625ha de mantenimiento, las cuales se distribuyen así: por medio del programa “Mujeres Sembradoras” 1.5500ha; por medio del contrato SDA-20221646 con Aguas de Bogotá 0.5125ha.</t>
  </si>
  <si>
    <t>En cuanto a las reservas de la meta, se reportan 2,5225ha de mantenimiento, por medio del programa “Mujeres Sembradoras” 1.5500ha; por medio del contrato SDA-20221646 con Aguas de Bogotá 0.5125ha; por medio de intervenciones directas 0,46ha</t>
  </si>
  <si>
    <r>
      <t xml:space="preserve">En reservas se reportan 13,8193ha de mantenimiento, así por el programa “Mujeres Sembradoras” 3,55ha; por contrato SDA-20221646 con Aguas de Bogotá 2,1893ha; Por convenio 20221918 entre la SDA-IDIPRON-FDLSC 7,62ha; </t>
    </r>
    <r>
      <rPr>
        <sz val="12"/>
        <color rgb="FF1F1F1F"/>
        <rFont val="Arial"/>
        <family val="2"/>
      </rPr>
      <t>por intervenciones directas 0,46ha</t>
    </r>
  </si>
  <si>
    <t>En reservas se reportan 14,2093ha de mantenimiento, así por el programa “Mujeres Sembradoras” 3,94ha; por contrato SDA-20221646 con Aguas de Bogotá 2,1893ha; Por convenio 20221918 entre la SDA-IDIPRON-FDLSC 7,62ha; por intervenciones directas 0,46ha</t>
  </si>
  <si>
    <t>Se avanzó en un 0,83 acumulado lo anterior está representado en la ejecución de las diversas actividades, las cuales al  mes de junio aportan una magnitud de 41,50% al total de la meta de la vigencia</t>
  </si>
  <si>
    <t>En junio se realizaron acciones de restauración en 5,17ha</t>
  </si>
  <si>
    <t>Se avanzó en un 65,79%, cabe señalar que esta meta inicia de una línea base establecida de 44%, lo anterior está representado en la ejecución de las diversas actividades, las cuales para el mes de junio aportan una magnitud de 88,91% al total de la meta.</t>
  </si>
  <si>
    <t>En junio se realizaron acciones de restauración en 5,17ha.</t>
  </si>
  <si>
    <t>En junio de 2023, se realizaron actividades relacionadas con mantenimiento en 173,64ha.</t>
  </si>
  <si>
    <t>Se avanzó en un 1,09% acumulado lo anterior está representado en la ejecución de las diversas actividades, las cuales al  mes de julio aportan una magnitud de 54,50% al total de la meta de la vigencia</t>
  </si>
  <si>
    <t>En julio se realizaron acciones de restauración en 5,30ha</t>
  </si>
  <si>
    <t>En julio de 2023, se realizaron actividades relacionadas con mantenimiento en 474,92ha.</t>
  </si>
  <si>
    <t>En julio se realizaron acciones de restauración en 5,30ha.</t>
  </si>
  <si>
    <t xml:space="preserve">Ubicación de la inversión: Rafael Uribe Uribe,4. San Cristóbal,5. Usme,11.Suba,1Usaqué,19. Ciudad Bolívar,18. Rafael Uribe Uribe,12.Barrios  Unidos,7.Bosa,9.Fontibón,8.Kennedy,10.Engativá,6.Tunjuelito,2Chapinero,3 Santafé.
“Ubicación”: Areas degradadas de la EEP y otras areas de interes ambiental priorizadas para desarrollar acciones de restauracion, rehabilitacion o recuperación en las localidades 1, 2, 3, 4, 5, 6, 7, 8, 9, 10, 11, 18 y 19 ; Descripción: Identificacion y priorizacion de areas de la Estructura Ecologica Principal para implementar acciones de restauracion, rehabilitacion o recuperacion.  </t>
  </si>
  <si>
    <t>META PLAN DE DESARROLLO</t>
  </si>
  <si>
    <t>PRESUPUESTO CUATRIENIO</t>
  </si>
  <si>
    <t>EJECUCION VIGENCIA 2021</t>
  </si>
  <si>
    <t xml:space="preserve">La meta parte de una línea base establecida del 44%, en el 2020 se realizó un avance del 1,09%, en el 2021 del 6,27%, en el 2022 de 10,42% y en el 2023 de 4,18% lo que permite que actualmente el avance acumulado sea de 67,71% Las actividades desarrolladas durante estos periodos son:
Predios. Gestión convenio 1240 de 2017: Se realizó comité de seguimiento a los predios localizados en el Área de Ocupación Público Prioritaria, AOPP. 84 predios en gestión en AOPP. RT10: Continua proceso de expropiación, en impulso procesal por parte de la DLA. RT17: Pendiente reiniciar el proceso de adquisición por enajenación voluntaria con el convenio 1240 de 2017.
Restauración: De enero a agosto se realizaron las visitas y se entregaron siete polígonos al Consorcio Barzzilai para la restauración que incluye 11,2ha nuevas en franja de adecuación, se continúa en la implementación de los polígonos con labores de limpieza, trazado y ahoyado. Se realizó una plantación directa de 150 árboles en 1,2ha en predio Min Defensa.
Senderos: Se realizó la operación del camino Guadalupe Aguanoso durante  29 fines de semana. Se  han realizado  seis comités técnicos del Convenio SDA-20211323. Se dio apertura del sendero La serranía el 13 de mayo. Se realizó la Carrera de Observación en los Caminos de los Cerros.
Cantera: En actividades de obra se ejecutó el izado de columnas metálica y muros en mampostería estructural en módulos   Se adelantan los comités de obra semanales. En agosto la CAR impuso medida preventiva que suspendió las obras.
Iniciativas: En el 2020 se firmó el acta de entendimiento para implementar la iniciativa caminos de Hijuefuchas, se están realizando gestiones para finalización de esta  iniciativa. En el  2023 comenzó la implementación de la iniciativa "A aprender las Moyas" encaminada a realizar procesos de formación;  se firma un acta de compromisos entre las partes,  se realizó recorrido de apropiación con los líderes al sendero Guadalupe  Aguanoso, se desarrolla un proceso de educación ambiental al grupo de gestión ambiental del colegio Monteverde.
Hitos de amojonamiento: Se avanza proceso de elaboración de señales informativas en la franja y su Área de Ocupación Público Prioritaria-AAOP.
Pago por Servicios Ambientales: En el 2022  se vinculó el predio San Rafael Tibque - localidad de Usme sector Juan Rey con 5,2ha en conservación y protección de áreas de nacimientos quebrada Bolonia y Santa Librada. En lo corrido de  2023  se   realizaron gestiones para la posible vinculación de dos predios de propiedad del instituto Roosevelt, y un predio Santa Matilde en la localidad de San Cristóbal al programa de PSAH. Se  firmó acuerdo de conservación con el seminario Calasanz, en el que se vinculan 5.11ha localizadas en la franja de adecuación. Se realizó mesa de trabajo representante del seminario Calasanz, encaminada a establecer estrategias de trabajo y el plan de acción.
</t>
  </si>
  <si>
    <t>*Se evidencian retrasos por parte de la gestion adelantada por parte de la EAAB para adquirir los predios priorizados localizados en AOPP, donde el criterio de localizacion en esta area no es factor determinante para adelantar la misma de manera preferencial.
*Se presentan retrasos en la adquisición de los predios RT10 por demora en el fallo del juzgado y el RT17 requiere iniciar nuevamente el proceso por enajenacion voluntaria.
*Se evidencian retrasos en el contrato SDA-20222007 con el CONSORCIO BARZZILAI con objeto “Contratar la restauración ecológica en áreas de importancia ambiental y de la estructura ecológica principal del Distrito Capital” aplazando la entrega de áreas ya finalizadas como son los polígonos FA_12 y FA_13.</t>
  </si>
  <si>
    <t xml:space="preserve">Durante el cuatrienio, se ha realizado un avance de 92,4146 Hectáreas así:
- Vigencia 2020: Fontibón 0,40ha; Kennedy 0,59ha; San Cristóbal y Usme Parque Ecológico Distrital de Montaña Entre Nubes (PEDMEN) 4,114ha; Tunjuelito y Ciudad Bolívar (PEDH El Tunjo) 0,1ha; Engativá 0,26ha; Usme 0,03ha; para un total de 5,49ha. 
- Vigencia 2021: Suba 4,621ha; Barrios Unidos 0,0318ha; Usme 8,209ha; Kennedy 0,0001ha; Tunjuelito 0,28ha; San Cristóbal 0,24ha; Engativá 0,07ha; Usaquén 0,68ha y Chapinero 0,058ha; para un total de 14,19 ha. 
- Vigencia 2022: Usme 7,023ha, Suba 6,783ha, Fontibón 5,56ha, San Cristóbal 0,317ha, Santa Fe 3,54ha, Kennedy  0,026ha, Chapinero 0,026ha, Usaquén 0,29ha, Engativá 1,008ha, Candelaria 0,521ha, Ciudad Bolívar 0,14ha, Barrios Unidos 0,025ha y Tunjuelito 5,4ha; para un total de 30.66ha
Reserva : Engativá 7,34ha, Usme 11,49ha, Suba 6,44ha, Kennedy 4,19ha, Bosa 1,60ha, Fontibón 0,69ha y Ciudad Bolívar 4,06ha; para un total de 35,81ha.
- Vigencia 2023: Kennedy 0,0472ha, Usme 2,7527ha, Chapinero 1,2947ha, Santa Fe 0,4337ha, Barrios Unidos 0,0284ha, Fontibón 0,2189 ha y Suba 1,489 ha para un total acumulado de 6,2646 ha.
</t>
  </si>
  <si>
    <t xml:space="preserve">Durante el periodo de enero a agosto se reporta un total de acciones de mantenimiento en 477,7449 ha distribuidas así: 
Para la meta del año 20)23, por medio del contrato SDA- 20231524 con Aguas Bogotá con corte al periodo 4, se realizaron en las localidades de Usme 2,2042ha, San Cristóbal 2,9883ha, Usaquén 1,6906ha, Suba 2,7039ha, Bosa 0,9617ha, Engativá  3,1509ha, Barrios Unidos 0,4802ha, Kennedy 1,0489ha, Fontibón 0,7837ha y Tunjuelito 3,4921ha para un total de 19,5045ha. Las actividades enmarcadas en este contrato, que se realizaron en los PDEM, RDH y AIA, son: control de retamo liso y espinoso (4,0210ha) que corresponden a 310 m3  de volumen controlado), acciones de restauración ecológica mediante el recambio de pasto kikuyo por especies nativas herbáceas (0,4093ha) manejo adaptativo a los procesos de restauración ecológica, control de especies exóticas forestales y control de especies parásitas y enredaderas.
En cuanto a las reservas de la meta, se reportan 458,2404ha de mantenimiento, las cuales se distribuyen así: por medio del programa “Mujeres Sembradoras” en las localidades de Usme 3,5500ha y San Cristóbal 0,3900ha, para un total de 3,9400ha; por medio del contrato SDA-20221646 con Aguas de Bogotá en las localidades de Usme 0,1622ha, San Cristóbal 0,5457ha, Usaquén 0,1655ha, Suba 0,1013 ha, Engativá 0,1931ha, Barrios Unidos 0,0208ha, Fontibón 0,4225ha, Kennedy 0,2325ha, Bosa 0,1479 ha y Tunjuelito 0,1978 ha, para un total de 2,1893ha; Por medio del convenio 20221918 entre la SDA-IDIPRON- FDLSC en la localidad de San Cristóbal 14,895 ha (4,725ha de control de retamo); por medio de la ejecución directa 0,46ha en la localidad de Suba; por medio del contrato SDA-20221989 Consorcio BARUC en las localidades de Ciudad Bolívar 52,9263ha, San Cristóbal 78,0848ha, Santa Fe 180,9256ha y Usme 124,8194ha, para un total de 436,7561ha. 
Por medio del contrato SDA-20221989, en el primer ciclo, la interventoría ha aprobado y validado las siguientes actividades: 173374 plateos, 179183 fertilizaciones, 140642 fertirriegos, 108692 puntos georreferenciados, 14,3026ha de control de retamo y 12,6277ha de control de chusque. Lo anterior se ha realizado en 68 polígonos. 
Además se realizaron actividades relacionadas con el mantenimiento del material vegetal  ubicado en los cuatro viveros que administra la Secretaria Distrital de Ambiente (Soratama, Hoya del Ramo, CERESA y La Esperanza) en los cuales se realizaron tareas de riego, fertilización, llenado de bolsa  y mantenimiento de infraestructura de los mismos, los inventarios se mantienen con las siguientes cifras en viveros:  individuos vegetales disponibles 141269 y 53914 individuos en desarrollo para un total de 195183 individuos vegetales.
</t>
  </si>
  <si>
    <t xml:space="preserve">*Shape RDH Jaboque
*Ficha de restauración PDEM Entrenubes, predio 219, Rafael Uribe Uribe
*Ficha de restauración PDEM, predio 506, CAT, Juan Rey, Usme
*Ficha de restauración PDEM RT 14, La Fiscala Alta, Usme
*Anexo cartográfico de RDH La Conejera y RDH El Burro
*Anexo cartográfico de áreas adicionales de SIMA: Chapinero (predio Anandis Zamora), Santa Fe (RRT01_5), Usme (Entrenubes: RT100 y PE04 RT101)
* Las fichas de restauración de dos intervenciones directas en Piedra Grande y en RT 21 de PDEMEN
*Anexo cartográfico Plantaciones directas en RDH La Vaca sur y Salitre
*Ficha de restauración de el RT62 del PDEM Entrenubes
* Anexo cartográfico polígonosColegio Alfonso Jaramilo, CAS, Colegio Nuevo Campestre, Sunchine Bouquet, Utopía, Flores de los Andes, RDH Capellanía y PDEM Mirador de los Nevados
* Fichas de restauración de las plantaciones en PDEM Entrenubes RT21, RDH Techo, RDH Capellanía y flores de los andes.
* Cartografía de las acciones de implementación en el marco del contrato 20231524 con Aguas Bogotá.
*Fichas de restauración ecológica:
-Flores de los Andes
-Colegio Lausana
-Colegio Nueva York
-Altos de La Estancia
-RDH La Conejera
* Link de Informe periodo 4 contrato 20231524
-Plantaciones RDH El Tunjo
-Plantaciones RDH Córdoba
-Plantaciones RDH Niza
* Anexo cartográfico de áreas nuevas </t>
  </si>
  <si>
    <t xml:space="preserve">Se tiene un avance acumulado de 2,63 proyectos del cual 0.26 corresponden a la vigencia 2020, 0.74 a la vigencia 2021, 1.0 a la vigencia de 2022 y 0,63 para la vigencia 2023 mediante el desarrollo de las siguientes actividades: Elaboración documentos técnicos: Análisis de elementos espaciales de 6 conectores y 3 nodos. Caracterización de biodiversidad de 5 conectores y 3 nodos. Modelo de conectividad de 4 conectores. Coberturas de la tierra de 1 nodo, 4 conectores. Análisis del arbolado de 6 nodo. Documentos sociales de 6 conectores y 4 nodos. Documento socioambiental 3 conectores.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mediante solicitud a grupos de Restauración y Humedales SER de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20 reuniones de seguimiento con el contratista, 33 socializaciones señalética. Acciones para consolidación Bosque urbanos Santa Helena, Brazo Salitre, San Carlos, Esmeralda, ParkWay. En el marco de las acciones para la promoción de la gobernanza, se realizaron en los 6 conectores ecosistémicos un total de 165 espacios de dialogo, de los cuales 44 han sido de carácter insterinstucional y en el marco de la coordinación de acciones en los territorios como jornadas de limpieza, mantenimiento y plantaciones con la ciudadania. Y el restante en los que han participado actores institucionales, académicos, comunitarios y organizaciones sociales. En la totalidad de los espacios han asistido un total de 2.786 personas, de las cuales 1.264 son de sexo masculino y 1522 de sexo femenino.
</t>
  </si>
  <si>
    <t>META</t>
  </si>
  <si>
    <t>INDICADOR</t>
  </si>
  <si>
    <t>EJECUTADO
2020</t>
  </si>
  <si>
    <t>EJECUTADO
2021</t>
  </si>
  <si>
    <t>EJECUTADO
2022</t>
  </si>
  <si>
    <t>EJECUTADO
 AGOSTO 
2023</t>
  </si>
  <si>
    <t>PROYECTADO 
2024</t>
  </si>
  <si>
    <t>PROYECTADO 
DICIEMBRE
2023</t>
  </si>
  <si>
    <r>
      <t>7, LOGROS CORTE SEPTIEMBRE</t>
    </r>
    <r>
      <rPr>
        <b/>
        <sz val="9"/>
        <color rgb="FFFF0000"/>
        <rFont val="Arial"/>
        <family val="2"/>
      </rPr>
      <t xml:space="preserve"> </t>
    </r>
    <r>
      <rPr>
        <b/>
        <sz val="9"/>
        <rFont val="Arial"/>
        <family val="2"/>
      </rPr>
      <t xml:space="preserve">AÑO </t>
    </r>
    <r>
      <rPr>
        <b/>
        <u/>
        <sz val="9"/>
        <rFont val="Arial"/>
        <family val="2"/>
      </rPr>
      <t>2023</t>
    </r>
  </si>
  <si>
    <t xml:space="preserve">Entre el período de enero a septiembre del 2023 se realizaron documentos sociales de los Nodos Tunjo V4, Conectores Ecosistémicos Subcuenca Río Fucha V3, Bosque Oriental Río Bogotá  Localidad Suba V1 y los conectores Suba Conejera V1, Cerros Virrey Neuque V4. Técnicos: Ajuste de polígonos conectores ecosistémicos, coberturas de la tierra del Subcuenca Río Fucha V2, Cerros Virrey Neuque, Suba Conejera, Media Luna del Sur. Análisis del arbolado del Suncuenca Río Fucha V1, factores tensionantes del nodo Tunjo_Tingua Azúl del Media Luna del Sur V1, Análisis de elementos espaciales Conector Ecosistémicos Chingaza Sumapaz V2, Bosque Oriental Río Bogotá V3, Subcuenca Río Fucha V2, Cerros Virrey Neuque V1.2, Suba Conejera V2.2, Media Luna del Sur V4. Modelo de conectividad Conector Ecosistémico Bosque Oriental Río Bogotá V4, Cerros Virrey Neuque V1, Suba Conejera V1, Subcuenca río Fucha V1, Media Luna del Sur V1. Caracterización de biodiversidad Conector Ecositémico Bosque Oriental Río Bogotá V3, Subcuenca Río Fucha V1, Cerros Virrey Neuque V1, Suba Conejera V2. Verificación códigos SIGAU del Conector ecosistémico Bosque Oriental Río Bogotá, Subcuenca Río Fucha, Media Luna del Sur, Suba Conejera. Documento socioambiental Conector ecosistémico Media Luna del Sur V3- nodo Tunjo tingua Azul V4 - nodo PEDMEN V1 - Nodo Villa Suaita, Subcuenca Río Fucha V3, Bosque Oriental Río Bogotá V4 y nodo Bilbao V1, Nodo San Luis V1 - Nodo Chico Virrey V1 del conector ecosistémico Cerros Virrey Neque. Documento de ciencia participativa entre SDA y JBB. Lista de especies de los 6 bosques urbanos priorizados: Santa Helena, San Carlos, Brazo Salitre V2, ParkWay, La Esmeralda. Documento técnico para Bosque urbano: Arborizadora Alta V3, ParkWay V2, Brazo Salitre V2, San Carlos V2, Esmeralda V3, Santa Helena, Bosques de Granada V1. </t>
  </si>
  <si>
    <t xml:space="preserve">Entre el período de enero a septiembre del 2023 se realizaron 16 reuniones con la comunidad para socializar el proyecto de señalética. Se realizaron 22 reuniones de seguimiento con Strategy contratista quien está ejecutando el contrato SDA-20222042 de señalética. Se consolido y se hizo seguimiento textos, mapas e imágenes para el diseño de 146 vallas dentro del contrato SDA-20222042. 14 visitas a los puntos donde se ubicaran las vallas. Verificación instalación de 23 vallas en Camino de la Vida, Alto Fucha, Tunjo, Tingua Azul, Altos de la Estancia, PEDMEN, Arzobispo, Santa Helena. Conector Cerros - Virrey - Neuque Nodo Chico Virrey: Alimentarte 1 recorrido con comunidad, 1 recorrido con Fundación Corazón Verde. Conector Media Luna del Sur nodo Altos de la Estancia: rendición de cuentas 1 reunión. Conector suba - Conejera 1 reunión mesa territorial RDH La conejera. Propuesta marco como estrategia para conectores ecosistémicos. Conector subcuenca río Fucha: 2 intervenciones  en Cerro el Zuque articular acciones. Planes interintitucionales: Matriz Conector Ecosistémico Bosques orientales - río Bogotá V8, Media Luna del Sur V4, Cerros - Virrey - Neuque V4, Subcuenca río Fucha V5, Sumapaz - Chinagaza V2, Suba - conejera V4, nodo Tunjo - Tingua Azul V4, nodo Chico _Virrey V5, estas ultimas actualizaciones mediante mesas de trabajo en la SDA con 14 alcladías locales y 5 entidades. Realización y actualización de 6 Matrices institucionales Acercamientos con las 20 alcaldías locales y con otras entidades: 2 SDSCJ, 2 CAR, 2 EAAB, 2 IDRD, UAESP, 2 SDH, 2 SDP, JBB. 1 reunión alcaldía mayor seguimiento interinstitucional nodo tunjo - Tingua Azul. Propuestas de trabajo socioambiental para cada uno de los conectores ecosistémicos: Subcuenca río Fucha V2, nodo tunjo - Tingua Azul, Cerros Virrey Neuque V1, Suba Conejera V1, Chingaza - Sumapaz V1 y Bosque Oriental Río Bogotá V5, nodo Bosa. </t>
  </si>
  <si>
    <t xml:space="preserve">Entre el período de enero a Septiembre del 2023 se realizó: Conectores Bosque oriental Rio Bogotá y Suba La Conejera actividades para el fortalecimiento de lazos con la comunidad y promoción de la gobernanza mediante la asistencia a espacios de participación el 08/02, aplicación de instrumentos de recolección de información el 09/02 y articulación con el grupo de Humedales de la SDA para la celebración del día de los humedales el 02/02 esta acción también se realizaron para el Conector Cerros Virrey Neuque, en el que además se acompañó a la comunidad en el recorrido del 18/02 sobre el sector de Rafael Núñez. Acciones para la consolidación del bosque urbano Santa Helena, Brazo Salitre, San Carlos: 6 reuniones con comunidad, 2 recorridos con comunidad, 1 reunión con expertos internacionales. Celebración fechas especiales: dia del agua RDH La Vaca, I.E en el Conector Sumapaz - Chinagaza. Diseñó metodología  para el abordaje social de la estrategia bosques urbanos.En el marco de las acciones para la promoción de la gobernanza, se reallizaron en los 6 conectores ecosistémicos un total de 191 espacios de dialogo, de los cuales 53 han sido de carácter insterinstucional y en el marco de la coordinación de acciones en los territorios como jornadas de limpieza, mantenimiento y plantaciones con la ciudadania. Y el restante en los que han participado actores institucionales, académicos, comunitarios y organizaciones sociales. En la totalidad de los espacios han asistido un total de 3.365 personas, de las cuales 1.532 son de sexo masculino y 1.833 de sexo femenino.
</t>
  </si>
  <si>
    <t xml:space="preserve">Para el periodo comprendido de enero a septiembre 2023, la identificación, priorización y elaboración de los diagnósticos de las respectivas zonas de intervención se realizaron de manera directa e indirecta en el marco de los contratos 20221524 y 20231624 con Aguas Bogotá y el contrato 20222007 con Consorcio BARZZILAI, en las siguientes áreas: en las Reservas Distritales de Humedales La Conejera, El Burro, El Tunjo,  Jaboque, La Vaca sur, Techo, Capellanía, Córdoba Niza, Tingua Azul y Salitre. En los Parques Distritales Ecologicos de Montaña Mirador de los Nevados, Serranía Zuque, Soratama y Entrenubes en los sectores de La Fiscala, CAT y Nueva Esperanza. En la franja de adecuación FA_12, FA_13, FA_21, FA_15, FA_19 y FA_ MinDefensa, en La Serranía, Altos de La estancia y en la Reserva Forestal Tomás Van der Hammen.  Así mismo, en el marco de los acuerdos de conservación en la zona rural de Usme en la vereda Curubital, Colegio Alfonso Jaramillo, CAS, Colegio Nuevo Campestre, Sunchine Bouquet, Utopía, Colegio Lausana, Hacienda Las Mercedes y Flores de Los Andes.
Las áreas entregadas del componente 1 fueron: RDH Jaboque (18,10ha), localidad de Engativá; Predio La Serranía (11,936ha), localidad de Usaquén; El Delirio (19,99ha), localidad de San Cristóbal; Ruralidad Arrayanes 1 (2,012ha), localidad de Usme; RFTVDH sector sur (2,64ha), localidad de Suba; Franja de Adecuación: FA21 (4,47ha), FA20_2 (1,96ha), FA19 (0,663ha), localidad de Usaquén; FA12 (2,503ha), localidad de Santa Fe; FA13_2 (0,611ha), FA15 (0,983ha) localidad de Chapinero;. Componente 2: Predio La Serranía (136,25ha), Predio Barrancas El Cedrito (36,04ha); El FA01 (11,288ha) en la localidad de Usaquén y PDEM Entrenubes (6,677ha)  y La Regadera (79,9ha) localidad de Usme. 
</t>
  </si>
  <si>
    <t>Para el periodo comprendido de enero a septiembre 2023, la elaboración de diseños se realizó de manera indirecta en el marco de los contratos: Contrato 20222007 con el Consorcio BARZZILAI en las áreas de RDH Jaboque (77 individuos), Ruralidad Arrayanes (2400), en la Reserva Thomas Van der Hammen (27.000), La Serranía (6.230)FA_12 (1.200), FA_15 (1.153), FA_21 (3.192), FA_19 (816), FA_MinDefensa (1.430) y FA_13 (800); El contrato 20231524 con Aguas Bogotá en el PDEM Entrenubes sector del CAT (130), Soratama (43); en las  RDH Tibanica (15), Córdoba Niza (25), El Tunjo (14) y Capellanía (14) y con el contrato 20221646 con Aguas Bogotá en RDH Capellanía (7), en los PDEM Mirador de los Nevados (111), Serranía del Zuque (220), Soratama (70) y Entrenubes , sector La Fiscala (380) y CAT (160). Así mismo, de manera directa con el apoyo de Aguas de Bogotá en las siguientes áreas de las RDH La Conejera (384 individuos), El Burro (76), El Tunjo (38), La Vaca sur (52), Techo (102), Capellanía (596), Tingua Azul (325) y El Salitre (80), PDEM Entrenubes en el sector La Fiscala RT 14 (34), RT21 (146) y RT62 (205); en el sector CAT (7) y en el sector Nueva Esperanza RT219 (70), en la franja de adecuación FA_MinDefensa (150);  Altos de la Estancia (337) y en el marco de los acuerdos de conservación en la zona rural de Usme, Vereda Curubital (20), Colegio Alfonso Jaramillo (159), CAS (88), Colegio Nuevo Campestre (50), Sunchine Bouquet (293), Utopía (301), Flores de Los Andes (407), Colegio Nueva York (51), Colegio Lausana (52), Hacienda Las Mercedes (224) y PDEM Mirador de Los Nevados (15). Para un total de 49.749 individuos vegetales plantados durante este año.</t>
  </si>
  <si>
    <t xml:space="preserve">Para el periodo comprendido de enero a septiembre se realizaron acciones de restauración en las localidades de Kennedy 0,0472ha, Usme 2,7527ha, Chapinero  1,2947ha, Santa Fe 0,4337ha, Barrios Unidos 0,0284ha, Fontibón 0,2189ha, Bosa 0,2073ha y Suba 1,6638ha, llegando  así a 92,7967 ha para el cuatrienio. Adicionalmente en el 2023 se plantaron en las localidades de Ciudad Bolívar 389 individuos, Suba  28.859, Kennedy 128, Fontibón 617, Usaquén 10.351, San Cristóbal 220, Usme 3.482, Engativá 77, Rafael Uribe Uribe 70, Barrios Unidos 80, Santa Fe 1.501, Chapinero 3.533 y Bosa 442; para un total de 49.749 individuos. Durante el periodo de enero a septiembre en el marco del contrato 20222007 con Consorcio BARZZILAI, se abrieron y se continúan  trabajando en los frentes de intervención RDH Jaboque, Reserva Thomas Van der Hammen, en franja de adecuación FA_20, FA_21, FA_15, FA_19 y El Delirio.
Las áreas entregadas del componente 1 fueron: RDH Jaboque (18,10ha), localidad de Engativá; Predio La Serranía (11,936ha), localidad de Usaquén; El Delirio (19,99ha), localidad de San Cristóbal; Ruralidad Arrayanes 1 (2,012ha), localidad de Usme; RFTVDH sector sur (2,64ha), localidad de Suba; Franja de adecuación: FA21 (4,47ha), FA20_2 (1,96ha), FA19 (0,663), localidad de Usaquén; Fa12 (2,503ha), localidad de Santa Fe; FA13_2 (0,611ha), FA15 (0,983ha), localidad de Chapinero. En junio se entregó FAMinDefensa (1,5ha) localidad de Chapinero, que reemplazó a FA01 que por condiciones sociales no pudo ser intervenido. Del componente 2: predio La Serranía (136,25ha), predio Barrancas El Cedrito (36,04ha); el FA01 (11,288ha) en la localidad de Usaquén y PDEM Entrenubes (6,677ha) localidad de Usme, La Regadera (79,9 ha) localidad de Usme.
</t>
  </si>
  <si>
    <t>En el periodo comprendido de enero a septiembre de 2023, la SDA entregó el 100% de las áreas al CONSORCIO BARUC, empresa que ganó la licitación para el mantenimiento del 2022 – 2023. Los 73 polígonos entregados se distribuyen así: 60.15 ha en la localidad Ciudad Bolívar, 12.53 ha en la localidad Rafael Uribe Uribe, 125.7 ha en  la localidad de San Cristóbal, 251.26 ha en Santa Fe, 5.82 ha en la localidad de Usaquén y 156.19 ha en la localidad  de Usme.  Cabe resaltar que del área entregada, 38.40 ha, se encuentran en  Área de Ocupación Público Prioritaria de la Franja de Adecuación.</t>
  </si>
  <si>
    <t xml:space="preserve">Durante el periodo de enero a septiembre se reporta un total de acciones de mantenimiento en 542,5764 ha distribuidas así: 
Para la meta del año 20)23, por medio del contrato SDA- 20231524 con Aguas Bogotá con corte al periodo 4, se realizaron en las localidades de Usme 2,2042ha, San Cristóbal 2,9883ha, Usaquén 1,6906ha, Suba 2,7039ha, Bosa 0,9617ha, Engativá  3,1509ha, Barrios Unidos 0,4802ha, Kennedy 1,0489ha, Fontibón 0,7837ha y Tunjuelito 3,4921ha para un total de 19,5045ha. Las actividades enmarcadas en este contrato, que se realizaron en los PDEM, RDH y AIA, son: control de retamo liso y espinoso (4,0210ha que corresponden a 310 m3  de volumen controlado), acciones de restauración ecológica mediante el recambio de pasto kikuyo por especies nativas herbáceas (0,4093ha) manejo adaptativo a los procesos de restauración ecológica, control de especies exóticas forestales y control de especies parásitas y enredaderas.
En cuanto a las reservas de la meta, se reportan 523,0719ha de mantenimiento, las cuales se distribuyen así: por medio del programa “Mujeres Sembradoras” en las localidades de Usme 3,5500ha y San Cristóbal 0,3900ha, para un total de 3,9400ha; por medio del contrato SDA-20221646 con Aguas de Bogotá en las localidades de Usme 0,1622ha, San Cristóbal 0,5457ha, Usaquén 0,1655ha, Suba 0,1013 ha, Engativá 0,1931ha, Barrios Unidos 0,0208ha, Fontibón 0,4225ha, Kennedy 0,2325ha, Bosa 0,1479 ha y Tunjuelito 0,1978 ha, para un total de 2,1893ha; Por medio del convenio 20221918 entre la SDA-IDIPRON- FDLSC en la localidad de San Cristóbal 14,895 ha (4,725ha de control de retamo); por medio de la ejecución directa 0,46ha en la localidad de Suba; por medio del contrato SDA-20221989 Consorcio BARUC en las localidades de Ciudad Bolívar 58,7575ha, San Cristóbal 100,4138ha, Santa Fe 169,3839ha, Usaquén  5,8400ha y Usme 167,6524ha, para un total de 502,0476ha. 
</t>
  </si>
  <si>
    <t>Para lo corrido del 2023 en Predios se han realizado las siguientes acciones: Gestión convenio 1240 de 2017: Se realizó comité de seguimiento a los predios localizados en el área de ocupación publico prioritaria - AOPP. 84 predios en gestión en AOPP. En el AIE Cerros Orientales se adelantó la adquisición de 9 predios con área de 0,007 Ha, la expedición de ofertas de compra de 40 predios, la solicitud de conceptos de uso de suelo de 2 predios. Gestión por parte de la DGA: RT10: Continua proceso de expropiación, en impulso procesal por parte de la DLA. RT17: Se solicitó a la Empresa de Acueducto y Alcantarillado de Bogotá - EAAB analizar la viabilidad de inclusión en el convenio 1240 de 2017 y la solicitud de concepto de interés ambiental a la SER. Se recibió consulta por parte de la EAAB sobre área a adquirir.</t>
  </si>
  <si>
    <t xml:space="preserve">Para lo corrido de la vigencia 2023  (enero a septiembre), se continua apoyando la implementación de acciones de restauración en los siete (7) polígonos para el CONSORCIO BARZZILAI contrato SDA-20222007 con objeto “Contratar la restauración ecológica en áreas de importancia ambiental y de la estructura ecológica principal del Distrito Capital”, que incluye  11,2 ha nuevas en franja de adecuación componente  1, los polígonos FA_15 y FA_13, FA_MinDefensa localidad de Chapinero y FA_12 localidad de Santa Fe y FA_19 localidad de Usaquén, se finalizaron las actividades de plantación,  el polígono FA_21 se encuentra en la fase final de la intervención; Para el caso del polígono FA_20 las condiciones de riesgo por volcamiento de árboles y movimiento del terreno se han acentuado limitando los tipos de tratamientos de restauración ecológica, la supervisión decide trasladar las acciones de restauración previstas en ese polígono al Polígono de franja FA_Calasanz de la localidad de chapinero correspondiente a un área de igual tamaño y con condiciones ecosistémicos similares. 
De otra parte, se continúan realizando los mantenimientos contemplados en el contrato SDA- 20221989 consorcio BARUC, que incluye 38,40 ha en el Área de Ocupación Público Prioritaria de la Franja de Adecuación. Incluye labores de plateo, fertilización, replante, y georreferenciación en los polígonos de franja.
</t>
  </si>
  <si>
    <t>Para lo corrido de la vigencia 2023 (enero a septiembre) se realizó la operación del camino Guadalupe Aguanoso durante 4 fines de semana en el mes de enero y se reactivó la operación el último fin de semana de febrero, cumpliendo con 34 fines de semana (sin contar con el fin de semana de 11 de marzo, por condiciones climáticas). Se terminó con la contratación del personal para la operación del sendero en la vigencia 2023. Se reanudaron las mesas de trabajo del Proyecto Camino de los Cerros, se realizaron 8 comités técnicos del Convenio SDA-20211323. Se finalizó la instalación de toda la señalética producto de los caminos La Serranía y El Verjón se instaló en el mes de mayo previo al Global Big Day. Se aprobó el Plan de Recreación Pasiva - PRP del sendero La Serranía al igual que el de Camino al Indio por parte de la CAR. Para el mismo evento del Global Big Day se dio apertura del sendero La Serranía operado por Empresa de Acueducto y Alcantarillado de Bogotá - EAAB. Se hizo presentación de Kilómetro 11 y 12 Quebradas para los operadores turísticos. La CAR expidió el AUTO DRBC No. 01236000706, por el cual se solicita las intervenciones en Pico del Águila al IDRD. Se envió el PRP para la conexión Pico del Águila-Monserrate al técnico encargado de la CAR para observaciones, y se radicará ante la CAR en el mes de octubre. Se abrió la convocatoria de Fondetur por parte del IDT hasta el 30 de junio, donde se realizaron diferentes recorridos con los operadores en los caminos habilitados. Desde el IDRD se iniciaron las labores en el camino Pico del Águila de acuerdo con el Plan de Acción aprobado por la CAR. En el mes de agosto se realizó la Carrera de Observación en los Caminos de los Cerros (24 km) con la participación de 50 equipos y en el mes de septiembre se inició el Plan de Acción en el camino Pico del Águila por parte de IDRD.</t>
  </si>
  <si>
    <t xml:space="preserve">Para lo corrido de la vigencia 2023(enero - septiembre), Hitos de Amojonamiento: Continúa proceso de elaboración e instalación de señales informativas en la franja y su Área de Ocupación Público Prioritaria-AAOP, se aprueban diseños, se entregan al contratista para comenzar elaboración de las vallas. Comienza proceso de instalación y se realizan visitas de verificación  y recepción de vallas instaladas en otras áreas de interés.
Iniciativas: Se adelantan gestiones de planificación e implementación de acciones para dar cierre a la iniciativa "Caminos de Hijuefuchas", realizando mantenimiento a las áreas intervenidas con acciones de restauración mediante contrato SDA-20221989 y reunión de concertación con líderes de la iniciativa; adicionalmente, con el apoyo del JBB y el programa ECO de SED, se realizan acciones de fortalecimiento de las huertas; visitas de seguimiento mesas de trabajo y concertaciones con líderes para el funcionamiento y fortalecimiento de las huertas. Continúa elaboración de informe de análisis espacial de zonas susceptibles de restauración, capacitación comunitaria en resiliencia climática, se realizan jornadas de trabajo y talleres de capacitación con comunidad en huertas implementadas y jornadas de trabajo desarrollada con el apoyo de SDSCJ.
Con relación a la iniciativa en Chapinero  "A aprender las Moyas", encaminada a realizar procesos de formación; producto de las mesas de trabajo desarrolladas con líderes comunitarios y ambientales del territorio San Isidro Patios, se realiza una sesión de talleres comunitarios, se firma un acta de compromisos entre las partes, para formalizar el apoyo a la implementación de la iniciativa; se realiza recorrido de apropiación del territorio camino Guadalupe-Aguanoso con líderes de la iniciativa, se desarrolla un proceso de educación ambiental al grupo de gestión ambiental del colegio Monteverde IED, evento de cierre.
</t>
  </si>
  <si>
    <t xml:space="preserve">Para lo corrido de la vigencia 2023 (enero - septiembre), se realizó revisión de la información obtenida en 2022 y comenzaron las gestiones de planificación y desarrollo de actividades y/o acciones encaminadas a la vinculación de predios en el programa de Pago por Servicios Ambientales Hídricos-PSAH, el cual se encuentra en implementación a través del convenio SDA-PNUD y la vinculación de predios con acuerdos de conservación; en este sentido, se realizaron gestiones para la posible vinculación de dos predios de propiedad del instituto Roosevelt, y un predio denominado Santa Matilde en la localidad de San Cristóbal al programa de PSAH. Para esto se realizó recorrido por los predios con el apoyo de profesionales de campo del programa SDA – PNUD, con base en la información obtenido se determinó que no fueron viables para su vinculación al programa. Por otro lado, se realizaron mesas de trabajo con profesionales líderes de PSAH-SIG de la SDA, encaminada a plantear nuevas estrategias para la consecución de predios que puedan cumplir con los requerimientos para vinculación a PSAH. Teniendo en cuenta las restricciones normativas vigente para este y los siguientes períodos (Ley de garantías), continúa la elaboración de Informe técnico de soporte de la gestión de incentivos a la conservación en el AOPP.
En relación a los acuerdos de conservación, en el  mes de junio, se firmó con el seminario Calasanz, con 5.11ha localizadas en la franja de adecuación. En el marco del cumplimiento del acuerdo, se realizó recorrido en las áreas del seminario que cumplen para desarrollar las acciones de restauración, esto con el fin de evaluar, diagnosticar y para planificar las acciones a desarrollar. Se realizó mesa de trabajo con representante del seminario Calasanz, encaminada a establecer estrategias de trabajo y el plan de acción para dar inicio a la implementación de acciones. Se realizó recorrido en el predio con el grupo de restauración para implementar acciones con el contrato SDA-20222007.
</t>
  </si>
  <si>
    <t>Se avanzó en un 1,27% acumulado lo anterior está representado en la ejecución de las diversas actividades, las cuales al  mes de agosto aportan una magnitud de 63,50% al total de la meta de la vigencia</t>
  </si>
  <si>
    <t>Se avanzó en un 1,45% acumulado lo anterior está representado en la ejecución de las diversas actividades, las cuales al  mes de septiembre aportan una magnitud de 72,50% al total de la meta de la vigencia</t>
  </si>
  <si>
    <t>En agosto se realizaron acciones de restauración en 6,27ha</t>
  </si>
  <si>
    <t>En septiembre se realizaron acciones de restauración en 6,65ha</t>
  </si>
  <si>
    <t>En agosto de 2023, se realizaron actividades relacionadas con mantenimiento en 477,74ha</t>
  </si>
  <si>
    <t>En septiembre de 2023, se realizaron actividades relacionadas con mantenimiento en 542,57ha</t>
  </si>
  <si>
    <t>Se avanzó en un 68,63%, cabe señalar que esta meta inicia de una línea base establecida de 44%, lo anterior está representado en la ejecución de las diversas actividades, las cuales para el mes de septiembre aportan una magnitud de 92,74% al total de la meta.</t>
  </si>
  <si>
    <t>Se avanzó en un 66,79%, cabe señalar que esta meta inicia de una línea base establecida de 44%, lo anterior está representado en la ejecución de las diversas actividades, las cuales para el mes de agosto aportan una magnitud de 90,26% al total de la meta.</t>
  </si>
  <si>
    <t>Se avanzó en un 67,71%, cabe señalar que esta meta inicia de una línea base establecida de 44%, lo anterior está representado en la ejecución de las diversas actividades, las cuales para el mes de agosto aportan una magnitud de 91,50% al total de la meta.</t>
  </si>
  <si>
    <t xml:space="preserve">La meta parte de una línea base establecida del 44%, en el 2020 se realizó un avance del 1,09%, en el 2021 del 6,27%, en el 2022 de 10,42% y en el 2023 de 6,02% lo que permite que actualmente el avance acumulado sea de 68,63% Las actividades desarrolladas durante estos periodos son:
Predios. Gestión convenio 1240 de 2017: Se realizó comité de seguimiento a los predios localizados en el Área de Ocupación Público Prioritaria, AOPP. 84 predios en gestión en AOPP. RT10: Continua proceso de expropiación por parte de la Secretaría Distrital de Ambiente. RT17: Pendiente reiniciar el proceso de adquisición por enajenación voluntaria con el convenio 1240 de 2017.
Restauración: Se realizaron las visitas y se entregaron siete polígonos al Consorcio Barzzilai para la restauración que incluye 11,2ha nuevas en franja de adecuación, se continúa en la implementación de los polígonos con labores de limpieza, trazado y ahoyado. Se realizó una plantación directa de 150 árboles en 1,2ha en predio Min Defensa.
Senderos: Se realizó operación del camino Guadalupe Aguanoso durante  34 fines de semana. Se  han realizado  siete comités técnicos del Convenio SDA-20211323. Se dio apertura del sendero La Serranía . Se realizó la Carrera de Observación en los Caminos de los Cerros.
Cantera:  En actividades de obra se ejecutó el izado de columnas metálica y muros en mampostería estructural en módulos   Se adelantan los comités de obra semanales. En agosto la CAR impuso medida preventiva que suspendió las obras. MinAmbiente interpuso medida preventiva a la obra.
Iniciativas: En el 2020 se firmó el acta de entendimiento para implementar la iniciativa caminos de Hijuefuchas, se están realizando gestiones para finalización de esta  iniciativa. En el  2023 comenzó la implementación de la iniciativa "A aprender las Moyas" encaminada a realizar procesos de formación;  se firma un acta de compromisos entre las partes,  se realizó recorrido de apropiación con los líderes al sendero Guadalupe  Aguanoso, se desarrolla un proceso de educación ambiental al grupo de gestión ambiental del colegio Monteverde y recorridos de apropiación del territorio en el sendero Guadalupe-Aguanoso.
Hitos de amojonamiento: Se inicio el proceso de instalación de las vallas .
Pago por Servicios Ambientales: En el 2022  se vinculó el predio San Rafael Tibque - localidad de Usme sector Juan Rey con 5,2ha en conservación y protección de áreas de nacimientos quebrada Bolonia y Santa Librada. En lo corrido de  2023  se   realizaron gestiones para la posible vinculación de dos predios de propiedad del instituto Roosevelt, y un predio Santa Matilde en la localidad de San Cristóbal al programa de Pago Servicios Ambientales. Se  firmó acuerdo de conservación con el seminario Calasanz, en el que se vinculan 5.11ha localizadas en la franja de adecuación. Se realizó mesa de trabajo representante del seminario Calasanz, se realizó recorrido en el predio se definen estrategias, acciones y actividades.
</t>
  </si>
  <si>
    <r>
      <t>*Se evidencian retrasos por parte de la gestion adelantada por parte de la EAAB para adquirir los predios priorizados localizados en</t>
    </r>
    <r>
      <rPr>
        <b/>
        <sz val="12"/>
        <color theme="1"/>
        <rFont val="Calibri"/>
        <family val="2"/>
        <scheme val="minor"/>
      </rPr>
      <t xml:space="preserve"> la área de ocupación público priavada,</t>
    </r>
    <r>
      <rPr>
        <sz val="12"/>
        <color theme="1"/>
        <rFont val="Calibri"/>
        <family val="2"/>
        <scheme val="minor"/>
      </rPr>
      <t xml:space="preserve"> donde el criterio de localizacion en esta area no es factor determinante para adelantar la misma de manera preferencial.
*Se presentan retrasos en la adquisición de los predios RT10 por demora en el fallo del juzgado y el RT17 requiere iniciar nuevamente el proceso por enajenacion voluntaria.
*Se evidencian retrasos en el contrato SDA-20222007 con el CONSORCIO BARZZILAI con objeto “Contratar la restauración ecológica en áreas de importancia ambiental y de la estructura ecológica principal del Distrito Capital” aplazando la entrega de áreas ya finalizadas como son los polígonos FA_12 y FA_13.</t>
    </r>
  </si>
  <si>
    <t xml:space="preserve">• Se ha solicitado en los comité de seguimiento del convenio darle prioridad a los predios en gestion en el área de ocupación público privada, así como presentar informe de seguimiento de los mismos.
</t>
  </si>
  <si>
    <r>
      <t xml:space="preserve">Durante el cuatrienio, se ha realizado un avance de 92,797 Hectáreas así:
- Vigencia 2020: Fontibón 0,40ha; Kennedy 0,59ha; San Cristóbal y Usme Parque Ecológico Distrital de Montaña Entre Nubes -PEDMEN 4,114ha; Tunjuelito y Ciudad Bolívar Parque Ecológico Distrital de Humedal -  </t>
    </r>
    <r>
      <rPr>
        <sz val="12"/>
        <color theme="1"/>
        <rFont val="Calibri"/>
        <family val="2"/>
      </rPr>
      <t>PEDH E</t>
    </r>
    <r>
      <rPr>
        <sz val="12"/>
        <rFont val="Calibri"/>
        <family val="2"/>
      </rPr>
      <t xml:space="preserve">l Tunjo) 0,1ha; Engativá 0,26ha; Usme 0,03ha; para un total de 5,49ha. 
- Vigencia 2021: Suba 4,621ha; Barrios Unidos 0,0318ha; Usme 8,209ha; Kennedy 0,0001ha; Tunjuelito 0,28ha; San Cristóbal 0,24ha; Engativá 0,07ha; Usaquén 0,68ha y Chapinero 0,058ha; para un total de 14,19 ha. 
- Vigencia 2022: Usme 7,023ha, Suba 6,783ha, Fontibón 5,56ha, San Cristóbal 0,317ha, Santa Fe 3,54ha, Kennedy  0,026ha, Chapinero 0,026ha, Usaquén 0,29ha, Engativá 1,008ha, Candelaria 0,521ha, Ciudad Bolívar 0,14ha, Barrios Unidos 0,025ha y Tunjuelito 5,4ha; para un total de 30.66ha
Reserva : Engativá 7,34ha, Usme 11,49ha, Suba 6,44ha, Kennedy 4,19ha, Bosa 1,60ha, Fontibón 0,69ha y Ciudad Bolívar 4,06ha; para un total de 35,81ha.
- Vigencia 2023: Kennedy 0,0472ha, Usme 2,7527ha, Chapinero 1,2947ha, Santa Fe 0,4337ha, Barrios Unidos 0,0284ha, Fontibón 0,2189 ha, Bosa 0,2073ha y Suba 1,6638 ha para un total acumulado de 6,6467 ha.
</t>
    </r>
  </si>
  <si>
    <t>Una vez se cierren los polígonos de las áreas a restaurar,esta información se entregará en el último trimestre del 2023.</t>
  </si>
  <si>
    <r>
      <t xml:space="preserve">El total acumulado en el Plan de Desarrollo es de 137.950 individuos de los cuales 2.900 se plantaron en el 2020, 30.019 en el 2021, 55.282 en el 2022 y 49.749 en el 2023 así:
En el 2020 se plantaron 555 en Fontibón, 1.435 en el Parque Ecológico Distrital de Montaña Entrenubes, 580 en Kennedy, 163 en el Parque Ecológico Distrital de Humedales - PEDH El Tunjo, 106 en PEDH Juan Amarillo y 61 en Usme; para un total de 2.900
En el 2021 se plantaron 105 en Barrios Unidos, 20 en Chapinero, 1.260 en Ciudad Bolívar, 38 en Engativá, 1.505 en Kennedy, 8.222 en San Cristóbal, 1.469 en Suba, 100 en Tunjuelito, 1.526 en Usaquén y 15.774 en Usme; para un total de 30.019
En el 2022 se plantaron en Usme 11.614, Ciudad Bolívar 6.718, Suba 4.824, San Cristóbal 8.555, Engativá 3.496, Kennedy 3.934, Santa fe 5.113, Fontibón 4.682, Bosa 1.770, Tunjuelito 2.405, Chapinero 920, Usaquén 829, Barrios Unidos 162 y La Candelaria 260; para un total de 55.282
En el 2023 se plantaron en Ciudad Bolívar 389 individuos, Suba 28.859, Kennedy 128, Fontibón 617, Usaquén 10.351, San Cristóbal 220, Usme 3482, Engativá  77, Rafael Uribe Uribe 70, Barrios Unidos 80, Santa Fe  1501, Chapinero 3.533 y  Bosa 442; para un total de 49.749 individuos.
Adicionalmente se continúa con las acciones de restauración del componente 1 con el  CONSORCIO BARZZILAI empresa que ganó la licitación para la restauración del 2022 – 2023,  en </t>
    </r>
    <r>
      <rPr>
        <b/>
        <sz val="12"/>
        <color rgb="FFFF0000"/>
        <rFont val="Calibri"/>
        <family val="2"/>
      </rPr>
      <t>RDH</t>
    </r>
    <r>
      <rPr>
        <sz val="12"/>
        <rFont val="Calibri"/>
        <family val="2"/>
      </rPr>
      <t xml:space="preserve"> Jaboque con la plantación de 77 individuos vegetales y en la RDTVDH (27.000), La Serranía (6.230), en franja de adecuación FA_13 (800),  FA_15 (1.153), FA_21 (3.192), FA_ 19 (816), FA_MinDefensa (1.430) y FA_12 (1.200) y en Ruralidad Arrayanes (2.400) para un total de 44.298 individuos plantados durante este año.  Las áreas entregadas del componente 1 fueron: Predio La Serranía, FA20, FA21, y FA19, localidad de Usaquén; El Delirio, localidad de San Cristóbal; FA 13, FA15 y MinDefensa, localidad de Chapinero; FA 12, localidad de Santa Fe; Ruralidad, localidad de Usme. Del componente 2: Predio La Serranía, polígono de franja La Serranía, localidad de Usaquén y Predio Barrancas El Cedrito, localidad de Usaquén, un polígono en PDEM Entrenubes y la Regadera localidad de Usme.
</t>
    </r>
  </si>
  <si>
    <r>
      <t xml:space="preserve">Se </t>
    </r>
    <r>
      <rPr>
        <b/>
        <sz val="12"/>
        <rFont val="Calibri"/>
        <family val="2"/>
      </rPr>
      <t>entregaran</t>
    </r>
    <r>
      <rPr>
        <sz val="12"/>
        <rFont val="Calibri"/>
        <family val="2"/>
      </rPr>
      <t xml:space="preserve"> dos polígonos nuevos (La Regadera localidad de Usme y Siberia localidad de Chapinero) para reemplazar los que no se pudieron entregar debido a las ocupaciones ilegales. </t>
    </r>
  </si>
  <si>
    <t xml:space="preserve">Durante el periodo de enero a septiembre se reporta un total de acciones de mantenimiento en 542,5764 ha distribuidas así: 
Para la meta del año 2023, por medio del contrato SDA- 20231524 con Aguas Bogotá con corte al periodo 4, se realizaron en las localidades de Usme 2,2042ha, San Cristóbal 2,9883ha, Usaquén 1,6906ha, Suba 2,7039ha, Bosa 0,9617ha, Engativá  3,1509ha, Barrios Unidos 0,4802ha, Kennedy 1,0489ha, Fontibón 0,7837ha y Tunjuelito 3,4921ha para un total de 19,5045ha. Las actividades enmarcadas en este contrato, que se realizaron en los Parque Ecológico de Montaña - PDEM, Reserva Distrital de Humedal - RDH y Àreas de Interes Ambiental - AIA, son: control de retamo liso y espinoso (4,0210ha que corresponden a 310 m3  de volumen controlado), acciones de restauración ecológica mediante el recambio de pasto kikuyo por especies nativas herbáceas (0,4093ha) manejo adaptativo a los procesos de restauración ecológica, control de especies exóticas forestales y control de especies parásitas y enredaderas.
En cuanto a las reservas de la meta, se reportan 523,0719ha de mantenimiento, las cuales se distribuyen así: por medio del programa “Mujeres Sembradoras” en las localidades de Usme 3,5500ha y San Cristóbal 0,3900ha, para un total de 3,9400ha; por medio del contrato SDA-20221646 con Aguas de Bogotá en las localidades de Usme 0,1622ha, San Cristóbal 0,5457ha, Usaquén 0,1655ha, Suba 0,1013 ha, Engativá 0,1931ha, Barrios Unidos 0,0208ha, Fontibón 0,4225ha, Kennedy 0,2325ha, Bosa 0,1479 ha y Tunjuelito 0,1978 ha, para un total de 2,1893ha; Por medio del convenio 20221918 entre la SDA-IDIPRON- FDLSC en la localidad de San Cristóbal 14,895 ha (4,725ha de control de retamo); por medio de la ejecución directa 0,46ha en la localidad de Suba; por medio del contrato SDA-20221989 Consorcio BARUC en las localidades de Ciudad Bolívar 58,7575ha, San Cristóbal 100,4138ha, Santa Fe 169,3839ha, Usaquén  5,8400ha y Usme 167,6524ha, para un total de 502,0476ha. 
Por medio del contrato SDA-20221989, en el primer ciclo, la interventoría ha aprobado y validado las siguientes actividades: 173374 plateos, 179183 fertilizaciones, 140642 fertirriegos, 108692 puntos georreferenciados, 14,3026ha de control de retamo y 12,6277ha de control de chusque. Lo anterior se ha realizado en 68 polígonos. 
Además se realizaron actividades relacionadas con el mantenimiento del material vegetal  ubicado en los cuatro viveros que administra la Secretaria Distrital de Ambiente (Soratama, Hoya del Ramo, CERESA y La Esperanza) en los cuales se realizaron tareas de riego, fertilización, llenado de bolsa  y mantenimiento de infraestructura de los mismos, los inventarios se mantienen con las siguientes cifras en viveros:  individuos vegetales disponibles 136.849 y 57.803 individuos en desarrollo para un total de 194.652 individuos vegetales.
</t>
  </si>
  <si>
    <t xml:space="preserve">Se tiene un avance acumulado de 2,72 proyectos del cual 0.26 corresponden a la vigencia 2020, 0.74 a la vigencia 2021, 1.0 a la vigencia de 2022 y 0,72 para la vigencia 2023 mediante el desarrollo de las siguientes actividades: Elaboración documentos técnicos: Análisis de elementos espaciales de 6 conectores y 3 nodos. Caracterización de biodiversidad de 5 conectores y 3 nodos. Modelo de conectividad de 5 conectores. Coberturas de la tierra de 1 nodo, 5 conectores. Análisis del arbolado de 6 nodo. Documentos sociales de 6 conectores y 4 nodos. Documento socioambiental 3 conectores.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a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22 reuniones de seguimiento con el contratista, 33 socializaciones señalética. Acciones para consolidación Bosque urbanos Santa Helena, Brazo Salitre, San Carlos, Esmeralda, ParkWay. En el marco de las acciones para la promoción de la gobernanza, se realizaron en los 6 conectores ecosistémicos un total de 191 espacios de dialogo, de los cuales 53 han sido de carácter insterinstucional y en el marco de la coordinación de acciones en los territorios como jornadas de limpieza, mantenimiento y plantaciones con la ciudadania. Y el restante en los que han participado actores institucionales, académicos, comunitarios y organizaciones sociales. En la totalidad de los espacios han asistido un total de 3365 personas, de las cuales 1532 son de sexo masculino y 1833 de sexo femenino.
</t>
  </si>
  <si>
    <t xml:space="preserve">Durante el cuatrienio, se ha realizado un avance de 92,797 Hectáreas así:
- Vigencia 2020: Fontibón 0,40ha; Kennedy 0,59ha; San Cristóbal y Usme Parque Ecológico Distrital de Montaña Entre Nubes -PEDMEN 4,114ha; Tunjuelito y Ciudad Bolívar Parque Ecológico Distrital de Humedal -  PEDH El Tunjo) 0,1ha; Engativá 0,26ha; Usme 0,03ha; para un total de 5,49ha. 
- Vigencia 2021: Suba 4,621ha; Barrios Unidos 0,0318ha; Usme 8,209ha; Kennedy 0,0001ha; Tunjuelito 0,28ha; San Cristóbal 0,24ha; Engativá 0,07ha; Usaquén 0,68ha y Chapinero 0,058ha; para un total de 14,19 ha. 
- Vigencia 2022: Usme 7,023ha, Suba 6,783ha, Fontibón 5,56ha, San Cristóbal 0,317ha, Santa Fe 3,54ha, Kennedy  0,026ha, Chapinero 0,026ha, Usaquén 0,29ha, Engativá 1,008ha, Candelaria 0,521ha, Ciudad Bolívar 0,14ha, Barrios Unidos 0,025ha y Tunjuelito 5,4ha; para un total de 30.66ha
Reserva : Engativá 7,34ha, Usme 11,49ha, Suba 6,44ha, Kennedy 4,19ha, Bosa 1,60ha, Fontibón 0,69ha y Ciudad Bolívar 4,06ha; para un total de 35,81ha.
- Vigencia 2023: Kennedy 0,0472ha, Usme 2,7527ha, Chapinero 1,2947ha, Santa Fe 0,4337ha, Barrios Unidos 0,0284ha, Fontibón 0,2189 ha, Bosa 0,2073ha y Suba 1,6638 ha para un total acumulado de 6,6467 ha.
</t>
  </si>
  <si>
    <t>La meta parte de una línea base establecida del 44%, en el 2020 se realizó un avance del 1,09%, en el 2021 del 6,27%, en el 2022 de 10,42% y en el 2023 de 6,02% lo que permite que actualmente el avance acumulado sea de 68,63% Las actividades desarrolladas durante estos periodos son:
Predios. Gestión convenio 1240 de 2017: Se realizó comité de seguimiento a los predios localizados en el Área de Ocupación Público Prioritaria, AOPP. 84 predios en gestión en AOPP. RT10: Continua proceso de expropiación por parte de la Secretaría Distrital de Ambiente. RT17: Pendiente reiniciar el proceso de adquisición por enajenación voluntaria con el convenio 1240 de 2017.
Restauración: Se realizaron las visitas y se entregaron siete polígonos al Consorcio Barzzilai para la restauración que incluye 11,2ha nuevas en franja de adecuación, se continúa en la implementación de los polígonos con labores de limpieza, trazado y ahoyado. Se realizó una plantación directa de 150 árboles en 1,2ha en predio Min Defensa.
Senderos: Se realizó operación del camino Guadalupe Aguanoso durante  34 fines de semana. Se  han realizado  siete comités técnicos del Convenio SDA-20211323. Se dio apertura del sendero La Serranía . Se realizó la Carrera de Observación en los Caminos de los Cerros.
Cantera:  En actividades de obra se ejecutó el izado de columnas metálica y muros en mampostería estructural en módulos   Se adelantan los comités de obra semanales. En agosto la CAR impuso medida preventiva que suspendió las obras. MinAmbiente interpuso medida preventiva a la obra.
Iniciativas: En el 2020 se firmó el acta de entendimiento para implementar la iniciativa caminos de Hijuefuchas, se están realizando gestiones para finalización de esta  iniciativa. En el  2023 comenzó la implementación de la iniciativa "A aprender las Moyas" encaminada a realizar procesos de formación;  se firma un acta de compromisos entre las partes,  se realizó recorrido de apropiación con los líderes al sendero Guadalupe  Aguanoso, se desarrolla un proceso de educación ambiental al grupo de gestión ambiental del colegio Monteverde y recorridos de apropiación del territorio en el sendero Guadalupe-Aguanoso.
Hitos de amojonamiento: Se inicio el proceso de instalación de las vallas .
Pago por Servicios Ambientales: En el 2022  se vinculó el predio San Rafael Tibque - localidad de Usme sector Juan Rey con 5,2ha en conservación y protección de áreas de nacimientos quebrada Bolonia y Santa Librada. En lo corrido de  2023  se   realizaron gestiones para la posible vinculación de dos predios de propiedad del instituto Roosevelt, y un predio Santa Matilde en la localidad de San Cristóbal al programa de Pago Servicios Ambientales. Se  firmó acuerdo de conservación con el seminario Calasanz, en el que se vinculan 5.11ha localizadas en la franja de adecuación. Se realizó mesa de trabajo representante del seminario Calasanz, se realizó recorrido en el predio se definen estrategias, acciones y actividades.</t>
  </si>
  <si>
    <t>Se tiene un avance acumulado de 2,72 proyectos del cual 0.26 corresponden a la vigencia 2020, 0.74 a la vigencia 2021, 1.0 a la vigencia de 2022 y 0,72 para la vigencia 2023 mediante el desarrollo de las siguientes actividades: Elaboración documentos técnicos: Análisis de elementos espaciales de 6 conectores y 3 nodos. Caracterización de biodiversidad de 5 conectores y 3 nodos. Modelo de conectividad de 5 conectores. Coberturas de la tierra de 1 nodo, 5 conectores. Análisis del arbolado de 6 nodo. Documentos sociales de 6 conectores y 4 nodos. Documento socioambiental 3 conectores. Planificación intervenciones áreas priorizadas de los conectores, espacios articulación interinstitucional: mesa Chicó Virrey,  taller con instituciones distritales y la CAR, nodo Arzobispo - Parkway y Brazo Salitre, reunión seguimiento plan interinstitucional nodo Tunjo Tingua Azul. 
Trabajo de campo nodo: Tunjo - Tingua Azul.  Seguimiento a las actividades propuestas de intervención en el Nodo Tunjo – Tingua Azul del Conector Media Luna Sur.  Participación 3 mesa vecinos del Parque Simón Bolívar. Elaboración y seguimiento a planes interinstitucionales de los conectores.
Trabajo socioambiental en los nodos priorizados mediante reconocimiento de actores claves, acercamiento con la comunidad, recorridos por el territorio, taller de cartografía social, intercambio de experiencias, siembra de árboles, trabajo mancomunado en huertas comunitarias, novena navideña participación en Pacto de borde de Mochuelo. 2 eventos de cierre de conectores. Ejecución contrato 20222042 de señalética: 22 reuniones de seguimiento con el contratista, 33 socializaciones señalética. Acciones para consolidación Bosque urbanos Santa Helena, Brazo Salitre, San Carlos, Esmeralda, ParkWay. En el marco de las acciones para la promoción de la gobernanza, se realizaron en los 6 conectores ecosistémicos un total de 191 espacios de dialogo, de los cuales 53 han sido de carácter insterinstucional y en el marco de la coordinación de acciones en los territorios como jornadas de limpieza, mantenimiento y plantaciones con la ciudadania. Y el restante en los que han participado actores institucionales, académicos, comunitarios y organizaciones sociales. En la totalidad de los espacios han asistido un total de 3365 personas, de las cuales 1532 son de sexo masculino y 1833 de sexo femenino.</t>
  </si>
  <si>
    <t xml:space="preserve">Durante el periodo de enero a septiembre se reporta un total de acciones de mantenimiento en 542,5764 ha distribuidas así: 
Para la meta del año 2023, por medio del contrato SDA- 20231524 con Aguas Bogotá con corte al periodo 4, se realizaron en las localidades de Usme 2,2042ha, San Cristóbal 2,9883ha, Usaquén 1,6906ha, Suba 2,7039ha, Bosa 0,9617ha, Engativá  3,1509ha, Barrios Unidos 0,4802ha, Kennedy 1,0489ha, Fontibón 0,7837ha y Tunjuelito 3,4921ha para un total de 19,5045ha. Las actividades enmarcadas en este contrato, que se realizaron en los Parque Ecológico de Montaña - PDEM, Reserva Distrital de Humedal - RDH y Àreas de Interes Ambiental - AIA, son: control de retamo liso y espinoso (4,0210ha que corresponden a 310 m3  de volumen controlado), acciones de restauración ecológica mediante el recambio de pasto kikuyo por especies nativas herbáceas (0,4093ha) manejo adaptativo a los procesos de restauración ecológica, control de especies exóticas forestales y control de especies parásitas y enredaderas.
En cuanto a las reservas de la meta, se reportan 523,0719ha de mantenimiento, las cuales se distribuyen así: por medio del programa “Mujeres Sembradoras” en las localidades de Usme 3,5500ha y San Cristóbal 0,3900ha, para un total de 3,9400ha; por medio del contrato SDA-20221646 con Aguas de Bogotá en las localidades de Usme 0,1622ha, San Cristóbal 0,5457ha, Usaquén 0,1655ha, Suba 0,1013 ha, Engativá 0,1931ha, Barrios Unidos 0,0208ha, Fontibón 0,4225ha, Kennedy 0,2325ha, Bosa 0,1479 ha y Tunjuelito 0,1978 ha, para un total de 2,1893ha; Por medio del convenio 20221918 entre la SDA-IDIPRON- FDLSC en la localidad de San Cristóbal 14,895 ha (4,725ha de control de retamo); por medio de la ejecución directa 0,46ha en la localidad de Suba; por medio del contrato SDA-20221989 Consorcio BARUC en las localidades de Ciudad Bolívar 58,7575ha, San Cristóbal 100,4138ha, Santa Fe 169,3839ha, Usaquén  5,8400ha y Usme 167,6524ha, para un total de 502,0476ha. </t>
  </si>
  <si>
    <t xml:space="preserve">Para lo corrido de la vigencia 2023 (enero a agosto), se desarrolló la primera etapa del proyecto en cuanto a la revisión y apropiación de estudios y diseños. Se iniciaron actividades preliminares de obra, además de algunas demoliciones. El 18 de febrero se realizó la reunión de socialización del proyecto con la comunidad localidad de San Cristóbal. Se realizó trámite de modificación contractual correspondiente a reprogramación, traslapo de etapas de apropiación y ajuste de diseños con etapa de ejecución de obras. Se adelantaron jornadas de rescate de flora en área de talud.
En actividades de obra se adelantaron demoliciones de estructuras existentes, remoción de escombros, rellenos en material seleccionado, movimientos de tierras, excavaciones, armados de aceros y fundidas de cimentación de módulos de aulas ambientales temáticas, se realizó lo referente al izado de columnas metálica y muros en mampostería estructural en módulos. Se presenta ajuste de diseños de componente de geotecnia para obras de mitigación de riesgo de remoción en talud de acceso. Se continúa con la instalación de bases de UMT para pisos en madera plástica, se realizan las excavaciones de los cuerpos de agua intermitentes e instalación de tuberías de gran diámetro, inicio de sendero.
La CAR impuso medida preventiva que suspendió las obras el 26 de julio, y legalizada por la Resolución DRBC No. 01237000230 del 31 de julio por considerar que se excedían las áreas autorizadas en la construcción de los módulos, la SDA contestó con el radicado 2023EE184893. Se llevaron a cabo los comités de seguimiento de proyecto semanales. Se tramitó la prórroga del contrato de obra por 4 meses para ejecutar las obras de mitigación. El 14 de septiembre MINAMBIENTE impuso medida preventiva por la ejecución de los módulos y senderos, impidiendo el ajuste de áreas. La medida fue legalizada con la Resolución 0951 del 19/09, por lo cual fue necesaria la suspensión de los contratos.
Para lo corrido de la vigencia 2023 (enero a agosto), se desarrolló la primera etapa del proyecto en cuanto a la revisión y apropiación de estudios y diseños. Se iniciaron actividades preliminares de obra, además de algunas demoliciones. El 18 de febrero se realizó la reunión de socialización del proyecto con la comunidad localidad de San Cristóbal. Se realizó trámite de modificación contractual correspondiente a reprogramación, traslapo de etapas de apropiación y ajuste de diseños con etapa de ejecución de obras. Se adelantaron jornadas de rescate de flora en área de talud.
En actividades de obra se adelantaron demoliciones de estructuras existentes, remoción de escombros, rellenos en material seleccionado, movimientos de tierras, excavaciones, armados de aceros y fundidas de cimentación de módulos de aulas ambientales temáticas, se realizó lo referente al izado de columnas metálica y muros en mampostería estructural en módulos. Se presenta ajuste de diseños de componente de geotecnia para obras de mitigación de riesgo de remoción en talud de acceso. Se continúa con la instalación de bases de UMT para pisos en madera plástica, se realizan las excavaciones de los cuerpos de agua intermitentes e instalación de tuberías de gran diámetro, inicio de sendero.
La CAR impuso medida preventiva que suspendió las obras el 26 de julio, y legalizada por la Resolución DRBC No. 01237000230 del 31 de julio por considerar que se excedían las áreas autorizadas en la construcción de los módulos, la SDA contestó con el radicado 2023EE184893. Se llevaron a cabo los comités de seguimiento de proyecto semanales. Se tramitó la prórroga del contrato de obra por 4 meses para ejecutar las obras de mitigación. El 14 de septiembre MINAMBIENTE impuso medida preventiva por la ejecución de los módulos y senderos, impidiendo el ajuste de áreas. La medida fue legalizada con la Resolución 0951 del 19/09, por lo cual fue necesaria la suspensión de los contratos.
</t>
  </si>
  <si>
    <t>En el periodo comprendido de enero a septiembre de 2023, se realizaron actividades relacionadas con el mantenimiento del material vegetal  ubicado en los cuatro viveros que administra la Secretaria Distrital de Ambiente (Soratama, La Hoya del Ramo, CERESA y La Esperanza) en los cuales se realizaron tareas de riego, fertilización, llenado de bolsa  y mantenimiento de infraestructura de los mismos, los inventarios se mantienen con las siguientes cifras en viveros: individuos vegetales disponibles 136.849  y 57.803 individuos en desarrollo para un total de 194.652 individuos vegetales.</t>
  </si>
  <si>
    <r>
      <t>CORTE A SEPTIEMBRE AÑO</t>
    </r>
    <r>
      <rPr>
        <sz val="12"/>
        <rFont val="Arial"/>
        <family val="2"/>
      </rPr>
      <t xml:space="preserve"> </t>
    </r>
    <r>
      <rPr>
        <b/>
        <u/>
        <sz val="12"/>
        <rFont val="Arial"/>
        <family val="2"/>
      </rPr>
      <t>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</si>
</sst>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 #,##0.00;[Red]\-&quot;$&quot;\ #,##0.00"/>
    <numFmt numFmtId="43" formatCode="_-* #,##0.00_-;\-* #,##0.00_-;_-* &quot;-&quot;??_-;_-@_-"/>
    <numFmt numFmtId="164" formatCode="_-&quot;$&quot;* #,##0.00_-;\-&quot;$&quot;* #,##0.00_-;_-&quot;$&quot;* &quot;-&quot;??_-;_-@_-"/>
    <numFmt numFmtId="165" formatCode="_-* #,##0\ _€_-;\-* #,##0\ _€_-;_-* &quot;-&quot;??\ _€_-;_-@"/>
    <numFmt numFmtId="166" formatCode="#,##0_ ;\-#,##0\ "/>
    <numFmt numFmtId="167" formatCode="_-* #,##0.00\ _€_-;\-* #,##0.00\ _€_-;_-* &quot;-&quot;??\ _€_-;_-@"/>
    <numFmt numFmtId="168" formatCode="_-* #,##0_-;\-* #,##0_-;_-* &quot;-&quot;_-;_-@"/>
    <numFmt numFmtId="169" formatCode="_-* #,##0.000\ _€_-;\-* #,##0.000\ _€_-;_-* &quot;-&quot;??\ _€_-;_-@"/>
    <numFmt numFmtId="170" formatCode="_-* #,##0_-;\-* #,##0_-;_-* &quot;-&quot;??_-;_-@"/>
    <numFmt numFmtId="171" formatCode="_-* #,##0.00_-;\-* #,##0.00_-;_-* &quot;-&quot;??_-;_-@"/>
    <numFmt numFmtId="172" formatCode="&quot;$&quot;\ #,##0.00"/>
    <numFmt numFmtId="173" formatCode="#,##0.000"/>
    <numFmt numFmtId="174" formatCode="&quot;$&quot;\ #,##0"/>
    <numFmt numFmtId="175" formatCode="_-&quot;$&quot;\ * #,##0_-;\-&quot;$&quot;\ * #,##0_-;_-&quot;$&quot;\ * &quot;-&quot;_-;_-@"/>
    <numFmt numFmtId="176" formatCode="#,##0.000;\-#,##0.000"/>
    <numFmt numFmtId="177" formatCode="_-&quot;$&quot;* #,##0_-;\-&quot;$&quot;* #,##0_-;_-&quot;$&quot;* &quot;-&quot;??_-;_-@"/>
    <numFmt numFmtId="178" formatCode="&quot;$&quot;#,##0.00"/>
    <numFmt numFmtId="179" formatCode="_-&quot;$&quot;\ * #,##0.00_-;\-&quot;$&quot;\ * #,##0.00_-;_-&quot;$&quot;\ * &quot;-&quot;??_-;_-@"/>
    <numFmt numFmtId="180" formatCode="0.0%"/>
    <numFmt numFmtId="181" formatCode="0.000%"/>
    <numFmt numFmtId="182" formatCode="#,##0.00_ ;\-#,##0.00\ "/>
    <numFmt numFmtId="183" formatCode="_ * #,##0_ ;_ * \-#,##0_ ;_ * &quot;-&quot;??_ ;_ @_ "/>
    <numFmt numFmtId="184" formatCode="_-&quot;$&quot;* #,##0.00_-;\-&quot;$&quot;* #,##0.00_-;_-&quot;$&quot;* &quot;-&quot;_-;_-@"/>
    <numFmt numFmtId="185" formatCode="_-* #,##0\ _€_-;\-* #,##0\ _€_-;_-* &quot;-&quot;??\ _€_-;_-@_-"/>
    <numFmt numFmtId="186" formatCode="_-* #,##0_-;\-* #,##0_-;_-* &quot;-&quot;??_-;_-@_-"/>
    <numFmt numFmtId="187" formatCode="_-* #,##0.00\ _€_-;\-* #,##0.00\ _€_-;_-* &quot;-&quot;??\ _€_-;_-@_-"/>
    <numFmt numFmtId="188" formatCode="0.000"/>
    <numFmt numFmtId="189" formatCode="0.0"/>
    <numFmt numFmtId="190" formatCode="_-* #,##0.0000\ _€_-;\-* #,##0.0000\ _€_-;_-* &quot;-&quot;??\ _€_-;_-@"/>
  </numFmts>
  <fonts count="81" x14ac:knownFonts="1">
    <font>
      <sz val="11"/>
      <name val="Calibri"/>
      <scheme val="minor"/>
    </font>
    <font>
      <sz val="11"/>
      <name val="Calibri"/>
      <family val="2"/>
    </font>
    <font>
      <sz val="24"/>
      <name val="Calibri"/>
      <family val="2"/>
    </font>
    <font>
      <sz val="11"/>
      <name val="Calibri"/>
      <family val="2"/>
    </font>
    <font>
      <b/>
      <sz val="24"/>
      <name val="Arial"/>
      <family val="2"/>
    </font>
    <font>
      <b/>
      <sz val="20"/>
      <name val="Arial"/>
      <family val="2"/>
    </font>
    <font>
      <b/>
      <sz val="14"/>
      <name val="Arial"/>
      <family val="2"/>
    </font>
    <font>
      <b/>
      <sz val="16"/>
      <name val="Arial"/>
      <family val="2"/>
    </font>
    <font>
      <b/>
      <sz val="12"/>
      <name val="Arial"/>
      <family val="2"/>
    </font>
    <font>
      <sz val="12"/>
      <name val="Arial"/>
      <family val="2"/>
    </font>
    <font>
      <sz val="12"/>
      <color rgb="FF000000"/>
      <name val="Arial"/>
      <family val="2"/>
    </font>
    <font>
      <sz val="10"/>
      <name val="Times New Roman"/>
      <family val="1"/>
    </font>
    <font>
      <sz val="12"/>
      <name val="Calibri"/>
      <family val="2"/>
    </font>
    <font>
      <sz val="12"/>
      <color rgb="FF000000"/>
      <name val="Calibri"/>
      <family val="2"/>
    </font>
    <font>
      <sz val="12"/>
      <name val="Arial"/>
      <family val="2"/>
    </font>
    <font>
      <b/>
      <sz val="11"/>
      <name val="Calibri"/>
      <family val="2"/>
    </font>
    <font>
      <sz val="14"/>
      <name val="Calibri"/>
      <family val="2"/>
    </font>
    <font>
      <sz val="7"/>
      <name val="Arial"/>
      <family val="2"/>
    </font>
    <font>
      <sz val="24"/>
      <name val="Arial"/>
      <family val="2"/>
    </font>
    <font>
      <sz val="10"/>
      <name val="Arial"/>
      <family val="2"/>
    </font>
    <font>
      <sz val="8"/>
      <name val="Arial"/>
      <family val="2"/>
    </font>
    <font>
      <sz val="9"/>
      <name val="Arial Narrow"/>
      <family val="2"/>
    </font>
    <font>
      <sz val="9"/>
      <color rgb="FF000000"/>
      <name val="Arial Narrow"/>
      <family val="2"/>
    </font>
    <font>
      <b/>
      <sz val="9"/>
      <name val="Arial Narrow"/>
      <family val="2"/>
    </font>
    <font>
      <b/>
      <sz val="9"/>
      <color rgb="FF000000"/>
      <name val="Arial Narrow"/>
      <family val="2"/>
    </font>
    <font>
      <sz val="9"/>
      <name val="Arial"/>
      <family val="2"/>
    </font>
    <font>
      <b/>
      <sz val="9"/>
      <name val="Arial"/>
      <family val="2"/>
    </font>
    <font>
      <b/>
      <sz val="10"/>
      <name val="Arial"/>
      <family val="2"/>
    </font>
    <font>
      <b/>
      <sz val="8"/>
      <name val="Arial"/>
      <family val="2"/>
    </font>
    <font>
      <sz val="7"/>
      <name val="Calibri"/>
      <family val="2"/>
    </font>
    <font>
      <b/>
      <sz val="11"/>
      <name val="Arial"/>
      <family val="2"/>
    </font>
    <font>
      <sz val="9"/>
      <name val="Arial"/>
      <family val="2"/>
    </font>
    <font>
      <sz val="11"/>
      <name val="Arial"/>
      <family val="2"/>
    </font>
    <font>
      <b/>
      <sz val="14"/>
      <color rgb="FF000000"/>
      <name val="Arial"/>
      <family val="2"/>
    </font>
    <font>
      <sz val="10"/>
      <name val="Arial Narrow"/>
      <family val="2"/>
    </font>
    <font>
      <b/>
      <sz val="10"/>
      <name val="Arial Narrow"/>
      <family val="2"/>
    </font>
    <font>
      <b/>
      <sz val="7"/>
      <name val="Arial"/>
      <family val="2"/>
    </font>
    <font>
      <sz val="8"/>
      <name val="Calibri"/>
      <family val="2"/>
    </font>
    <font>
      <sz val="11"/>
      <name val="Calibri"/>
      <family val="2"/>
    </font>
    <font>
      <b/>
      <sz val="24"/>
      <name val="Arial"/>
      <family val="2"/>
    </font>
    <font>
      <b/>
      <sz val="14"/>
      <name val="Arial"/>
      <family val="2"/>
    </font>
    <font>
      <b/>
      <sz val="20"/>
      <name val="Arial"/>
      <family val="2"/>
    </font>
    <font>
      <b/>
      <sz val="11"/>
      <name val="Arial"/>
      <family val="2"/>
    </font>
    <font>
      <b/>
      <sz val="16"/>
      <name val="Arial"/>
      <family val="2"/>
    </font>
    <font>
      <b/>
      <sz val="10"/>
      <name val="Arial"/>
      <family val="2"/>
    </font>
    <font>
      <sz val="11"/>
      <name val="Arial"/>
      <family val="2"/>
    </font>
    <font>
      <u/>
      <sz val="11"/>
      <name val="Calibri"/>
      <family val="2"/>
    </font>
    <font>
      <sz val="11"/>
      <color rgb="FF000000"/>
      <name val="Calibri"/>
      <family val="2"/>
    </font>
    <font>
      <b/>
      <sz val="8"/>
      <color rgb="FF4189AB"/>
      <name val="Verdana"/>
      <family val="2"/>
    </font>
    <font>
      <sz val="11"/>
      <color rgb="FF000000"/>
      <name val="Arial"/>
      <family val="2"/>
    </font>
    <font>
      <b/>
      <sz val="9"/>
      <color rgb="FFFF0000"/>
      <name val="Arial"/>
      <family val="2"/>
    </font>
    <font>
      <b/>
      <u/>
      <sz val="9"/>
      <name val="Arial"/>
      <family val="2"/>
    </font>
    <font>
      <b/>
      <u/>
      <sz val="12"/>
      <name val="Arial"/>
      <family val="2"/>
    </font>
    <font>
      <sz val="12"/>
      <name val="Arial"/>
      <family val="2"/>
    </font>
    <font>
      <sz val="11"/>
      <name val="Calibri"/>
      <family val="2"/>
    </font>
    <font>
      <b/>
      <sz val="24"/>
      <name val="Arial"/>
      <family val="2"/>
    </font>
    <font>
      <sz val="11"/>
      <name val="Calibri"/>
      <family val="2"/>
      <scheme val="minor"/>
    </font>
    <font>
      <sz val="11"/>
      <name val="Arial"/>
      <family val="2"/>
    </font>
    <font>
      <sz val="12"/>
      <name val="Calibri"/>
      <family val="2"/>
      <scheme val="minor"/>
    </font>
    <font>
      <sz val="11"/>
      <color indexed="8"/>
      <name val="Calibri"/>
      <family val="2"/>
    </font>
    <font>
      <sz val="11"/>
      <color theme="0"/>
      <name val="Calibri"/>
      <family val="2"/>
      <scheme val="minor"/>
    </font>
    <font>
      <sz val="11"/>
      <color theme="0"/>
      <name val="Calibri"/>
      <family val="2"/>
    </font>
    <font>
      <b/>
      <sz val="18"/>
      <name val="Arial"/>
      <family val="2"/>
    </font>
    <font>
      <sz val="18"/>
      <name val="Calibri"/>
      <family val="2"/>
    </font>
    <font>
      <b/>
      <sz val="12"/>
      <color rgb="FFFF0000"/>
      <name val="Arial"/>
      <family val="2"/>
    </font>
    <font>
      <sz val="11"/>
      <color theme="1"/>
      <name val="Arial Narrow"/>
      <family val="2"/>
    </font>
    <font>
      <sz val="12"/>
      <color indexed="8"/>
      <name val="Arial"/>
      <family val="2"/>
    </font>
    <font>
      <b/>
      <sz val="16"/>
      <name val="Calibri"/>
      <family val="2"/>
      <scheme val="minor"/>
    </font>
    <font>
      <sz val="14"/>
      <name val="Calibri"/>
      <family val="2"/>
      <scheme val="minor"/>
    </font>
    <font>
      <sz val="12"/>
      <color rgb="FF1F1F1F"/>
      <name val="Arial"/>
      <family val="2"/>
    </font>
    <font>
      <sz val="11"/>
      <name val="Calibri"/>
      <family val="2"/>
      <scheme val="minor"/>
    </font>
    <font>
      <sz val="10"/>
      <color rgb="FF000000"/>
      <name val="Arial"/>
      <family val="2"/>
    </font>
    <font>
      <sz val="10"/>
      <name val="Calibri"/>
      <family val="2"/>
    </font>
    <font>
      <sz val="12"/>
      <color theme="1"/>
      <name val="Calibri"/>
      <family val="2"/>
    </font>
    <font>
      <sz val="12"/>
      <color theme="1"/>
      <name val="Calibri"/>
      <family val="2"/>
      <scheme val="minor"/>
    </font>
    <font>
      <b/>
      <sz val="12"/>
      <color theme="1"/>
      <name val="Calibri"/>
      <family val="2"/>
      <scheme val="minor"/>
    </font>
    <font>
      <b/>
      <sz val="12"/>
      <color rgb="FFFF0000"/>
      <name val="Calibri"/>
      <family val="2"/>
    </font>
    <font>
      <b/>
      <sz val="12"/>
      <name val="Calibri"/>
      <family val="2"/>
    </font>
    <font>
      <sz val="11"/>
      <name val="Arial Narrow"/>
      <family val="2"/>
    </font>
    <font>
      <sz val="11"/>
      <color rgb="FF000000"/>
      <name val="Arial Narrow"/>
      <family val="2"/>
    </font>
    <font>
      <sz val="11"/>
      <name val="Calibri"/>
      <scheme val="minor"/>
    </font>
  </fonts>
  <fills count="23">
    <fill>
      <patternFill patternType="none"/>
    </fill>
    <fill>
      <patternFill patternType="gray125"/>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FFFF99"/>
        <bgColor rgb="FFFFFF99"/>
      </patternFill>
    </fill>
    <fill>
      <patternFill patternType="solid">
        <fgColor rgb="FFEAF1DD"/>
        <bgColor rgb="FFEAF1DD"/>
      </patternFill>
    </fill>
    <fill>
      <patternFill patternType="solid">
        <fgColor rgb="FF75DBFF"/>
        <bgColor rgb="FF75DBFF"/>
      </patternFill>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rgb="FFE5B8B7"/>
        <bgColor rgb="FFE5B8B7"/>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rgb="FF92D050"/>
      </patternFill>
    </fill>
    <fill>
      <patternFill patternType="solid">
        <fgColor theme="0"/>
        <bgColor indexed="64"/>
      </patternFill>
    </fill>
    <fill>
      <patternFill patternType="solid">
        <fgColor theme="5" tint="0.59999389629810485"/>
        <bgColor indexed="64"/>
      </patternFill>
    </fill>
  </fills>
  <borders count="188">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medium">
        <color rgb="FF000000"/>
      </left>
      <right/>
      <top style="medium">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medium">
        <color rgb="FF000000"/>
      </left>
      <right/>
      <top/>
      <bottom style="thin">
        <color rgb="FF000000"/>
      </bottom>
      <diagonal/>
    </border>
    <border>
      <left/>
      <right/>
      <top/>
      <bottom style="medium">
        <color rgb="FF000000"/>
      </bottom>
      <diagonal/>
    </border>
    <border>
      <left/>
      <right/>
      <top/>
      <bottom/>
      <diagonal/>
    </border>
    <border>
      <left/>
      <right/>
      <top/>
      <bottom/>
      <diagonal/>
    </border>
    <border>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diagonal/>
    </border>
    <border>
      <left/>
      <right style="medium">
        <color rgb="FF000000"/>
      </right>
      <top/>
      <bottom style="medium">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medium">
        <color rgb="FF000000"/>
      </left>
      <right/>
      <top style="thin">
        <color rgb="FF000000"/>
      </top>
      <bottom/>
      <diagonal/>
    </border>
    <border>
      <left/>
      <right style="thin">
        <color rgb="FF000000"/>
      </right>
      <top style="medium">
        <color rgb="FF000000"/>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theme="4" tint="0.79998168889431442"/>
      </top>
      <bottom style="thin">
        <color theme="4" tint="0.7999816888943144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style="medium">
        <color auto="1"/>
      </right>
      <top/>
      <bottom style="medium">
        <color indexed="64"/>
      </bottom>
      <diagonal/>
    </border>
    <border>
      <left style="medium">
        <color auto="1"/>
      </left>
      <right/>
      <top/>
      <bottom style="medium">
        <color auto="1"/>
      </bottom>
      <diagonal/>
    </border>
    <border>
      <left/>
      <right style="thin">
        <color indexed="64"/>
      </right>
      <top style="medium">
        <color indexed="64"/>
      </top>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right/>
      <top style="medium">
        <color indexed="64"/>
      </top>
      <bottom/>
      <diagonal/>
    </border>
    <border>
      <left/>
      <right style="medium">
        <color indexed="64"/>
      </right>
      <top style="medium">
        <color indexed="64"/>
      </top>
      <bottom/>
      <diagonal/>
    </border>
    <border>
      <left/>
      <right/>
      <top style="medium">
        <color rgb="FF000000"/>
      </top>
      <bottom style="medium">
        <color indexed="64"/>
      </bottom>
      <diagonal/>
    </border>
    <border>
      <left/>
      <right style="medium">
        <color indexed="64"/>
      </right>
      <top/>
      <bottom/>
      <diagonal/>
    </border>
    <border>
      <left style="thin">
        <color rgb="FF000000"/>
      </left>
      <right/>
      <top/>
      <bottom style="medium">
        <color indexed="64"/>
      </bottom>
      <diagonal/>
    </border>
    <border>
      <left style="medium">
        <color rgb="FF000000"/>
      </left>
      <right style="thin">
        <color rgb="FF000000"/>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s>
  <cellStyleXfs count="10">
    <xf numFmtId="0" fontId="0" fillId="0" borderId="0"/>
    <xf numFmtId="43" fontId="56" fillId="0" borderId="0" applyFont="0" applyFill="0" applyBorder="0" applyAlignment="0" applyProtection="0"/>
    <xf numFmtId="9" fontId="56" fillId="0" borderId="0" applyFont="0" applyFill="0" applyBorder="0" applyAlignment="0" applyProtection="0"/>
    <xf numFmtId="187" fontId="59" fillId="0" borderId="93" applyFont="0" applyFill="0" applyBorder="0" applyAlignment="0" applyProtection="0"/>
    <xf numFmtId="0" fontId="70" fillId="0" borderId="93"/>
    <xf numFmtId="43" fontId="56" fillId="0" borderId="93" applyFont="0" applyFill="0" applyBorder="0" applyAlignment="0" applyProtection="0"/>
    <xf numFmtId="9" fontId="56" fillId="0" borderId="93" applyFont="0" applyFill="0" applyBorder="0" applyAlignment="0" applyProtection="0"/>
    <xf numFmtId="0" fontId="56" fillId="0" borderId="93"/>
    <xf numFmtId="0" fontId="80" fillId="0" borderId="93"/>
    <xf numFmtId="164" fontId="56" fillId="0" borderId="93" applyFont="0" applyFill="0" applyBorder="0" applyAlignment="0" applyProtection="0"/>
  </cellStyleXfs>
  <cellXfs count="1088">
    <xf numFmtId="0" fontId="0" fillId="0" borderId="0" xfId="0"/>
    <xf numFmtId="0" fontId="1" fillId="0" borderId="0" xfId="0" applyFont="1" applyAlignment="1">
      <alignment horizontal="center"/>
    </xf>
    <xf numFmtId="0" fontId="1" fillId="0" borderId="0" xfId="0" applyFont="1" applyAlignment="1">
      <alignment horizontal="center" vertical="center"/>
    </xf>
    <xf numFmtId="0" fontId="9" fillId="6" borderId="30"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9" fillId="3" borderId="29" xfId="0" applyFont="1" applyFill="1" applyBorder="1" applyAlignment="1">
      <alignment horizontal="center" vertical="center" wrapText="1"/>
    </xf>
    <xf numFmtId="2" fontId="10" fillId="0" borderId="44" xfId="0" applyNumberFormat="1" applyFont="1" applyBorder="1" applyAlignment="1">
      <alignment horizontal="center" vertical="center"/>
    </xf>
    <xf numFmtId="2" fontId="10" fillId="7" borderId="44" xfId="0" applyNumberFormat="1" applyFont="1" applyFill="1" applyBorder="1" applyAlignment="1">
      <alignment horizontal="center" vertical="center"/>
    </xf>
    <xf numFmtId="2" fontId="9" fillId="0" borderId="44" xfId="0" applyNumberFormat="1" applyFont="1" applyBorder="1" applyAlignment="1">
      <alignment horizontal="center" vertical="center"/>
    </xf>
    <xf numFmtId="170" fontId="9" fillId="0" borderId="44" xfId="0" applyNumberFormat="1" applyFont="1" applyBorder="1" applyAlignment="1">
      <alignment horizontal="center" vertical="center"/>
    </xf>
    <xf numFmtId="165" fontId="1" fillId="0" borderId="0" xfId="0" applyNumberFormat="1" applyFont="1" applyAlignment="1">
      <alignment horizontal="center"/>
    </xf>
    <xf numFmtId="171" fontId="1" fillId="0" borderId="0" xfId="0" applyNumberFormat="1" applyFont="1"/>
    <xf numFmtId="167" fontId="1" fillId="0" borderId="0" xfId="0" applyNumberFormat="1" applyFont="1" applyAlignment="1">
      <alignment horizontal="center"/>
    </xf>
    <xf numFmtId="0" fontId="15" fillId="8" borderId="44" xfId="0" applyFont="1" applyFill="1" applyBorder="1" applyAlignment="1">
      <alignment horizontal="center" vertical="center"/>
    </xf>
    <xf numFmtId="2" fontId="1" fillId="0" borderId="0" xfId="0" applyNumberFormat="1" applyFont="1"/>
    <xf numFmtId="0" fontId="1" fillId="0" borderId="44" xfId="0" applyFont="1" applyBorder="1" applyAlignment="1">
      <alignment horizontal="center" vertical="center"/>
    </xf>
    <xf numFmtId="0" fontId="19" fillId="9" borderId="1" xfId="0" applyFont="1" applyFill="1" applyBorder="1" applyAlignment="1">
      <alignment vertical="center"/>
    </xf>
    <xf numFmtId="10" fontId="19" fillId="9" borderId="1" xfId="0" applyNumberFormat="1" applyFont="1" applyFill="1" applyBorder="1" applyAlignment="1">
      <alignment vertical="center"/>
    </xf>
    <xf numFmtId="0" fontId="19" fillId="0" borderId="0" xfId="0" applyFont="1" applyAlignment="1">
      <alignment vertical="center"/>
    </xf>
    <xf numFmtId="172" fontId="1" fillId="0" borderId="0" xfId="0" applyNumberFormat="1" applyFont="1"/>
    <xf numFmtId="174" fontId="1" fillId="0" borderId="0" xfId="0" applyNumberFormat="1" applyFont="1"/>
    <xf numFmtId="167" fontId="10" fillId="7" borderId="44" xfId="0" applyNumberFormat="1" applyFont="1" applyFill="1" applyBorder="1" applyAlignment="1">
      <alignment horizontal="center" vertical="center"/>
    </xf>
    <xf numFmtId="2" fontId="10" fillId="10" borderId="44" xfId="0" applyNumberFormat="1" applyFont="1" applyFill="1" applyBorder="1" applyAlignment="1">
      <alignment horizontal="center" vertical="center"/>
    </xf>
    <xf numFmtId="4" fontId="9" fillId="10" borderId="44" xfId="0" applyNumberFormat="1" applyFont="1" applyFill="1" applyBorder="1" applyAlignment="1">
      <alignment horizontal="center" vertical="center" wrapText="1"/>
    </xf>
    <xf numFmtId="170" fontId="9" fillId="7" borderId="44" xfId="0" applyNumberFormat="1" applyFont="1" applyFill="1" applyBorder="1" applyAlignment="1">
      <alignment horizontal="center" vertical="center"/>
    </xf>
    <xf numFmtId="3" fontId="9" fillId="10" borderId="44" xfId="0" applyNumberFormat="1" applyFont="1" applyFill="1" applyBorder="1" applyAlignment="1">
      <alignment horizontal="center" vertical="center" wrapText="1"/>
    </xf>
    <xf numFmtId="9" fontId="1" fillId="0" borderId="0" xfId="0" applyNumberFormat="1" applyFont="1" applyAlignment="1">
      <alignment horizontal="center"/>
    </xf>
    <xf numFmtId="171" fontId="1" fillId="11" borderId="1" xfId="0" applyNumberFormat="1" applyFont="1" applyFill="1" applyBorder="1" applyAlignment="1">
      <alignment horizontal="center"/>
    </xf>
    <xf numFmtId="0" fontId="44" fillId="3" borderId="107" xfId="0" applyFont="1" applyFill="1" applyBorder="1" applyAlignment="1">
      <alignment horizontal="center" vertical="center"/>
    </xf>
    <xf numFmtId="0" fontId="44" fillId="2" borderId="77" xfId="0" applyFont="1" applyFill="1" applyBorder="1" applyAlignment="1">
      <alignment horizontal="center" vertical="center" wrapText="1"/>
    </xf>
    <xf numFmtId="0" fontId="44" fillId="2" borderId="106" xfId="0" applyFont="1" applyFill="1" applyBorder="1" applyAlignment="1">
      <alignment horizontal="center" vertical="center" wrapText="1"/>
    </xf>
    <xf numFmtId="0" fontId="1" fillId="0" borderId="37" xfId="0" applyFont="1" applyBorder="1" applyAlignment="1">
      <alignment horizontal="left"/>
    </xf>
    <xf numFmtId="168" fontId="1" fillId="0" borderId="37" xfId="0" applyNumberFormat="1" applyFont="1" applyBorder="1"/>
    <xf numFmtId="0" fontId="1" fillId="0" borderId="44" xfId="0" applyFont="1" applyBorder="1" applyAlignment="1">
      <alignment horizontal="left"/>
    </xf>
    <xf numFmtId="168" fontId="1" fillId="0" borderId="44" xfId="0" applyNumberFormat="1" applyFont="1" applyBorder="1"/>
    <xf numFmtId="0" fontId="1" fillId="0" borderId="46" xfId="0" applyFont="1" applyBorder="1" applyAlignment="1">
      <alignment horizontal="left"/>
    </xf>
    <xf numFmtId="168" fontId="1" fillId="0" borderId="46" xfId="0" applyNumberFormat="1" applyFont="1" applyBorder="1"/>
    <xf numFmtId="0" fontId="1" fillId="0" borderId="43" xfId="0" applyFont="1" applyBorder="1" applyAlignment="1">
      <alignment horizontal="left"/>
    </xf>
    <xf numFmtId="168" fontId="1" fillId="0" borderId="43" xfId="0" applyNumberFormat="1" applyFont="1" applyBorder="1"/>
    <xf numFmtId="0" fontId="1" fillId="0" borderId="37" xfId="0" applyFont="1" applyBorder="1"/>
    <xf numFmtId="0" fontId="1" fillId="0" borderId="44" xfId="0" applyFont="1" applyBorder="1"/>
    <xf numFmtId="0" fontId="1" fillId="0" borderId="46" xfId="0" applyFont="1" applyBorder="1"/>
    <xf numFmtId="168" fontId="1" fillId="0" borderId="38" xfId="0" applyNumberFormat="1" applyFont="1" applyBorder="1"/>
    <xf numFmtId="168" fontId="1" fillId="0" borderId="72" xfId="0" applyNumberFormat="1" applyFont="1" applyBorder="1"/>
    <xf numFmtId="168" fontId="1" fillId="0" borderId="45" xfId="0" applyNumberFormat="1" applyFont="1" applyBorder="1"/>
    <xf numFmtId="168" fontId="1" fillId="0" borderId="73" xfId="0" applyNumberFormat="1" applyFont="1" applyBorder="1"/>
    <xf numFmtId="168" fontId="1" fillId="0" borderId="54" xfId="0" applyNumberFormat="1" applyFont="1" applyBorder="1"/>
    <xf numFmtId="168" fontId="1" fillId="0" borderId="75" xfId="0" applyNumberFormat="1" applyFont="1" applyBorder="1"/>
    <xf numFmtId="0" fontId="1" fillId="0" borderId="3" xfId="0" applyFont="1" applyBorder="1" applyAlignment="1">
      <alignment horizontal="left"/>
    </xf>
    <xf numFmtId="0" fontId="1" fillId="0" borderId="0" xfId="0" applyFont="1" applyAlignment="1">
      <alignment horizontal="left"/>
    </xf>
    <xf numFmtId="174" fontId="1" fillId="0" borderId="7" xfId="0" applyNumberFormat="1" applyFont="1" applyBorder="1"/>
    <xf numFmtId="0" fontId="1" fillId="0" borderId="7" xfId="0" applyFont="1" applyBorder="1"/>
    <xf numFmtId="10" fontId="1" fillId="0" borderId="7" xfId="0" applyNumberFormat="1" applyFont="1" applyBorder="1"/>
    <xf numFmtId="9" fontId="1" fillId="0" borderId="0" xfId="0" applyNumberFormat="1" applyFont="1"/>
    <xf numFmtId="0" fontId="44" fillId="3" borderId="29" xfId="0" applyFont="1" applyFill="1" applyBorder="1" applyAlignment="1">
      <alignment horizontal="center" vertical="center"/>
    </xf>
    <xf numFmtId="0" fontId="44" fillId="2" borderId="30" xfId="0" applyFont="1" applyFill="1" applyBorder="1" applyAlignment="1">
      <alignment horizontal="center" vertical="center" wrapText="1"/>
    </xf>
    <xf numFmtId="0" fontId="44" fillId="2" borderId="31" xfId="0" applyFont="1" applyFill="1" applyBorder="1" applyAlignment="1">
      <alignment horizontal="center" vertical="center" wrapText="1"/>
    </xf>
    <xf numFmtId="172" fontId="1" fillId="0" borderId="37" xfId="0" applyNumberFormat="1" applyFont="1" applyBorder="1"/>
    <xf numFmtId="10" fontId="1" fillId="0" borderId="23" xfId="0" applyNumberFormat="1" applyFont="1" applyBorder="1" applyAlignment="1">
      <alignment horizontal="center" vertical="center"/>
    </xf>
    <xf numFmtId="172" fontId="1" fillId="0" borderId="44" xfId="0" applyNumberFormat="1" applyFont="1" applyBorder="1"/>
    <xf numFmtId="172" fontId="1" fillId="0" borderId="46" xfId="0" applyNumberFormat="1" applyFont="1" applyBorder="1"/>
    <xf numFmtId="170" fontId="1" fillId="0" borderId="3" xfId="0" applyNumberFormat="1" applyFont="1" applyBorder="1"/>
    <xf numFmtId="170" fontId="1" fillId="0" borderId="0" xfId="0" applyNumberFormat="1" applyFont="1"/>
    <xf numFmtId="172" fontId="1" fillId="0" borderId="43" xfId="0" applyNumberFormat="1" applyFont="1" applyBorder="1"/>
    <xf numFmtId="172" fontId="1" fillId="0" borderId="38" xfId="0" applyNumberFormat="1" applyFont="1" applyBorder="1"/>
    <xf numFmtId="172" fontId="1" fillId="0" borderId="45" xfId="0" applyNumberFormat="1" applyFont="1" applyBorder="1"/>
    <xf numFmtId="172" fontId="1" fillId="0" borderId="65" xfId="0" applyNumberFormat="1" applyFont="1" applyBorder="1"/>
    <xf numFmtId="178" fontId="1" fillId="0" borderId="40" xfId="0" applyNumberFormat="1" applyFont="1" applyBorder="1"/>
    <xf numFmtId="178" fontId="1" fillId="0" borderId="47" xfId="0" applyNumberFormat="1" applyFont="1" applyBorder="1"/>
    <xf numFmtId="178" fontId="1" fillId="0" borderId="55" xfId="0" applyNumberFormat="1" applyFont="1" applyBorder="1"/>
    <xf numFmtId="0" fontId="1" fillId="0" borderId="118" xfId="0" applyFont="1" applyBorder="1"/>
    <xf numFmtId="174" fontId="1" fillId="0" borderId="39" xfId="0" applyNumberFormat="1" applyFont="1" applyBorder="1"/>
    <xf numFmtId="178" fontId="1" fillId="0" borderId="39" xfId="0" applyNumberFormat="1" applyFont="1" applyBorder="1"/>
    <xf numFmtId="179" fontId="1" fillId="0" borderId="39" xfId="0" applyNumberFormat="1" applyFont="1" applyBorder="1"/>
    <xf numFmtId="10" fontId="1" fillId="0" borderId="119" xfId="0" applyNumberFormat="1" applyFont="1" applyBorder="1" applyAlignment="1">
      <alignment horizontal="center" vertical="center"/>
    </xf>
    <xf numFmtId="0" fontId="1" fillId="0" borderId="51" xfId="0" applyFont="1" applyBorder="1"/>
    <xf numFmtId="174" fontId="1" fillId="0" borderId="24" xfId="0" applyNumberFormat="1" applyFont="1" applyBorder="1"/>
    <xf numFmtId="178" fontId="1" fillId="0" borderId="24" xfId="0" applyNumberFormat="1" applyFont="1" applyBorder="1"/>
    <xf numFmtId="179" fontId="1" fillId="0" borderId="24" xfId="0" applyNumberFormat="1" applyFont="1" applyBorder="1"/>
    <xf numFmtId="0" fontId="1" fillId="0" borderId="48" xfId="0" applyFont="1" applyBorder="1"/>
    <xf numFmtId="0" fontId="1" fillId="0" borderId="49" xfId="0" applyFont="1" applyBorder="1"/>
    <xf numFmtId="0" fontId="1" fillId="0" borderId="50" xfId="0" applyFont="1" applyBorder="1"/>
    <xf numFmtId="0" fontId="1" fillId="0" borderId="53" xfId="0" applyFont="1" applyBorder="1"/>
    <xf numFmtId="184" fontId="1" fillId="0" borderId="46" xfId="0" applyNumberFormat="1" applyFont="1" applyBorder="1"/>
    <xf numFmtId="10" fontId="1" fillId="0" borderId="0" xfId="0" applyNumberFormat="1" applyFont="1"/>
    <xf numFmtId="0" fontId="44" fillId="3" borderId="50" xfId="0" applyFont="1" applyFill="1" applyBorder="1" applyAlignment="1">
      <alignment horizontal="center" vertical="center"/>
    </xf>
    <xf numFmtId="0" fontId="44" fillId="2" borderId="44" xfId="0" applyFont="1" applyFill="1" applyBorder="1" applyAlignment="1">
      <alignment horizontal="center" vertical="center" wrapText="1"/>
    </xf>
    <xf numFmtId="0" fontId="44" fillId="2" borderId="47" xfId="0" applyFont="1" applyFill="1" applyBorder="1" applyAlignment="1">
      <alignment horizontal="center" vertical="center" wrapText="1"/>
    </xf>
    <xf numFmtId="0" fontId="1" fillId="0" borderId="47" xfId="0" applyFont="1" applyBorder="1"/>
    <xf numFmtId="0" fontId="44" fillId="2" borderId="115" xfId="0" applyFont="1" applyFill="1" applyBorder="1" applyAlignment="1">
      <alignment horizontal="center" vertical="center" wrapText="1"/>
    </xf>
    <xf numFmtId="0" fontId="44" fillId="2" borderId="36" xfId="0" applyFont="1" applyFill="1" applyBorder="1" applyAlignment="1">
      <alignment horizontal="center" vertical="center" wrapText="1"/>
    </xf>
    <xf numFmtId="0" fontId="44" fillId="2" borderId="37" xfId="0" applyFont="1" applyFill="1" applyBorder="1" applyAlignment="1">
      <alignment horizontal="center" vertical="center" wrapText="1"/>
    </xf>
    <xf numFmtId="0" fontId="44" fillId="2" borderId="37" xfId="0" applyFont="1" applyFill="1" applyBorder="1" applyAlignment="1">
      <alignment horizontal="center" vertical="top" wrapText="1"/>
    </xf>
    <xf numFmtId="0" fontId="44" fillId="2" borderId="40" xfId="0" applyFont="1" applyFill="1" applyBorder="1" applyAlignment="1">
      <alignment horizontal="center" vertical="center" wrapText="1"/>
    </xf>
    <xf numFmtId="0" fontId="45" fillId="0" borderId="50" xfId="0" applyFont="1" applyBorder="1"/>
    <xf numFmtId="0" fontId="1" fillId="0" borderId="43" xfId="0" applyFont="1" applyBorder="1" applyAlignment="1">
      <alignment horizontal="center" vertical="center"/>
    </xf>
    <xf numFmtId="0" fontId="1" fillId="0" borderId="44" xfId="0" applyFont="1" applyBorder="1" applyAlignment="1">
      <alignment horizontal="center"/>
    </xf>
    <xf numFmtId="0" fontId="45" fillId="0" borderId="50" xfId="0" applyFont="1" applyBorder="1" applyAlignment="1">
      <alignment vertical="center"/>
    </xf>
    <xf numFmtId="0" fontId="1" fillId="0" borderId="44" xfId="0" applyFont="1" applyBorder="1" applyAlignment="1">
      <alignment vertical="center"/>
    </xf>
    <xf numFmtId="9" fontId="1" fillId="0" borderId="44" xfId="0" applyNumberFormat="1" applyFont="1" applyBorder="1" applyAlignment="1">
      <alignment vertical="center"/>
    </xf>
    <xf numFmtId="0" fontId="1" fillId="0" borderId="47" xfId="0" applyFont="1" applyBorder="1" applyAlignment="1">
      <alignment vertical="center"/>
    </xf>
    <xf numFmtId="0" fontId="1" fillId="0" borderId="0" xfId="0" applyFont="1" applyAlignment="1">
      <alignment vertical="center"/>
    </xf>
    <xf numFmtId="10" fontId="1" fillId="0" borderId="44" xfId="0" applyNumberFormat="1" applyFont="1" applyBorder="1"/>
    <xf numFmtId="0" fontId="45" fillId="7" borderId="53" xfId="0" applyFont="1" applyFill="1" applyBorder="1"/>
    <xf numFmtId="0" fontId="1" fillId="7" borderId="55" xfId="0" applyFont="1" applyFill="1" applyBorder="1"/>
    <xf numFmtId="0" fontId="45" fillId="0" borderId="0" xfId="0" applyFont="1"/>
    <xf numFmtId="0" fontId="1" fillId="0" borderId="0" xfId="0" applyFont="1" applyAlignment="1">
      <alignment horizontal="center" vertical="center" wrapText="1"/>
    </xf>
    <xf numFmtId="0" fontId="44" fillId="3" borderId="36" xfId="0" applyFont="1" applyFill="1" applyBorder="1" applyAlignment="1">
      <alignment horizontal="center" vertical="center"/>
    </xf>
    <xf numFmtId="0" fontId="44" fillId="2" borderId="120" xfId="0" applyFont="1" applyFill="1" applyBorder="1" applyAlignment="1">
      <alignment horizontal="center" vertical="center" wrapText="1"/>
    </xf>
    <xf numFmtId="9" fontId="1" fillId="0" borderId="44" xfId="0" applyNumberFormat="1" applyFont="1" applyBorder="1"/>
    <xf numFmtId="2" fontId="1" fillId="0" borderId="44" xfId="0" applyNumberFormat="1" applyFont="1" applyBorder="1"/>
    <xf numFmtId="2" fontId="1" fillId="0" borderId="44" xfId="0" applyNumberFormat="1" applyFont="1" applyBorder="1" applyAlignment="1">
      <alignment vertical="center"/>
    </xf>
    <xf numFmtId="0" fontId="45" fillId="0" borderId="53" xfId="0" applyFont="1" applyBorder="1"/>
    <xf numFmtId="0" fontId="1" fillId="0" borderId="46" xfId="0" applyFont="1" applyBorder="1" applyAlignment="1">
      <alignment horizontal="center" vertical="center"/>
    </xf>
    <xf numFmtId="2" fontId="1" fillId="0" borderId="46" xfId="0" applyNumberFormat="1" applyFont="1" applyBorder="1"/>
    <xf numFmtId="9" fontId="1" fillId="0" borderId="46" xfId="0" applyNumberFormat="1" applyFont="1" applyBorder="1"/>
    <xf numFmtId="0" fontId="1" fillId="0" borderId="46" xfId="0" applyFont="1" applyBorder="1" applyAlignment="1">
      <alignment horizontal="center"/>
    </xf>
    <xf numFmtId="0" fontId="1" fillId="0" borderId="55" xfId="0" applyFont="1" applyBorder="1" applyAlignment="1">
      <alignment vertical="center"/>
    </xf>
    <xf numFmtId="0" fontId="1" fillId="7" borderId="47" xfId="0" applyFont="1" applyFill="1" applyBorder="1"/>
    <xf numFmtId="2" fontId="1" fillId="0" borderId="44" xfId="0" applyNumberFormat="1" applyFont="1" applyBorder="1" applyAlignment="1">
      <alignment horizontal="center"/>
    </xf>
    <xf numFmtId="9" fontId="1" fillId="0" borderId="44" xfId="0" applyNumberFormat="1" applyFont="1" applyBorder="1" applyAlignment="1">
      <alignment horizontal="center"/>
    </xf>
    <xf numFmtId="0" fontId="44" fillId="2" borderId="44" xfId="0" applyFont="1" applyFill="1" applyBorder="1" applyAlignment="1">
      <alignment horizontal="center" vertical="top" wrapText="1"/>
    </xf>
    <xf numFmtId="10" fontId="1" fillId="0" borderId="44" xfId="0" applyNumberFormat="1" applyFont="1" applyBorder="1" applyAlignment="1">
      <alignment horizontal="center"/>
    </xf>
    <xf numFmtId="0" fontId="1" fillId="0" borderId="60" xfId="0" applyFont="1" applyBorder="1" applyAlignment="1">
      <alignment vertical="center"/>
    </xf>
    <xf numFmtId="2" fontId="1" fillId="0" borderId="46" xfId="0" applyNumberFormat="1" applyFont="1" applyBorder="1" applyAlignment="1">
      <alignment horizontal="center"/>
    </xf>
    <xf numFmtId="10" fontId="1" fillId="0" borderId="46" xfId="0" applyNumberFormat="1" applyFont="1" applyBorder="1" applyAlignment="1">
      <alignment horizontal="center"/>
    </xf>
    <xf numFmtId="9" fontId="1" fillId="0" borderId="46" xfId="0" applyNumberFormat="1" applyFont="1" applyBorder="1" applyAlignment="1">
      <alignment horizontal="center"/>
    </xf>
    <xf numFmtId="0" fontId="1" fillId="0" borderId="55" xfId="0" applyFont="1" applyBorder="1"/>
    <xf numFmtId="0" fontId="45" fillId="7" borderId="47" xfId="0" applyFont="1" applyFill="1" applyBorder="1"/>
    <xf numFmtId="0" fontId="45" fillId="0" borderId="47" xfId="0" applyFont="1" applyBorder="1"/>
    <xf numFmtId="0" fontId="45" fillId="0" borderId="55" xfId="0" applyFont="1" applyBorder="1"/>
    <xf numFmtId="0" fontId="44" fillId="2" borderId="46" xfId="0" applyFont="1" applyFill="1" applyBorder="1" applyAlignment="1">
      <alignment horizontal="center" vertical="center" wrapText="1"/>
    </xf>
    <xf numFmtId="0" fontId="44" fillId="2" borderId="55" xfId="0" applyFont="1" applyFill="1" applyBorder="1" applyAlignment="1">
      <alignment horizontal="center" vertical="center" wrapText="1"/>
    </xf>
    <xf numFmtId="0" fontId="45" fillId="0" borderId="48" xfId="0" applyFont="1" applyBorder="1"/>
    <xf numFmtId="0" fontId="1" fillId="0" borderId="92" xfId="0" applyFont="1" applyBorder="1"/>
    <xf numFmtId="175" fontId="1" fillId="0" borderId="0" xfId="0" applyNumberFormat="1" applyFont="1"/>
    <xf numFmtId="0" fontId="45" fillId="7" borderId="55" xfId="0" applyFont="1" applyFill="1" applyBorder="1"/>
    <xf numFmtId="0" fontId="45" fillId="0" borderId="0" xfId="0" applyFont="1" applyAlignment="1">
      <alignment horizontal="center" vertical="top" wrapText="1"/>
    </xf>
    <xf numFmtId="0" fontId="44" fillId="2" borderId="39" xfId="0" applyFont="1" applyFill="1" applyBorder="1" applyAlignment="1">
      <alignment horizontal="center" vertical="center" wrapText="1"/>
    </xf>
    <xf numFmtId="0" fontId="1" fillId="0" borderId="60" xfId="0" applyFont="1" applyBorder="1"/>
    <xf numFmtId="0" fontId="44" fillId="0" borderId="0" xfId="0" applyFont="1" applyAlignment="1">
      <alignment horizontal="center" vertical="center" wrapText="1"/>
    </xf>
    <xf numFmtId="0" fontId="1" fillId="0" borderId="76" xfId="0" applyFont="1" applyBorder="1"/>
    <xf numFmtId="0" fontId="44" fillId="2" borderId="119" xfId="0" applyFont="1" applyFill="1" applyBorder="1" applyAlignment="1">
      <alignment horizontal="center" vertical="center" wrapText="1"/>
    </xf>
    <xf numFmtId="172" fontId="47" fillId="0" borderId="44" xfId="0" applyNumberFormat="1" applyFont="1" applyBorder="1" applyAlignment="1">
      <alignment horizontal="right" vertical="center"/>
    </xf>
    <xf numFmtId="172" fontId="38" fillId="0" borderId="44" xfId="0" applyNumberFormat="1" applyFont="1" applyBorder="1" applyAlignment="1">
      <alignment horizontal="right" vertical="center"/>
    </xf>
    <xf numFmtId="8" fontId="48" fillId="0" borderId="0" xfId="0" applyNumberFormat="1" applyFont="1"/>
    <xf numFmtId="178" fontId="1" fillId="0" borderId="44" xfId="0" applyNumberFormat="1" applyFont="1" applyBorder="1"/>
    <xf numFmtId="8" fontId="1" fillId="0" borderId="0" xfId="0" applyNumberFormat="1" applyFont="1"/>
    <xf numFmtId="0" fontId="42" fillId="2" borderId="37" xfId="0" applyFont="1" applyFill="1" applyBorder="1" applyAlignment="1">
      <alignment horizontal="center" vertical="center" wrapText="1"/>
    </xf>
    <xf numFmtId="0" fontId="45" fillId="0" borderId="44" xfId="0" applyFont="1" applyBorder="1" applyAlignment="1">
      <alignment horizontal="center" wrapText="1"/>
    </xf>
    <xf numFmtId="0" fontId="45" fillId="0" borderId="44" xfId="0" applyFont="1" applyBorder="1"/>
    <xf numFmtId="9" fontId="45" fillId="0" borderId="44" xfId="0" applyNumberFormat="1" applyFont="1" applyBorder="1"/>
    <xf numFmtId="0" fontId="45" fillId="7" borderId="46" xfId="0" applyFont="1" applyFill="1" applyBorder="1" applyAlignment="1">
      <alignment horizontal="center" wrapText="1"/>
    </xf>
    <xf numFmtId="0" fontId="45" fillId="7" borderId="46" xfId="0" applyFont="1" applyFill="1" applyBorder="1"/>
    <xf numFmtId="9" fontId="45" fillId="7" borderId="46" xfId="0" applyNumberFormat="1" applyFont="1" applyFill="1" applyBorder="1"/>
    <xf numFmtId="0" fontId="45" fillId="0" borderId="0" xfId="0" applyFont="1" applyAlignment="1">
      <alignment horizontal="center"/>
    </xf>
    <xf numFmtId="0" fontId="42" fillId="2" borderId="77" xfId="0" applyFont="1" applyFill="1" applyBorder="1" applyAlignment="1">
      <alignment horizontal="center" vertical="center" wrapText="1"/>
    </xf>
    <xf numFmtId="0" fontId="45" fillId="0" borderId="36" xfId="0" applyFont="1" applyBorder="1"/>
    <xf numFmtId="0" fontId="45" fillId="0" borderId="37" xfId="0" applyFont="1" applyBorder="1" applyAlignment="1">
      <alignment horizontal="center"/>
    </xf>
    <xf numFmtId="0" fontId="45" fillId="0" borderId="37" xfId="0" applyFont="1" applyBorder="1"/>
    <xf numFmtId="0" fontId="45" fillId="0" borderId="40" xfId="0" applyFont="1" applyBorder="1"/>
    <xf numFmtId="0" fontId="45" fillId="0" borderId="44" xfId="0" applyFont="1" applyBorder="1" applyAlignment="1">
      <alignment horizontal="center"/>
    </xf>
    <xf numFmtId="2" fontId="45" fillId="0" borderId="44" xfId="0" applyNumberFormat="1" applyFont="1" applyBorder="1"/>
    <xf numFmtId="0" fontId="45" fillId="7" borderId="46" xfId="0" applyFont="1" applyFill="1" applyBorder="1" applyAlignment="1">
      <alignment horizontal="center"/>
    </xf>
    <xf numFmtId="0" fontId="45" fillId="0" borderId="46" xfId="0" applyFont="1" applyBorder="1" applyAlignment="1">
      <alignment horizontal="center"/>
    </xf>
    <xf numFmtId="0" fontId="45" fillId="0" borderId="46" xfId="0" applyFont="1" applyBorder="1"/>
    <xf numFmtId="9" fontId="45" fillId="0" borderId="46" xfId="0" applyNumberFormat="1" applyFont="1" applyBorder="1"/>
    <xf numFmtId="0" fontId="45" fillId="0" borderId="0" xfId="0" applyFont="1" applyAlignment="1">
      <alignment horizontal="center" vertical="center"/>
    </xf>
    <xf numFmtId="9" fontId="45" fillId="0" borderId="0" xfId="0" applyNumberFormat="1" applyFont="1"/>
    <xf numFmtId="10" fontId="45" fillId="0" borderId="44" xfId="0" applyNumberFormat="1" applyFont="1" applyBorder="1"/>
    <xf numFmtId="10" fontId="45" fillId="7" borderId="46" xfId="0" applyNumberFormat="1" applyFont="1" applyFill="1" applyBorder="1"/>
    <xf numFmtId="0" fontId="49" fillId="0" borderId="44" xfId="0" applyFont="1" applyBorder="1"/>
    <xf numFmtId="0" fontId="49" fillId="7" borderId="44" xfId="0" applyFont="1" applyFill="1" applyBorder="1"/>
    <xf numFmtId="0" fontId="45" fillId="0" borderId="43" xfId="0" applyFont="1" applyBorder="1" applyAlignment="1">
      <alignment horizontal="center" wrapText="1"/>
    </xf>
    <xf numFmtId="10" fontId="1" fillId="0" borderId="43" xfId="0" applyNumberFormat="1" applyFont="1" applyBorder="1" applyAlignment="1">
      <alignment horizontal="center"/>
    </xf>
    <xf numFmtId="10" fontId="45" fillId="0" borderId="43" xfId="0" applyNumberFormat="1" applyFont="1" applyBorder="1" applyAlignment="1">
      <alignment horizontal="center"/>
    </xf>
    <xf numFmtId="10" fontId="45" fillId="0" borderId="44" xfId="0" applyNumberFormat="1" applyFont="1" applyBorder="1" applyAlignment="1">
      <alignment horizontal="center"/>
    </xf>
    <xf numFmtId="0" fontId="45" fillId="0" borderId="49" xfId="0" applyFont="1" applyBorder="1" applyAlignment="1">
      <alignment horizontal="center" wrapText="1"/>
    </xf>
    <xf numFmtId="0" fontId="45" fillId="0" borderId="46" xfId="0" applyFont="1" applyBorder="1" applyAlignment="1">
      <alignment horizontal="center" wrapText="1"/>
    </xf>
    <xf numFmtId="10" fontId="1" fillId="0" borderId="44" xfId="0" applyNumberFormat="1" applyFont="1" applyBorder="1" applyAlignment="1">
      <alignment horizontal="right"/>
    </xf>
    <xf numFmtId="10" fontId="1" fillId="0" borderId="46" xfId="0" applyNumberFormat="1" applyFont="1" applyBorder="1" applyAlignment="1">
      <alignment horizontal="right"/>
    </xf>
    <xf numFmtId="0" fontId="42" fillId="2" borderId="44" xfId="0" applyFont="1" applyFill="1" applyBorder="1" applyAlignment="1">
      <alignment horizontal="center" vertical="center" wrapText="1"/>
    </xf>
    <xf numFmtId="0" fontId="44" fillId="3" borderId="125" xfId="0" applyFont="1" applyFill="1" applyBorder="1" applyAlignment="1">
      <alignment horizontal="center" vertical="center"/>
    </xf>
    <xf numFmtId="0" fontId="44" fillId="2" borderId="126" xfId="0" applyFont="1" applyFill="1" applyBorder="1" applyAlignment="1">
      <alignment horizontal="center" vertical="center" wrapText="1"/>
    </xf>
    <xf numFmtId="0" fontId="1" fillId="0" borderId="125" xfId="0" applyFont="1" applyBorder="1"/>
    <xf numFmtId="9" fontId="1" fillId="0" borderId="126" xfId="2" applyFont="1" applyBorder="1" applyAlignment="1">
      <alignment horizontal="center"/>
    </xf>
    <xf numFmtId="9" fontId="1" fillId="0" borderId="126" xfId="2" applyFont="1" applyFill="1" applyBorder="1" applyAlignment="1">
      <alignment horizontal="center"/>
    </xf>
    <xf numFmtId="0" fontId="1" fillId="0" borderId="127" xfId="0" applyFont="1" applyBorder="1"/>
    <xf numFmtId="0" fontId="1" fillId="0" borderId="128" xfId="0" applyFont="1" applyBorder="1"/>
    <xf numFmtId="172" fontId="1" fillId="0" borderId="128" xfId="0" applyNumberFormat="1" applyFont="1" applyBorder="1"/>
    <xf numFmtId="9" fontId="1" fillId="0" borderId="129" xfId="2" applyFont="1" applyBorder="1" applyAlignment="1">
      <alignment horizontal="center"/>
    </xf>
    <xf numFmtId="10" fontId="1" fillId="0" borderId="126" xfId="2" applyNumberFormat="1" applyFont="1" applyFill="1" applyBorder="1" applyAlignment="1">
      <alignment horizontal="center"/>
    </xf>
    <xf numFmtId="0" fontId="1" fillId="0" borderId="72" xfId="0" applyFont="1" applyBorder="1"/>
    <xf numFmtId="174" fontId="1" fillId="0" borderId="72" xfId="0" applyNumberFormat="1" applyFont="1" applyBorder="1"/>
    <xf numFmtId="174" fontId="1" fillId="0" borderId="5" xfId="0" applyNumberFormat="1" applyFont="1" applyBorder="1"/>
    <xf numFmtId="0" fontId="1" fillId="0" borderId="73" xfId="0" applyFont="1" applyBorder="1"/>
    <xf numFmtId="174" fontId="1" fillId="0" borderId="73" xfId="0" applyNumberFormat="1" applyFont="1" applyBorder="1"/>
    <xf numFmtId="174" fontId="1" fillId="0" borderId="9" xfId="0" applyNumberFormat="1" applyFont="1" applyBorder="1"/>
    <xf numFmtId="174" fontId="1" fillId="0" borderId="113" xfId="0" applyNumberFormat="1" applyFont="1" applyBorder="1"/>
    <xf numFmtId="0" fontId="1" fillId="0" borderId="75" xfId="0" applyFont="1" applyBorder="1"/>
    <xf numFmtId="174" fontId="1" fillId="0" borderId="75" xfId="0" applyNumberFormat="1" applyFont="1" applyBorder="1"/>
    <xf numFmtId="174" fontId="1" fillId="0" borderId="66" xfId="0" applyNumberFormat="1" applyFont="1" applyBorder="1"/>
    <xf numFmtId="183" fontId="1" fillId="0" borderId="72" xfId="0" applyNumberFormat="1" applyFont="1" applyBorder="1"/>
    <xf numFmtId="183" fontId="1" fillId="0" borderId="73" xfId="0" applyNumberFormat="1" applyFont="1" applyBorder="1"/>
    <xf numFmtId="0" fontId="1" fillId="0" borderId="1" xfId="0" applyFont="1" applyBorder="1" applyAlignment="1">
      <alignment horizontal="left"/>
    </xf>
    <xf numFmtId="0" fontId="1" fillId="0" borderId="12" xfId="0" applyFont="1" applyBorder="1" applyAlignment="1">
      <alignment horizontal="left"/>
    </xf>
    <xf numFmtId="183" fontId="1" fillId="0" borderId="75" xfId="0" applyNumberFormat="1" applyFont="1" applyBorder="1"/>
    <xf numFmtId="0" fontId="1" fillId="0" borderId="21" xfId="0" applyFont="1" applyBorder="1" applyAlignment="1">
      <alignment horizontal="left"/>
    </xf>
    <xf numFmtId="174" fontId="1" fillId="0" borderId="21" xfId="0" applyNumberFormat="1" applyFont="1" applyBorder="1"/>
    <xf numFmtId="0" fontId="1" fillId="0" borderId="25" xfId="0" applyFont="1" applyBorder="1" applyAlignment="1">
      <alignment horizontal="left"/>
    </xf>
    <xf numFmtId="174" fontId="1" fillId="0" borderId="25" xfId="0" applyNumberFormat="1" applyFont="1" applyBorder="1"/>
    <xf numFmtId="0" fontId="1" fillId="0" borderId="32" xfId="0" applyFont="1" applyBorder="1" applyAlignment="1">
      <alignment horizontal="left"/>
    </xf>
    <xf numFmtId="174" fontId="1" fillId="0" borderId="32" xfId="0" applyNumberFormat="1" applyFont="1" applyBorder="1"/>
    <xf numFmtId="0" fontId="1" fillId="0" borderId="112" xfId="0" applyFont="1" applyBorder="1" applyAlignment="1">
      <alignment horizontal="left"/>
    </xf>
    <xf numFmtId="174" fontId="1" fillId="0" borderId="112" xfId="0" applyNumberFormat="1" applyFont="1" applyBorder="1"/>
    <xf numFmtId="0" fontId="1" fillId="0" borderId="72" xfId="0" applyFont="1" applyBorder="1" applyAlignment="1">
      <alignment horizontal="left"/>
    </xf>
    <xf numFmtId="0" fontId="1" fillId="0" borderId="73" xfId="0" applyFont="1" applyBorder="1" applyAlignment="1">
      <alignment horizontal="left"/>
    </xf>
    <xf numFmtId="0" fontId="1" fillId="0" borderId="75" xfId="0" applyFont="1" applyBorder="1" applyAlignment="1">
      <alignment horizontal="left"/>
    </xf>
    <xf numFmtId="0" fontId="1" fillId="0" borderId="114" xfId="0" applyFont="1" applyBorder="1" applyAlignment="1">
      <alignment horizontal="left"/>
    </xf>
    <xf numFmtId="174" fontId="1" fillId="0" borderId="114" xfId="0" applyNumberFormat="1" applyFont="1" applyBorder="1"/>
    <xf numFmtId="0" fontId="1" fillId="0" borderId="38" xfId="0" applyFont="1" applyBorder="1" applyAlignment="1">
      <alignment horizontal="left"/>
    </xf>
    <xf numFmtId="0" fontId="1" fillId="0" borderId="45" xfId="0" applyFont="1" applyBorder="1" applyAlignment="1">
      <alignment horizontal="left"/>
    </xf>
    <xf numFmtId="0" fontId="1" fillId="0" borderId="115" xfId="0" applyFont="1" applyBorder="1" applyAlignment="1">
      <alignment horizontal="left"/>
    </xf>
    <xf numFmtId="0" fontId="1" fillId="0" borderId="65" xfId="0" applyFont="1" applyBorder="1" applyAlignment="1">
      <alignment horizontal="left"/>
    </xf>
    <xf numFmtId="174" fontId="1" fillId="0" borderId="4" xfId="0" applyNumberFormat="1" applyFont="1" applyBorder="1"/>
    <xf numFmtId="174" fontId="1" fillId="0" borderId="37" xfId="0" applyNumberFormat="1" applyFont="1" applyBorder="1"/>
    <xf numFmtId="174" fontId="1" fillId="0" borderId="8" xfId="0" applyNumberFormat="1" applyFont="1" applyBorder="1"/>
    <xf numFmtId="174" fontId="1" fillId="0" borderId="44" xfId="0" applyNumberFormat="1" applyFont="1" applyBorder="1"/>
    <xf numFmtId="174" fontId="1" fillId="0" borderId="116" xfId="0" applyNumberFormat="1" applyFont="1" applyBorder="1"/>
    <xf numFmtId="174" fontId="1" fillId="0" borderId="43" xfId="0" applyNumberFormat="1" applyFont="1" applyBorder="1"/>
    <xf numFmtId="174" fontId="1" fillId="0" borderId="17" xfId="0" applyNumberFormat="1" applyFont="1" applyBorder="1"/>
    <xf numFmtId="174" fontId="1" fillId="0" borderId="117" xfId="0" applyNumberFormat="1" applyFont="1" applyBorder="1"/>
    <xf numFmtId="172" fontId="1" fillId="0" borderId="72" xfId="0" applyNumberFormat="1" applyFont="1" applyBorder="1"/>
    <xf numFmtId="172" fontId="1" fillId="0" borderId="73" xfId="0" applyNumberFormat="1" applyFont="1" applyBorder="1"/>
    <xf numFmtId="172" fontId="1" fillId="0" borderId="114" xfId="0" applyNumberFormat="1" applyFont="1" applyBorder="1"/>
    <xf numFmtId="174" fontId="1" fillId="0" borderId="86" xfId="0" applyNumberFormat="1" applyFont="1" applyBorder="1"/>
    <xf numFmtId="174" fontId="1" fillId="0" borderId="46" xfId="0" applyNumberFormat="1" applyFont="1" applyBorder="1"/>
    <xf numFmtId="10" fontId="1" fillId="0" borderId="44" xfId="0" applyNumberFormat="1" applyFont="1" applyBorder="1" applyAlignment="1">
      <alignment vertical="center"/>
    </xf>
    <xf numFmtId="0" fontId="61" fillId="0" borderId="0" xfId="0" applyFont="1" applyAlignment="1">
      <alignment horizontal="center" vertical="center"/>
    </xf>
    <xf numFmtId="0" fontId="60" fillId="0" borderId="0" xfId="0" applyFont="1"/>
    <xf numFmtId="10" fontId="61" fillId="0" borderId="0" xfId="0" applyNumberFormat="1" applyFont="1"/>
    <xf numFmtId="0" fontId="61" fillId="0" borderId="7" xfId="0" applyFont="1" applyBorder="1" applyAlignment="1">
      <alignment horizontal="center" vertical="center" wrapText="1"/>
    </xf>
    <xf numFmtId="0" fontId="61" fillId="0" borderId="0" xfId="0" applyFont="1" applyAlignment="1">
      <alignment vertical="center"/>
    </xf>
    <xf numFmtId="0" fontId="61" fillId="0" borderId="0" xfId="0" applyFont="1" applyAlignment="1">
      <alignment horizontal="center" vertical="center" wrapText="1"/>
    </xf>
    <xf numFmtId="0" fontId="61" fillId="0" borderId="7" xfId="0" applyFont="1" applyBorder="1" applyAlignment="1">
      <alignment horizontal="center" vertical="center"/>
    </xf>
    <xf numFmtId="180" fontId="1" fillId="0" borderId="44" xfId="0" applyNumberFormat="1" applyFont="1" applyBorder="1"/>
    <xf numFmtId="0" fontId="1" fillId="0" borderId="47" xfId="0" applyFont="1" applyBorder="1" applyAlignment="1">
      <alignment horizontal="left"/>
    </xf>
    <xf numFmtId="10" fontId="1" fillId="0" borderId="46" xfId="0" applyNumberFormat="1" applyFont="1" applyBorder="1"/>
    <xf numFmtId="0" fontId="45" fillId="0" borderId="93" xfId="0" applyFont="1" applyBorder="1"/>
    <xf numFmtId="0" fontId="3" fillId="0" borderId="93" xfId="0" applyFont="1" applyBorder="1"/>
    <xf numFmtId="0" fontId="1" fillId="0" borderId="93" xfId="0" applyFont="1" applyBorder="1" applyAlignment="1">
      <alignment horizontal="center" vertical="center"/>
    </xf>
    <xf numFmtId="0" fontId="1" fillId="0" borderId="93" xfId="0" applyFont="1" applyBorder="1"/>
    <xf numFmtId="10" fontId="1" fillId="0" borderId="93" xfId="0" applyNumberFormat="1" applyFont="1" applyBorder="1"/>
    <xf numFmtId="2" fontId="1" fillId="0" borderId="93" xfId="0" applyNumberFormat="1" applyFont="1" applyBorder="1" applyAlignment="1">
      <alignment horizontal="center"/>
    </xf>
    <xf numFmtId="0" fontId="1" fillId="0" borderId="93" xfId="0" applyFont="1" applyBorder="1" applyAlignment="1">
      <alignment horizontal="center"/>
    </xf>
    <xf numFmtId="9" fontId="1" fillId="0" borderId="93" xfId="0" applyNumberFormat="1" applyFont="1" applyBorder="1" applyAlignment="1">
      <alignment horizontal="center"/>
    </xf>
    <xf numFmtId="0" fontId="61" fillId="0" borderId="93" xfId="0" applyFont="1" applyBorder="1" applyAlignment="1">
      <alignment horizontal="center" vertical="center" wrapText="1"/>
    </xf>
    <xf numFmtId="175" fontId="1" fillId="0" borderId="49" xfId="0" applyNumberFormat="1" applyFont="1" applyBorder="1"/>
    <xf numFmtId="175" fontId="1" fillId="0" borderId="44" xfId="0" applyNumberFormat="1" applyFont="1" applyBorder="1"/>
    <xf numFmtId="175" fontId="1" fillId="0" borderId="44" xfId="0" applyNumberFormat="1" applyFont="1" applyBorder="1" applyAlignment="1">
      <alignment vertical="center"/>
    </xf>
    <xf numFmtId="0" fontId="45" fillId="0" borderId="50" xfId="0" applyFont="1" applyBorder="1" applyAlignment="1">
      <alignment horizontal="left" vertical="center"/>
    </xf>
    <xf numFmtId="0" fontId="1" fillId="0" borderId="39" xfId="0" applyFont="1" applyBorder="1"/>
    <xf numFmtId="0" fontId="1" fillId="0" borderId="74" xfId="0" applyFont="1" applyBorder="1"/>
    <xf numFmtId="0" fontId="1" fillId="0" borderId="22" xfId="0" applyFont="1" applyBorder="1"/>
    <xf numFmtId="175" fontId="1" fillId="0" borderId="46" xfId="0" applyNumberFormat="1" applyFont="1" applyBorder="1"/>
    <xf numFmtId="174" fontId="1" fillId="0" borderId="49" xfId="0" applyNumberFormat="1" applyFont="1" applyBorder="1" applyAlignment="1">
      <alignment horizontal="right"/>
    </xf>
    <xf numFmtId="174" fontId="47" fillId="0" borderId="44" xfId="0" applyNumberFormat="1" applyFont="1" applyBorder="1" applyAlignment="1">
      <alignment horizontal="right" vertical="center"/>
    </xf>
    <xf numFmtId="174" fontId="1" fillId="0" borderId="49" xfId="0" applyNumberFormat="1" applyFont="1" applyBorder="1"/>
    <xf numFmtId="174" fontId="1" fillId="0" borderId="44" xfId="0" applyNumberFormat="1" applyFont="1" applyBorder="1" applyAlignment="1">
      <alignment vertical="center"/>
    </xf>
    <xf numFmtId="174" fontId="1" fillId="0" borderId="44" xfId="0" applyNumberFormat="1" applyFont="1" applyBorder="1" applyAlignment="1">
      <alignment horizontal="right"/>
    </xf>
    <xf numFmtId="174" fontId="1" fillId="0" borderId="44" xfId="0" applyNumberFormat="1" applyFont="1" applyBorder="1" applyAlignment="1">
      <alignment horizontal="right" vertical="center" wrapText="1"/>
    </xf>
    <xf numFmtId="0" fontId="1" fillId="0" borderId="98" xfId="0" applyFont="1" applyBorder="1"/>
    <xf numFmtId="174" fontId="1" fillId="0" borderId="82" xfId="0" applyNumberFormat="1" applyFont="1" applyBorder="1"/>
    <xf numFmtId="174" fontId="1" fillId="0" borderId="92" xfId="0" applyNumberFormat="1" applyFont="1" applyBorder="1"/>
    <xf numFmtId="174" fontId="1" fillId="0" borderId="98" xfId="0" applyNumberFormat="1" applyFont="1" applyBorder="1"/>
    <xf numFmtId="0" fontId="1" fillId="0" borderId="1" xfId="0" applyFont="1" applyBorder="1"/>
    <xf numFmtId="0" fontId="1" fillId="0" borderId="1" xfId="0" applyFont="1" applyBorder="1" applyAlignment="1">
      <alignment horizontal="center"/>
    </xf>
    <xf numFmtId="0" fontId="6" fillId="0" borderId="7"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6" fillId="0" borderId="12" xfId="0" applyFont="1" applyBorder="1" applyAlignment="1">
      <alignment horizontal="center" vertical="center" wrapText="1"/>
    </xf>
    <xf numFmtId="0" fontId="6" fillId="0" borderId="12" xfId="0" applyFont="1" applyBorder="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6" fillId="0" borderId="0" xfId="0" applyFont="1"/>
    <xf numFmtId="0" fontId="9" fillId="12" borderId="152" xfId="0" applyFont="1" applyFill="1" applyBorder="1" applyAlignment="1">
      <alignment horizontal="center" vertical="center" wrapText="1"/>
    </xf>
    <xf numFmtId="0" fontId="9" fillId="15" borderId="152" xfId="0" applyFont="1" applyFill="1" applyBorder="1" applyAlignment="1">
      <alignment horizontal="center" vertical="center" wrapText="1"/>
    </xf>
    <xf numFmtId="0" fontId="9" fillId="18" borderId="152" xfId="0" applyFont="1" applyFill="1" applyBorder="1" applyAlignment="1">
      <alignment horizontal="center" vertical="center" wrapText="1"/>
    </xf>
    <xf numFmtId="0" fontId="8" fillId="16" borderId="152" xfId="0" applyFont="1" applyFill="1" applyBorder="1" applyAlignment="1">
      <alignment horizontal="center" vertical="center" wrapText="1"/>
    </xf>
    <xf numFmtId="0" fontId="8" fillId="19" borderId="152" xfId="0" applyFont="1" applyFill="1" applyBorder="1" applyAlignment="1">
      <alignment horizontal="center" vertical="center" wrapText="1"/>
    </xf>
    <xf numFmtId="0" fontId="8" fillId="12" borderId="152" xfId="0" applyFont="1" applyFill="1" applyBorder="1" applyAlignment="1">
      <alignment horizontal="center" vertical="center" wrapText="1"/>
    </xf>
    <xf numFmtId="0" fontId="8" fillId="18" borderId="152" xfId="0" applyFont="1" applyFill="1" applyBorder="1" applyAlignment="1">
      <alignment horizontal="center" vertical="center" wrapText="1"/>
    </xf>
    <xf numFmtId="171" fontId="1" fillId="0" borderId="0" xfId="0" applyNumberFormat="1" applyFont="1" applyAlignment="1">
      <alignment horizontal="center"/>
    </xf>
    <xf numFmtId="0" fontId="12" fillId="0" borderId="0" xfId="0" applyFont="1" applyAlignment="1">
      <alignment horizontal="center"/>
    </xf>
    <xf numFmtId="0" fontId="10" fillId="0" borderId="0" xfId="0" applyFont="1" applyAlignment="1">
      <alignment horizontal="center" vertical="center"/>
    </xf>
    <xf numFmtId="2" fontId="1" fillId="0" borderId="0" xfId="0" applyNumberFormat="1" applyFont="1" applyAlignment="1">
      <alignment horizontal="center"/>
    </xf>
    <xf numFmtId="10" fontId="1" fillId="0" borderId="0" xfId="0" applyNumberFormat="1" applyFont="1" applyAlignment="1">
      <alignment horizontal="center"/>
    </xf>
    <xf numFmtId="0" fontId="15" fillId="0" borderId="1" xfId="0" applyFont="1" applyBorder="1"/>
    <xf numFmtId="4" fontId="1" fillId="0" borderId="0" xfId="0" applyNumberFormat="1" applyFont="1" applyAlignment="1">
      <alignment horizontal="center"/>
    </xf>
    <xf numFmtId="170" fontId="16" fillId="0" borderId="0" xfId="0" applyNumberFormat="1" applyFont="1" applyAlignment="1">
      <alignment horizontal="center"/>
    </xf>
    <xf numFmtId="1" fontId="16" fillId="0" borderId="0" xfId="0" applyNumberFormat="1" applyFont="1" applyAlignment="1">
      <alignment horizontal="center"/>
    </xf>
    <xf numFmtId="0" fontId="8" fillId="0" borderId="0" xfId="0" applyFont="1" applyAlignment="1">
      <alignment horizontal="center" vertical="center" wrapText="1"/>
    </xf>
    <xf numFmtId="10" fontId="17" fillId="0" borderId="0" xfId="0" applyNumberFormat="1" applyFont="1" applyAlignment="1">
      <alignment horizontal="center" vertical="center" wrapText="1"/>
    </xf>
    <xf numFmtId="167" fontId="17" fillId="0" borderId="0" xfId="0" applyNumberFormat="1" applyFont="1" applyAlignment="1">
      <alignment horizontal="center" vertical="center" wrapText="1"/>
    </xf>
    <xf numFmtId="170" fontId="1" fillId="0" borderId="0" xfId="0" applyNumberFormat="1" applyFont="1" applyAlignment="1">
      <alignment horizontal="center"/>
    </xf>
    <xf numFmtId="3" fontId="1" fillId="0" borderId="0" xfId="0" applyNumberFormat="1" applyFont="1" applyAlignment="1">
      <alignment horizontal="center"/>
    </xf>
    <xf numFmtId="0" fontId="65" fillId="0" borderId="0" xfId="0" applyFont="1" applyAlignment="1">
      <alignment horizontal="center" vertical="center"/>
    </xf>
    <xf numFmtId="0" fontId="27" fillId="12" borderId="134" xfId="0" applyFont="1" applyFill="1" applyBorder="1" applyAlignment="1">
      <alignment horizontal="center" vertical="center" wrapText="1"/>
    </xf>
    <xf numFmtId="0" fontId="27" fillId="12" borderId="135" xfId="0" applyFont="1" applyFill="1" applyBorder="1" applyAlignment="1">
      <alignment horizontal="center" vertical="center" wrapText="1"/>
    </xf>
    <xf numFmtId="0" fontId="30" fillId="12" borderId="135" xfId="0" applyFont="1" applyFill="1" applyBorder="1" applyAlignment="1">
      <alignment horizontal="center" vertical="center" wrapText="1"/>
    </xf>
    <xf numFmtId="0" fontId="30" fillId="16" borderId="135" xfId="0" applyFont="1" applyFill="1" applyBorder="1" applyAlignment="1">
      <alignment horizontal="center" vertical="center" wrapText="1"/>
    </xf>
    <xf numFmtId="0" fontId="30" fillId="15" borderId="135" xfId="0" applyFont="1" applyFill="1" applyBorder="1" applyAlignment="1">
      <alignment horizontal="center" vertical="center" wrapText="1"/>
    </xf>
    <xf numFmtId="0" fontId="30" fillId="18" borderId="135" xfId="0" applyFont="1" applyFill="1" applyBorder="1" applyAlignment="1">
      <alignment horizontal="center" vertical="center" wrapText="1"/>
    </xf>
    <xf numFmtId="0" fontId="30" fillId="19" borderId="135" xfId="0" applyFont="1" applyFill="1" applyBorder="1" applyAlignment="1">
      <alignment horizontal="center" vertical="center" wrapText="1"/>
    </xf>
    <xf numFmtId="0" fontId="8" fillId="16" borderId="138" xfId="0" applyFont="1" applyFill="1" applyBorder="1" applyAlignment="1">
      <alignment horizontal="center" vertical="center" wrapText="1"/>
    </xf>
    <xf numFmtId="0" fontId="8" fillId="19" borderId="138" xfId="0" applyFont="1" applyFill="1" applyBorder="1" applyAlignment="1">
      <alignment horizontal="center" vertical="center" wrapText="1"/>
    </xf>
    <xf numFmtId="0" fontId="8" fillId="12" borderId="138" xfId="0" applyFont="1" applyFill="1" applyBorder="1" applyAlignment="1">
      <alignment horizontal="center" vertical="center" wrapText="1"/>
    </xf>
    <xf numFmtId="0" fontId="8" fillId="18" borderId="138" xfId="0" applyFont="1" applyFill="1" applyBorder="1" applyAlignment="1">
      <alignment horizontal="center" vertical="center" wrapText="1"/>
    </xf>
    <xf numFmtId="0" fontId="21" fillId="2" borderId="78" xfId="0" applyFont="1" applyFill="1" applyBorder="1" applyAlignment="1">
      <alignment horizontal="center" vertical="center" wrapText="1"/>
    </xf>
    <xf numFmtId="172" fontId="21" fillId="3" borderId="79" xfId="0" applyNumberFormat="1" applyFont="1" applyFill="1" applyBorder="1" applyAlignment="1">
      <alignment horizontal="center" vertical="center" wrapText="1"/>
    </xf>
    <xf numFmtId="172" fontId="21" fillId="4" borderId="79" xfId="0" applyNumberFormat="1" applyFont="1" applyFill="1" applyBorder="1" applyAlignment="1">
      <alignment horizontal="center" vertical="center" wrapText="1"/>
    </xf>
    <xf numFmtId="0" fontId="21" fillId="2" borderId="79" xfId="0" applyFont="1" applyFill="1" applyBorder="1" applyAlignment="1">
      <alignment horizontal="center" vertical="center" wrapText="1"/>
    </xf>
    <xf numFmtId="172" fontId="21" fillId="3" borderId="86" xfId="0" applyNumberFormat="1" applyFont="1" applyFill="1" applyBorder="1" applyAlignment="1">
      <alignment horizontal="center" vertical="center" wrapText="1"/>
    </xf>
    <xf numFmtId="172" fontId="21" fillId="2" borderId="81" xfId="0" applyNumberFormat="1" applyFont="1" applyFill="1" applyBorder="1" applyAlignment="1">
      <alignment horizontal="center" vertical="top" wrapText="1"/>
    </xf>
    <xf numFmtId="172" fontId="21" fillId="3" borderId="79" xfId="0" applyNumberFormat="1" applyFont="1" applyFill="1" applyBorder="1" applyAlignment="1">
      <alignment horizontal="center" vertical="top" wrapText="1"/>
    </xf>
    <xf numFmtId="172" fontId="21" fillId="2" borderId="86" xfId="0" applyNumberFormat="1" applyFont="1" applyFill="1" applyBorder="1" applyAlignment="1">
      <alignment horizontal="center" vertical="top" wrapText="1"/>
    </xf>
    <xf numFmtId="0" fontId="19" fillId="0" borderId="0" xfId="0" applyFont="1"/>
    <xf numFmtId="0" fontId="20" fillId="0" borderId="0" xfId="0" applyFont="1"/>
    <xf numFmtId="0" fontId="9" fillId="0" borderId="0" xfId="0" applyFont="1" applyAlignment="1">
      <alignment horizontal="center"/>
    </xf>
    <xf numFmtId="175" fontId="9" fillId="0" borderId="0" xfId="0" applyNumberFormat="1" applyFont="1" applyAlignment="1">
      <alignment horizontal="center"/>
    </xf>
    <xf numFmtId="0" fontId="8" fillId="0" borderId="55" xfId="0" applyFont="1" applyBorder="1" applyAlignment="1">
      <alignment horizontal="center" vertical="center" wrapText="1"/>
    </xf>
    <xf numFmtId="0" fontId="28" fillId="2" borderId="46" xfId="0" applyFont="1" applyFill="1" applyBorder="1" applyAlignment="1">
      <alignment horizontal="center" vertical="center" textRotation="90" wrapText="1"/>
    </xf>
    <xf numFmtId="10" fontId="19" fillId="2" borderId="46" xfId="0" applyNumberFormat="1" applyFont="1" applyFill="1" applyBorder="1" applyAlignment="1">
      <alignment horizontal="center" vertical="center" wrapText="1"/>
    </xf>
    <xf numFmtId="0" fontId="27" fillId="2" borderId="46" xfId="0" applyFont="1" applyFill="1" applyBorder="1" applyAlignment="1">
      <alignment horizontal="center" vertical="center" wrapText="1"/>
    </xf>
    <xf numFmtId="180" fontId="29" fillId="2" borderId="44" xfId="0" applyNumberFormat="1" applyFont="1" applyFill="1" applyBorder="1" applyAlignment="1">
      <alignment vertical="center"/>
    </xf>
    <xf numFmtId="180" fontId="29" fillId="3" borderId="44" xfId="0" applyNumberFormat="1" applyFont="1" applyFill="1" applyBorder="1" applyAlignment="1">
      <alignment vertical="center"/>
    </xf>
    <xf numFmtId="10" fontId="29" fillId="2" borderId="44" xfId="0" applyNumberFormat="1" applyFont="1" applyFill="1" applyBorder="1" applyAlignment="1">
      <alignment vertical="center"/>
    </xf>
    <xf numFmtId="180" fontId="29" fillId="3" borderId="77" xfId="0" applyNumberFormat="1" applyFont="1" applyFill="1" applyBorder="1" applyAlignment="1">
      <alignment vertical="center"/>
    </xf>
    <xf numFmtId="10" fontId="29" fillId="3" borderId="77" xfId="0" applyNumberFormat="1" applyFont="1" applyFill="1" applyBorder="1" applyAlignment="1">
      <alignment vertical="center"/>
    </xf>
    <xf numFmtId="181" fontId="29" fillId="3" borderId="44" xfId="0" applyNumberFormat="1" applyFont="1" applyFill="1" applyBorder="1" applyAlignment="1">
      <alignment vertical="center"/>
    </xf>
    <xf numFmtId="10" fontId="29" fillId="3" borderId="44" xfId="0" applyNumberFormat="1" applyFont="1" applyFill="1" applyBorder="1" applyAlignment="1">
      <alignment vertical="center"/>
    </xf>
    <xf numFmtId="181" fontId="29" fillId="2" borderId="44" xfId="0" applyNumberFormat="1" applyFont="1" applyFill="1" applyBorder="1" applyAlignment="1">
      <alignment vertical="center"/>
    </xf>
    <xf numFmtId="10" fontId="17" fillId="5" borderId="44" xfId="0" applyNumberFormat="1" applyFont="1" applyFill="1" applyBorder="1" applyAlignment="1">
      <alignment horizontal="center" vertical="center" wrapText="1"/>
    </xf>
    <xf numFmtId="10" fontId="17" fillId="0" borderId="77" xfId="0" applyNumberFormat="1" applyFont="1" applyBorder="1" applyAlignment="1">
      <alignment horizontal="center" vertical="center" wrapText="1"/>
    </xf>
    <xf numFmtId="10" fontId="27" fillId="2" borderId="142" xfId="0" applyNumberFormat="1" applyFont="1" applyFill="1" applyBorder="1" applyAlignment="1">
      <alignment horizontal="center" vertical="center" wrapText="1"/>
    </xf>
    <xf numFmtId="10" fontId="30" fillId="2" borderId="142" xfId="0" applyNumberFormat="1" applyFont="1" applyFill="1" applyBorder="1" applyAlignment="1">
      <alignment vertical="center"/>
    </xf>
    <xf numFmtId="0" fontId="26" fillId="2" borderId="143" xfId="0" applyFont="1" applyFill="1" applyBorder="1" applyAlignment="1">
      <alignment horizontal="center" vertical="top" wrapText="1"/>
    </xf>
    <xf numFmtId="0" fontId="20" fillId="0" borderId="0" xfId="0" applyFont="1" applyAlignment="1">
      <alignment vertical="center"/>
    </xf>
    <xf numFmtId="0" fontId="19" fillId="9" borderId="1" xfId="0" applyFont="1" applyFill="1" applyBorder="1" applyAlignment="1">
      <alignment horizontal="left" vertical="center"/>
    </xf>
    <xf numFmtId="10" fontId="32" fillId="9" borderId="1" xfId="0" applyNumberFormat="1" applyFont="1" applyFill="1" applyBorder="1" applyAlignment="1">
      <alignment vertical="center"/>
    </xf>
    <xf numFmtId="0" fontId="25" fillId="9" borderId="1" xfId="0" applyFont="1" applyFill="1" applyBorder="1" applyAlignment="1">
      <alignment vertical="top"/>
    </xf>
    <xf numFmtId="10" fontId="19" fillId="0" borderId="0" xfId="0" applyNumberFormat="1" applyFont="1" applyAlignment="1">
      <alignment vertical="center"/>
    </xf>
    <xf numFmtId="0" fontId="19" fillId="0" borderId="0" xfId="0" applyFont="1" applyAlignment="1">
      <alignment horizontal="left" vertical="center"/>
    </xf>
    <xf numFmtId="0" fontId="61" fillId="21" borderId="0" xfId="0" applyFont="1" applyFill="1" applyAlignment="1" applyProtection="1">
      <alignment horizontal="center" vertical="center"/>
      <protection locked="0"/>
    </xf>
    <xf numFmtId="0" fontId="44" fillId="2" borderId="166" xfId="0" applyFont="1" applyFill="1" applyBorder="1" applyAlignment="1">
      <alignment horizontal="center" vertical="center" wrapText="1"/>
    </xf>
    <xf numFmtId="0" fontId="44" fillId="3" borderId="171" xfId="0" applyFont="1" applyFill="1" applyBorder="1" applyAlignment="1">
      <alignment horizontal="center" vertical="center"/>
    </xf>
    <xf numFmtId="0" fontId="44" fillId="2" borderId="172" xfId="0" applyFont="1" applyFill="1" applyBorder="1" applyAlignment="1">
      <alignment horizontal="center" vertical="center" wrapText="1"/>
    </xf>
    <xf numFmtId="0" fontId="44" fillId="2" borderId="173" xfId="0" applyFont="1" applyFill="1" applyBorder="1" applyAlignment="1">
      <alignment horizontal="center" vertical="center" wrapText="1"/>
    </xf>
    <xf numFmtId="0" fontId="68" fillId="0" borderId="175" xfId="0" applyFont="1" applyBorder="1" applyAlignment="1">
      <alignment horizontal="center" vertical="center"/>
    </xf>
    <xf numFmtId="0" fontId="68" fillId="0" borderId="132" xfId="0" applyFont="1" applyBorder="1" applyAlignment="1">
      <alignment vertical="center"/>
    </xf>
    <xf numFmtId="0" fontId="58" fillId="0" borderId="130" xfId="0" applyFont="1" applyBorder="1" applyAlignment="1">
      <alignment vertical="center" wrapText="1"/>
    </xf>
    <xf numFmtId="0" fontId="68" fillId="0" borderId="133" xfId="0" applyFont="1" applyBorder="1" applyAlignment="1">
      <alignment horizontal="center" vertical="center"/>
    </xf>
    <xf numFmtId="0" fontId="69" fillId="0" borderId="130" xfId="0" applyFont="1" applyBorder="1" applyAlignment="1">
      <alignment vertical="center" wrapText="1"/>
    </xf>
    <xf numFmtId="0" fontId="68" fillId="0" borderId="130" xfId="0" applyFont="1" applyBorder="1" applyAlignment="1">
      <alignment vertical="center" wrapText="1"/>
    </xf>
    <xf numFmtId="0" fontId="68" fillId="0" borderId="134" xfId="0" applyFont="1" applyBorder="1" applyAlignment="1">
      <alignment vertical="center"/>
    </xf>
    <xf numFmtId="0" fontId="68" fillId="0" borderId="135" xfId="0" applyFont="1" applyBorder="1" applyAlignment="1">
      <alignment vertical="center" wrapText="1"/>
    </xf>
    <xf numFmtId="0" fontId="68" fillId="0" borderId="136" xfId="0" applyFont="1" applyBorder="1" applyAlignment="1">
      <alignment horizontal="center" vertical="center"/>
    </xf>
    <xf numFmtId="0" fontId="1" fillId="0" borderId="125" xfId="0" applyFont="1" applyBorder="1" applyProtection="1">
      <protection locked="0"/>
    </xf>
    <xf numFmtId="0" fontId="1" fillId="0" borderId="44" xfId="0" applyFont="1" applyBorder="1" applyProtection="1">
      <protection locked="0"/>
    </xf>
    <xf numFmtId="172" fontId="1" fillId="0" borderId="44" xfId="0" applyNumberFormat="1" applyFont="1" applyBorder="1" applyProtection="1">
      <protection locked="0"/>
    </xf>
    <xf numFmtId="186" fontId="53" fillId="0" borderId="130" xfId="1" applyNumberFormat="1" applyFont="1" applyFill="1" applyBorder="1" applyAlignment="1" applyProtection="1">
      <alignment horizontal="center" vertical="center"/>
    </xf>
    <xf numFmtId="185" fontId="0" fillId="0" borderId="93" xfId="5" applyNumberFormat="1" applyFont="1"/>
    <xf numFmtId="43" fontId="1" fillId="0" borderId="93" xfId="5" applyFont="1"/>
    <xf numFmtId="43" fontId="19" fillId="9" borderId="93" xfId="5" applyFont="1" applyFill="1" applyBorder="1" applyAlignment="1">
      <alignment vertical="center"/>
    </xf>
    <xf numFmtId="186" fontId="19" fillId="9" borderId="93" xfId="5" applyNumberFormat="1" applyFont="1" applyFill="1" applyBorder="1" applyAlignment="1">
      <alignment vertical="center"/>
    </xf>
    <xf numFmtId="0" fontId="56" fillId="0" borderId="0" xfId="0" applyFont="1"/>
    <xf numFmtId="2" fontId="0" fillId="0" borderId="0" xfId="0" applyNumberFormat="1"/>
    <xf numFmtId="0" fontId="61" fillId="0" borderId="93" xfId="0" applyFont="1" applyBorder="1" applyAlignment="1">
      <alignment horizontal="center" vertical="center"/>
    </xf>
    <xf numFmtId="9" fontId="19" fillId="0" borderId="0" xfId="2" applyFont="1" applyAlignment="1">
      <alignment vertical="center"/>
    </xf>
    <xf numFmtId="0" fontId="10" fillId="0" borderId="130" xfId="0" applyFont="1" applyBorder="1" applyAlignment="1">
      <alignment horizontal="left" vertical="top" wrapText="1"/>
    </xf>
    <xf numFmtId="2" fontId="10" fillId="0" borderId="130" xfId="0" applyNumberFormat="1" applyFont="1" applyBorder="1" applyAlignment="1">
      <alignment horizontal="center" vertical="center"/>
    </xf>
    <xf numFmtId="0" fontId="8" fillId="12" borderId="180" xfId="0" applyFont="1" applyFill="1" applyBorder="1" applyAlignment="1">
      <alignment horizontal="center" vertical="center" wrapText="1"/>
    </xf>
    <xf numFmtId="0" fontId="30" fillId="16" borderId="180" xfId="0" applyFont="1" applyFill="1" applyBorder="1" applyAlignment="1">
      <alignment horizontal="center" vertical="center" wrapText="1"/>
    </xf>
    <xf numFmtId="0" fontId="10" fillId="0" borderId="180" xfId="0" applyFont="1" applyBorder="1" applyAlignment="1">
      <alignment vertical="center" wrapText="1"/>
    </xf>
    <xf numFmtId="174" fontId="58" fillId="0" borderId="180" xfId="0" applyNumberFormat="1" applyFont="1" applyBorder="1" applyAlignment="1">
      <alignment vertical="center"/>
    </xf>
    <xf numFmtId="0" fontId="14" fillId="0" borderId="180" xfId="0" applyFont="1" applyBorder="1" applyAlignment="1">
      <alignment horizontal="center" vertical="center" wrapText="1"/>
    </xf>
    <xf numFmtId="0" fontId="56" fillId="0" borderId="93" xfId="0" applyFont="1" applyBorder="1" applyAlignment="1">
      <alignment vertical="center" wrapText="1"/>
    </xf>
    <xf numFmtId="0" fontId="27" fillId="12" borderId="152" xfId="0" applyFont="1" applyFill="1" applyBorder="1" applyAlignment="1">
      <alignment horizontal="center" vertical="center" wrapText="1"/>
    </xf>
    <xf numFmtId="0" fontId="19" fillId="0" borderId="130" xfId="0" applyFont="1" applyBorder="1" applyAlignment="1">
      <alignment horizontal="left" vertical="top" wrapText="1"/>
    </xf>
    <xf numFmtId="2" fontId="71" fillId="0" borderId="130" xfId="0" applyNumberFormat="1" applyFont="1" applyBorder="1" applyAlignment="1">
      <alignment horizontal="center" vertical="center"/>
    </xf>
    <xf numFmtId="186" fontId="19" fillId="0" borderId="130" xfId="1" applyNumberFormat="1" applyFont="1" applyFill="1" applyBorder="1" applyAlignment="1">
      <alignment horizontal="center" vertical="center"/>
    </xf>
    <xf numFmtId="0" fontId="0" fillId="0" borderId="0" xfId="0" applyAlignment="1">
      <alignment vertical="center"/>
    </xf>
    <xf numFmtId="0" fontId="27" fillId="22" borderId="152" xfId="0" applyFont="1" applyFill="1" applyBorder="1" applyAlignment="1">
      <alignment horizontal="center" vertical="center" wrapText="1"/>
    </xf>
    <xf numFmtId="0" fontId="9" fillId="0" borderId="130" xfId="0" applyFont="1" applyBorder="1" applyAlignment="1">
      <alignment horizontal="center" vertical="top" wrapText="1"/>
    </xf>
    <xf numFmtId="190" fontId="1" fillId="0" borderId="0" xfId="0" applyNumberFormat="1" applyFont="1" applyAlignment="1">
      <alignment horizontal="center"/>
    </xf>
    <xf numFmtId="186" fontId="9" fillId="0" borderId="0" xfId="1" applyNumberFormat="1" applyFont="1" applyAlignment="1">
      <alignment horizontal="center"/>
    </xf>
    <xf numFmtId="10" fontId="1" fillId="0" borderId="0" xfId="2" applyNumberFormat="1" applyFont="1" applyAlignment="1">
      <alignment horizontal="center"/>
    </xf>
    <xf numFmtId="0" fontId="1" fillId="0" borderId="93" xfId="0" applyFont="1" applyBorder="1" applyAlignment="1">
      <alignment horizontal="center" vertical="center" wrapText="1"/>
    </xf>
    <xf numFmtId="0" fontId="1" fillId="0" borderId="125" xfId="0" applyFont="1" applyFill="1" applyBorder="1"/>
    <xf numFmtId="0" fontId="1" fillId="0" borderId="44" xfId="0" applyFont="1" applyFill="1" applyBorder="1"/>
    <xf numFmtId="172" fontId="1" fillId="0" borderId="44" xfId="0" applyNumberFormat="1" applyFont="1" applyFill="1" applyBorder="1"/>
    <xf numFmtId="172" fontId="1" fillId="0" borderId="44" xfId="0" applyNumberFormat="1" applyFont="1" applyFill="1" applyBorder="1" applyProtection="1">
      <protection locked="0"/>
    </xf>
    <xf numFmtId="0" fontId="1" fillId="0" borderId="44" xfId="0" applyFont="1" applyFill="1" applyBorder="1" applyAlignment="1">
      <alignment horizontal="center" vertical="center"/>
    </xf>
    <xf numFmtId="0" fontId="1" fillId="0" borderId="44" xfId="0" applyFont="1" applyFill="1" applyBorder="1" applyAlignment="1">
      <alignment horizontal="center"/>
    </xf>
    <xf numFmtId="10" fontId="1" fillId="0" borderId="44" xfId="0" applyNumberFormat="1" applyFont="1" applyFill="1" applyBorder="1" applyAlignment="1">
      <alignment horizontal="center"/>
    </xf>
    <xf numFmtId="9" fontId="1" fillId="0" borderId="44" xfId="0" applyNumberFormat="1" applyFont="1" applyFill="1" applyBorder="1" applyAlignment="1">
      <alignment horizontal="center"/>
    </xf>
    <xf numFmtId="0" fontId="1" fillId="0" borderId="177" xfId="0" applyFont="1" applyFill="1" applyBorder="1" applyAlignment="1">
      <alignment vertical="center"/>
    </xf>
    <xf numFmtId="0" fontId="1" fillId="0" borderId="126" xfId="0" applyFont="1" applyFill="1" applyBorder="1"/>
    <xf numFmtId="0" fontId="54" fillId="0" borderId="126" xfId="0" applyFont="1" applyFill="1" applyBorder="1"/>
    <xf numFmtId="0" fontId="1" fillId="0" borderId="44" xfId="0" applyFont="1" applyFill="1" applyBorder="1" applyAlignment="1" applyProtection="1">
      <alignment horizontal="center"/>
      <protection locked="0"/>
    </xf>
    <xf numFmtId="10" fontId="1" fillId="0" borderId="44" xfId="0" applyNumberFormat="1" applyFont="1" applyFill="1" applyBorder="1" applyAlignment="1" applyProtection="1">
      <alignment horizontal="center"/>
      <protection locked="0"/>
    </xf>
    <xf numFmtId="2" fontId="1" fillId="0" borderId="44" xfId="0" applyNumberFormat="1" applyFont="1" applyFill="1" applyBorder="1" applyAlignment="1">
      <alignment horizontal="center"/>
    </xf>
    <xf numFmtId="0" fontId="1" fillId="0" borderId="127" xfId="0" applyFont="1" applyFill="1" applyBorder="1"/>
    <xf numFmtId="0" fontId="1" fillId="0" borderId="128" xfId="0" applyFont="1" applyFill="1" applyBorder="1" applyAlignment="1">
      <alignment horizontal="center" vertical="center"/>
    </xf>
    <xf numFmtId="2" fontId="1" fillId="0" borderId="128" xfId="0" applyNumberFormat="1" applyFont="1" applyFill="1" applyBorder="1" applyAlignment="1">
      <alignment horizontal="center"/>
    </xf>
    <xf numFmtId="10" fontId="1" fillId="0" borderId="128" xfId="0" applyNumberFormat="1" applyFont="1" applyFill="1" applyBorder="1" applyAlignment="1">
      <alignment horizontal="center"/>
    </xf>
    <xf numFmtId="0" fontId="1" fillId="0" borderId="128" xfId="0" applyFont="1" applyFill="1" applyBorder="1" applyAlignment="1">
      <alignment horizontal="center"/>
    </xf>
    <xf numFmtId="9" fontId="1" fillId="0" borderId="128" xfId="0" applyNumberFormat="1" applyFont="1" applyFill="1" applyBorder="1" applyAlignment="1">
      <alignment horizontal="center"/>
    </xf>
    <xf numFmtId="0" fontId="1" fillId="0" borderId="129" xfId="0" applyFont="1" applyFill="1" applyBorder="1"/>
    <xf numFmtId="0" fontId="1" fillId="0" borderId="50" xfId="0" applyFont="1" applyFill="1" applyBorder="1"/>
    <xf numFmtId="0" fontId="1" fillId="0" borderId="47" xfId="0" applyFont="1" applyFill="1" applyBorder="1"/>
    <xf numFmtId="0" fontId="54" fillId="0" borderId="47" xfId="0" applyFont="1" applyFill="1" applyBorder="1"/>
    <xf numFmtId="0" fontId="1" fillId="0" borderId="53" xfId="0" applyFont="1" applyFill="1" applyBorder="1"/>
    <xf numFmtId="0" fontId="1" fillId="0" borderId="46" xfId="0" applyFont="1" applyFill="1" applyBorder="1" applyAlignment="1">
      <alignment horizontal="center" vertical="center"/>
    </xf>
    <xf numFmtId="0" fontId="1" fillId="0" borderId="46" xfId="0" applyFont="1" applyFill="1" applyBorder="1" applyAlignment="1">
      <alignment horizontal="center"/>
    </xf>
    <xf numFmtId="10" fontId="1" fillId="0" borderId="46" xfId="0" applyNumberFormat="1" applyFont="1" applyFill="1" applyBorder="1" applyAlignment="1">
      <alignment horizontal="center"/>
    </xf>
    <xf numFmtId="9" fontId="1" fillId="0" borderId="46" xfId="0" applyNumberFormat="1" applyFont="1" applyFill="1" applyBorder="1" applyAlignment="1">
      <alignment horizontal="center"/>
    </xf>
    <xf numFmtId="0" fontId="1" fillId="0" borderId="55" xfId="0" applyFont="1" applyFill="1" applyBorder="1"/>
    <xf numFmtId="9" fontId="1" fillId="0" borderId="44" xfId="0" applyNumberFormat="1" applyFont="1" applyFill="1" applyBorder="1" applyAlignment="1" applyProtection="1">
      <alignment horizontal="center"/>
      <protection locked="0"/>
    </xf>
    <xf numFmtId="0" fontId="1" fillId="0" borderId="43" xfId="0" applyFont="1" applyFill="1" applyBorder="1" applyAlignment="1">
      <alignment horizontal="center" vertical="center"/>
    </xf>
    <xf numFmtId="0" fontId="1" fillId="0" borderId="77" xfId="0" applyFont="1" applyFill="1" applyBorder="1" applyAlignment="1">
      <alignment horizontal="center" vertical="center"/>
    </xf>
    <xf numFmtId="0" fontId="45" fillId="0" borderId="47" xfId="0" applyFont="1" applyFill="1" applyBorder="1"/>
    <xf numFmtId="0" fontId="57" fillId="0" borderId="47" xfId="0" applyFont="1" applyFill="1" applyBorder="1"/>
    <xf numFmtId="0" fontId="32" fillId="0" borderId="47" xfId="0" applyFont="1" applyFill="1" applyBorder="1"/>
    <xf numFmtId="2" fontId="1" fillId="0" borderId="46" xfId="0" applyNumberFormat="1" applyFont="1" applyFill="1" applyBorder="1" applyAlignment="1">
      <alignment horizontal="center"/>
    </xf>
    <xf numFmtId="0" fontId="45" fillId="0" borderId="55" xfId="0" applyFont="1" applyFill="1" applyBorder="1"/>
    <xf numFmtId="0" fontId="1" fillId="0" borderId="167" xfId="0" applyFont="1" applyFill="1" applyBorder="1"/>
    <xf numFmtId="0" fontId="54" fillId="0" borderId="167" xfId="0" applyFont="1" applyFill="1" applyBorder="1"/>
    <xf numFmtId="0" fontId="1" fillId="0" borderId="168" xfId="0" applyFont="1" applyFill="1" applyBorder="1"/>
    <xf numFmtId="172" fontId="1" fillId="0" borderId="128" xfId="0" applyNumberFormat="1" applyFont="1" applyFill="1" applyBorder="1"/>
    <xf numFmtId="0" fontId="1" fillId="0" borderId="170" xfId="0" applyFont="1" applyFill="1" applyBorder="1"/>
    <xf numFmtId="0" fontId="1" fillId="0" borderId="92" xfId="0" applyFont="1" applyFill="1" applyBorder="1"/>
    <xf numFmtId="0" fontId="1" fillId="0" borderId="121" xfId="0" applyFont="1" applyFill="1" applyBorder="1"/>
    <xf numFmtId="0" fontId="54" fillId="0" borderId="121" xfId="0" applyFont="1" applyFill="1" applyBorder="1"/>
    <xf numFmtId="0" fontId="1" fillId="0" borderId="48" xfId="0" applyFont="1" applyFill="1" applyBorder="1"/>
    <xf numFmtId="172" fontId="1" fillId="0" borderId="46" xfId="0" applyNumberFormat="1" applyFont="1" applyFill="1" applyBorder="1"/>
    <xf numFmtId="0" fontId="1" fillId="0" borderId="76" xfId="0" applyFont="1" applyFill="1" applyBorder="1"/>
    <xf numFmtId="9" fontId="45" fillId="0" borderId="43" xfId="0" applyNumberFormat="1" applyFont="1" applyFill="1" applyBorder="1" applyAlignment="1">
      <alignment horizontal="center" wrapText="1"/>
    </xf>
    <xf numFmtId="10" fontId="1" fillId="0" borderId="43" xfId="0" applyNumberFormat="1" applyFont="1" applyFill="1" applyBorder="1" applyAlignment="1">
      <alignment horizontal="center"/>
    </xf>
    <xf numFmtId="10" fontId="45" fillId="0" borderId="43" xfId="0" applyNumberFormat="1" applyFont="1" applyFill="1" applyBorder="1" applyAlignment="1">
      <alignment horizontal="center"/>
    </xf>
    <xf numFmtId="0" fontId="1" fillId="0" borderId="60" xfId="0" applyFont="1" applyFill="1" applyBorder="1" applyAlignment="1">
      <alignment vertical="center"/>
    </xf>
    <xf numFmtId="10" fontId="45" fillId="0" borderId="44" xfId="0" applyNumberFormat="1" applyFont="1" applyFill="1" applyBorder="1" applyAlignment="1">
      <alignment horizontal="center"/>
    </xf>
    <xf numFmtId="0" fontId="0" fillId="0" borderId="0" xfId="0" applyFill="1"/>
    <xf numFmtId="9" fontId="45" fillId="0" borderId="46" xfId="0" applyNumberFormat="1" applyFont="1" applyFill="1" applyBorder="1" applyAlignment="1">
      <alignment horizontal="center" wrapText="1"/>
    </xf>
    <xf numFmtId="0" fontId="45" fillId="0" borderId="44" xfId="0" applyFont="1" applyFill="1" applyBorder="1" applyAlignment="1">
      <alignment horizontal="center"/>
    </xf>
    <xf numFmtId="2" fontId="1" fillId="0" borderId="44" xfId="0" applyNumberFormat="1" applyFont="1" applyFill="1" applyBorder="1" applyAlignment="1" applyProtection="1">
      <alignment horizontal="center"/>
      <protection locked="0"/>
    </xf>
    <xf numFmtId="0" fontId="45" fillId="0" borderId="46" xfId="0" applyFont="1" applyFill="1" applyBorder="1" applyAlignment="1">
      <alignment horizontal="center"/>
    </xf>
    <xf numFmtId="10" fontId="45" fillId="0" borderId="44" xfId="0" applyNumberFormat="1" applyFont="1" applyFill="1" applyBorder="1"/>
    <xf numFmtId="10" fontId="1" fillId="0" borderId="44" xfId="0" applyNumberFormat="1" applyFont="1" applyFill="1" applyBorder="1" applyAlignment="1">
      <alignment horizontal="right"/>
    </xf>
    <xf numFmtId="10" fontId="1" fillId="0" borderId="46" xfId="0" applyNumberFormat="1" applyFont="1" applyFill="1" applyBorder="1" applyAlignment="1">
      <alignment horizontal="right"/>
    </xf>
    <xf numFmtId="10" fontId="19" fillId="0" borderId="44" xfId="0" applyNumberFormat="1" applyFont="1" applyFill="1" applyBorder="1" applyAlignment="1">
      <alignment horizontal="center" vertical="center" wrapText="1"/>
    </xf>
    <xf numFmtId="10" fontId="19" fillId="0" borderId="44" xfId="0" applyNumberFormat="1" applyFont="1" applyFill="1" applyBorder="1" applyAlignment="1" applyProtection="1">
      <alignment horizontal="center" vertical="center" wrapText="1"/>
      <protection locked="0"/>
    </xf>
    <xf numFmtId="2" fontId="10" fillId="0" borderId="130" xfId="0" applyNumberFormat="1" applyFont="1" applyFill="1" applyBorder="1" applyAlignment="1">
      <alignment horizontal="center" vertical="center"/>
    </xf>
    <xf numFmtId="2" fontId="78" fillId="0" borderId="130" xfId="0" applyNumberFormat="1" applyFont="1" applyFill="1" applyBorder="1" applyAlignment="1">
      <alignment horizontal="center" vertical="center" wrapText="1"/>
    </xf>
    <xf numFmtId="2" fontId="79" fillId="0" borderId="130" xfId="0" applyNumberFormat="1" applyFont="1" applyFill="1" applyBorder="1" applyAlignment="1">
      <alignment horizontal="center" vertical="center"/>
    </xf>
    <xf numFmtId="2" fontId="49" fillId="0" borderId="130" xfId="0" applyNumberFormat="1" applyFont="1" applyFill="1" applyBorder="1" applyAlignment="1">
      <alignment horizontal="center" vertical="center"/>
    </xf>
    <xf numFmtId="2" fontId="79" fillId="0" borderId="130" xfId="0" applyNumberFormat="1" applyFont="1" applyFill="1" applyBorder="1" applyAlignment="1" applyProtection="1">
      <alignment horizontal="center" vertical="center"/>
      <protection locked="0"/>
    </xf>
    <xf numFmtId="3" fontId="78" fillId="0" borderId="130" xfId="0" applyNumberFormat="1" applyFont="1" applyFill="1" applyBorder="1" applyAlignment="1">
      <alignment horizontal="center" vertical="center" wrapText="1"/>
    </xf>
    <xf numFmtId="10" fontId="79" fillId="0" borderId="130" xfId="0" applyNumberFormat="1" applyFont="1" applyFill="1" applyBorder="1" applyAlignment="1">
      <alignment horizontal="center" vertical="center"/>
    </xf>
    <xf numFmtId="10" fontId="78" fillId="0" borderId="130" xfId="0" applyNumberFormat="1" applyFont="1" applyFill="1" applyBorder="1" applyAlignment="1">
      <alignment horizontal="center" vertical="center"/>
    </xf>
    <xf numFmtId="172" fontId="79" fillId="0" borderId="130" xfId="0" applyNumberFormat="1" applyFont="1" applyFill="1" applyBorder="1" applyAlignment="1">
      <alignment horizontal="center" vertical="center"/>
    </xf>
    <xf numFmtId="172" fontId="78" fillId="0" borderId="130" xfId="0" applyNumberFormat="1" applyFont="1" applyFill="1" applyBorder="1" applyAlignment="1">
      <alignment horizontal="center" vertical="center" wrapText="1"/>
    </xf>
    <xf numFmtId="172" fontId="78" fillId="0" borderId="130" xfId="0" applyNumberFormat="1" applyFont="1" applyFill="1" applyBorder="1" applyAlignment="1">
      <alignment horizontal="center" vertical="center"/>
    </xf>
    <xf numFmtId="172" fontId="79" fillId="0" borderId="130" xfId="0" applyNumberFormat="1" applyFont="1" applyFill="1" applyBorder="1" applyAlignment="1" applyProtection="1">
      <alignment horizontal="center" vertical="center"/>
      <protection locked="0"/>
    </xf>
    <xf numFmtId="0" fontId="79" fillId="0" borderId="130" xfId="0" applyFont="1" applyFill="1" applyBorder="1" applyAlignment="1">
      <alignment horizontal="center" vertical="center"/>
    </xf>
    <xf numFmtId="1" fontId="79" fillId="0" borderId="130" xfId="0" applyNumberFormat="1" applyFont="1" applyFill="1" applyBorder="1" applyAlignment="1">
      <alignment horizontal="center" vertical="center"/>
    </xf>
    <xf numFmtId="4" fontId="78" fillId="0" borderId="130" xfId="0" applyNumberFormat="1" applyFont="1" applyFill="1" applyBorder="1" applyAlignment="1">
      <alignment horizontal="center" vertical="center" wrapText="1"/>
    </xf>
    <xf numFmtId="2" fontId="78" fillId="0" borderId="130" xfId="0" applyNumberFormat="1" applyFont="1" applyFill="1" applyBorder="1" applyAlignment="1">
      <alignment horizontal="center" vertical="center"/>
    </xf>
    <xf numFmtId="172" fontId="78" fillId="0" borderId="130" xfId="0" applyNumberFormat="1" applyFont="1" applyFill="1" applyBorder="1" applyAlignment="1">
      <alignment vertical="center"/>
    </xf>
    <xf numFmtId="174" fontId="79" fillId="0" borderId="130" xfId="0" applyNumberFormat="1" applyFont="1" applyFill="1" applyBorder="1" applyAlignment="1">
      <alignment horizontal="center" vertical="center"/>
    </xf>
    <xf numFmtId="2" fontId="78" fillId="0" borderId="152" xfId="0" applyNumberFormat="1" applyFont="1" applyFill="1" applyBorder="1" applyAlignment="1">
      <alignment horizontal="center" vertical="center" wrapText="1"/>
    </xf>
    <xf numFmtId="3" fontId="78" fillId="0" borderId="152" xfId="0" applyNumberFormat="1" applyFont="1" applyFill="1" applyBorder="1" applyAlignment="1">
      <alignment horizontal="center" vertical="center" wrapText="1"/>
    </xf>
    <xf numFmtId="4" fontId="78" fillId="0" borderId="152" xfId="0" applyNumberFormat="1" applyFont="1" applyFill="1" applyBorder="1" applyAlignment="1">
      <alignment horizontal="center" vertical="center" wrapText="1"/>
    </xf>
    <xf numFmtId="2" fontId="79" fillId="0" borderId="152" xfId="0" applyNumberFormat="1" applyFont="1" applyFill="1" applyBorder="1" applyAlignment="1">
      <alignment horizontal="center" vertical="center"/>
    </xf>
    <xf numFmtId="2" fontId="78" fillId="0" borderId="152" xfId="0" applyNumberFormat="1" applyFont="1" applyFill="1" applyBorder="1" applyAlignment="1">
      <alignment horizontal="center" vertical="center"/>
    </xf>
    <xf numFmtId="4" fontId="78" fillId="0" borderId="152" xfId="0" applyNumberFormat="1" applyFont="1" applyFill="1" applyBorder="1" applyAlignment="1" applyProtection="1">
      <alignment horizontal="center" vertical="center" wrapText="1"/>
      <protection locked="0"/>
    </xf>
    <xf numFmtId="10" fontId="79" fillId="0" borderId="152" xfId="0" applyNumberFormat="1" applyFont="1" applyFill="1" applyBorder="1" applyAlignment="1">
      <alignment horizontal="center" vertical="center"/>
    </xf>
    <xf numFmtId="10" fontId="78" fillId="0" borderId="152" xfId="0" applyNumberFormat="1" applyFont="1" applyFill="1" applyBorder="1" applyAlignment="1">
      <alignment horizontal="center" vertical="center"/>
    </xf>
    <xf numFmtId="172" fontId="79" fillId="14" borderId="154" xfId="0" applyNumberFormat="1" applyFont="1" applyFill="1" applyBorder="1" applyAlignment="1">
      <alignment horizontal="center" vertical="center"/>
    </xf>
    <xf numFmtId="172" fontId="79" fillId="14" borderId="155" xfId="0" applyNumberFormat="1" applyFont="1" applyFill="1" applyBorder="1" applyAlignment="1">
      <alignment horizontal="center" vertical="center"/>
    </xf>
    <xf numFmtId="172" fontId="79" fillId="14" borderId="155" xfId="0" applyNumberFormat="1" applyFont="1" applyFill="1" applyBorder="1" applyAlignment="1" applyProtection="1">
      <alignment horizontal="center" vertical="center"/>
      <protection locked="0"/>
    </xf>
    <xf numFmtId="10" fontId="79" fillId="14" borderId="155" xfId="0" applyNumberFormat="1" applyFont="1" applyFill="1" applyBorder="1" applyAlignment="1">
      <alignment horizontal="center" vertical="center"/>
    </xf>
    <xf numFmtId="10" fontId="78" fillId="14" borderId="155" xfId="0" applyNumberFormat="1" applyFont="1" applyFill="1" applyBorder="1" applyAlignment="1">
      <alignment horizontal="center" vertical="center"/>
    </xf>
    <xf numFmtId="10" fontId="79" fillId="14" borderId="156" xfId="0" applyNumberFormat="1" applyFont="1" applyFill="1" applyBorder="1" applyAlignment="1">
      <alignment horizontal="center" vertical="center"/>
    </xf>
    <xf numFmtId="2" fontId="78" fillId="0" borderId="153" xfId="0" applyNumberFormat="1" applyFont="1" applyFill="1" applyBorder="1" applyAlignment="1">
      <alignment horizontal="center" vertical="center" wrapText="1"/>
    </xf>
    <xf numFmtId="3" fontId="78" fillId="0" borderId="153" xfId="0" applyNumberFormat="1" applyFont="1" applyFill="1" applyBorder="1" applyAlignment="1">
      <alignment horizontal="center" vertical="center" wrapText="1"/>
    </xf>
    <xf numFmtId="4" fontId="78" fillId="0" borderId="153" xfId="0" applyNumberFormat="1" applyFont="1" applyFill="1" applyBorder="1" applyAlignment="1">
      <alignment horizontal="center" vertical="center" wrapText="1"/>
    </xf>
    <xf numFmtId="173" fontId="78" fillId="0" borderId="153" xfId="0" applyNumberFormat="1" applyFont="1" applyFill="1" applyBorder="1" applyAlignment="1">
      <alignment horizontal="center" vertical="center" wrapText="1"/>
    </xf>
    <xf numFmtId="0" fontId="79" fillId="0" borderId="153" xfId="0" applyFont="1" applyFill="1" applyBorder="1" applyAlignment="1">
      <alignment horizontal="center" vertical="center"/>
    </xf>
    <xf numFmtId="2" fontId="79" fillId="0" borderId="153" xfId="0" applyNumberFormat="1" applyFont="1" applyFill="1" applyBorder="1" applyAlignment="1">
      <alignment horizontal="center" vertical="center"/>
    </xf>
    <xf numFmtId="2" fontId="78" fillId="0" borderId="153" xfId="0" applyNumberFormat="1" applyFont="1" applyFill="1" applyBorder="1" applyAlignment="1">
      <alignment horizontal="center" vertical="center"/>
    </xf>
    <xf numFmtId="188" fontId="78" fillId="0" borderId="153" xfId="0" applyNumberFormat="1" applyFont="1" applyFill="1" applyBorder="1" applyAlignment="1">
      <alignment horizontal="center" vertical="center"/>
    </xf>
    <xf numFmtId="2" fontId="79" fillId="0" borderId="153" xfId="0" applyNumberFormat="1" applyFont="1" applyFill="1" applyBorder="1" applyAlignment="1" applyProtection="1">
      <alignment horizontal="center" vertical="center"/>
      <protection locked="0"/>
    </xf>
    <xf numFmtId="189" fontId="78" fillId="0" borderId="153" xfId="0" applyNumberFormat="1" applyFont="1" applyFill="1" applyBorder="1" applyAlignment="1">
      <alignment horizontal="center" vertical="center" wrapText="1"/>
    </xf>
    <xf numFmtId="189" fontId="79" fillId="0" borderId="153" xfId="0" applyNumberFormat="1" applyFont="1" applyFill="1" applyBorder="1" applyAlignment="1">
      <alignment horizontal="center" vertical="center"/>
    </xf>
    <xf numFmtId="10" fontId="79" fillId="0" borderId="153" xfId="0" applyNumberFormat="1" applyFont="1" applyFill="1" applyBorder="1" applyAlignment="1">
      <alignment horizontal="center" vertical="center"/>
    </xf>
    <xf numFmtId="10" fontId="78" fillId="0" borderId="153" xfId="0" applyNumberFormat="1" applyFont="1" applyFill="1" applyBorder="1" applyAlignment="1">
      <alignment horizontal="center" vertical="center"/>
    </xf>
    <xf numFmtId="172" fontId="78" fillId="0" borderId="153" xfId="0" applyNumberFormat="1" applyFont="1" applyFill="1" applyBorder="1" applyAlignment="1">
      <alignment horizontal="center" vertical="center" wrapText="1"/>
    </xf>
    <xf numFmtId="172" fontId="79" fillId="0" borderId="153" xfId="0" applyNumberFormat="1" applyFont="1" applyFill="1" applyBorder="1" applyAlignment="1">
      <alignment horizontal="center" vertical="center"/>
    </xf>
    <xf numFmtId="174" fontId="78" fillId="0" borderId="130" xfId="0" applyNumberFormat="1" applyFont="1" applyFill="1" applyBorder="1" applyAlignment="1">
      <alignment horizontal="center" vertical="center" wrapText="1"/>
    </xf>
    <xf numFmtId="0" fontId="79" fillId="0" borderId="152" xfId="0" applyFont="1" applyFill="1" applyBorder="1" applyAlignment="1">
      <alignment horizontal="center" vertical="center"/>
    </xf>
    <xf numFmtId="4" fontId="79" fillId="0" borderId="152" xfId="0" applyNumberFormat="1" applyFont="1" applyFill="1" applyBorder="1" applyAlignment="1">
      <alignment horizontal="center" vertical="center"/>
    </xf>
    <xf numFmtId="173" fontId="79" fillId="0" borderId="152" xfId="0" applyNumberFormat="1" applyFont="1" applyFill="1" applyBorder="1" applyAlignment="1">
      <alignment horizontal="center" vertical="center"/>
    </xf>
    <xf numFmtId="2" fontId="78" fillId="0" borderId="152" xfId="0" applyNumberFormat="1" applyFont="1" applyFill="1" applyBorder="1" applyAlignment="1" applyProtection="1">
      <alignment horizontal="center" vertical="center" wrapText="1"/>
      <protection locked="0"/>
    </xf>
    <xf numFmtId="189" fontId="78" fillId="0" borderId="181" xfId="0" applyNumberFormat="1" applyFont="1" applyFill="1" applyBorder="1" applyAlignment="1">
      <alignment horizontal="center" vertical="center" wrapText="1"/>
    </xf>
    <xf numFmtId="189" fontId="79" fillId="0" borderId="181" xfId="0" applyNumberFormat="1" applyFont="1" applyFill="1" applyBorder="1" applyAlignment="1">
      <alignment horizontal="center" vertical="center"/>
    </xf>
    <xf numFmtId="2" fontId="79" fillId="0" borderId="181" xfId="0" applyNumberFormat="1" applyFont="1" applyFill="1" applyBorder="1" applyAlignment="1">
      <alignment horizontal="center" vertical="center"/>
    </xf>
    <xf numFmtId="174" fontId="79" fillId="14" borderId="155" xfId="0" applyNumberFormat="1" applyFont="1" applyFill="1" applyBorder="1" applyAlignment="1">
      <alignment horizontal="center" vertical="center"/>
    </xf>
    <xf numFmtId="175" fontId="78" fillId="14" borderId="155" xfId="0" applyNumberFormat="1" applyFont="1" applyFill="1" applyBorder="1" applyAlignment="1">
      <alignment horizontal="center" vertical="center" wrapText="1"/>
    </xf>
    <xf numFmtId="172" fontId="78" fillId="14" borderId="155" xfId="0" applyNumberFormat="1" applyFont="1" applyFill="1" applyBorder="1" applyAlignment="1">
      <alignment horizontal="center" vertical="center"/>
    </xf>
    <xf numFmtId="1" fontId="78" fillId="0" borderId="153" xfId="0" applyNumberFormat="1" applyFont="1" applyFill="1" applyBorder="1" applyAlignment="1">
      <alignment horizontal="center" vertical="center" wrapText="1"/>
    </xf>
    <xf numFmtId="37" fontId="79" fillId="0" borderId="153" xfId="0" applyNumberFormat="1" applyFont="1" applyFill="1" applyBorder="1" applyAlignment="1">
      <alignment horizontal="center" vertical="center"/>
    </xf>
    <xf numFmtId="39" fontId="79" fillId="0" borderId="153" xfId="0" applyNumberFormat="1" applyFont="1" applyFill="1" applyBorder="1" applyAlignment="1">
      <alignment horizontal="center" vertical="center"/>
    </xf>
    <xf numFmtId="176" fontId="79" fillId="0" borderId="153" xfId="0" applyNumberFormat="1" applyFont="1" applyFill="1" applyBorder="1" applyAlignment="1">
      <alignment horizontal="center" vertical="center"/>
    </xf>
    <xf numFmtId="167" fontId="79" fillId="0" borderId="153" xfId="0" applyNumberFormat="1" applyFont="1" applyFill="1" applyBorder="1" applyAlignment="1">
      <alignment horizontal="center" vertical="center"/>
    </xf>
    <xf numFmtId="37" fontId="79" fillId="0" borderId="130" xfId="0" applyNumberFormat="1" applyFont="1" applyFill="1" applyBorder="1" applyAlignment="1">
      <alignment horizontal="center" vertical="center"/>
    </xf>
    <xf numFmtId="37" fontId="79" fillId="0" borderId="152" xfId="0" applyNumberFormat="1" applyFont="1" applyFill="1" applyBorder="1" applyAlignment="1">
      <alignment horizontal="center" vertical="center"/>
    </xf>
    <xf numFmtId="39" fontId="79" fillId="0" borderId="152" xfId="0" applyNumberFormat="1" applyFont="1" applyFill="1" applyBorder="1" applyAlignment="1">
      <alignment horizontal="center" vertical="center"/>
    </xf>
    <xf numFmtId="176" fontId="79" fillId="0" borderId="152" xfId="0" applyNumberFormat="1" applyFont="1" applyFill="1" applyBorder="1" applyAlignment="1">
      <alignment horizontal="center" vertical="center"/>
    </xf>
    <xf numFmtId="4" fontId="79" fillId="0" borderId="152" xfId="0" applyNumberFormat="1" applyFont="1" applyFill="1" applyBorder="1" applyAlignment="1" applyProtection="1">
      <alignment horizontal="center" vertical="center"/>
      <protection locked="0"/>
    </xf>
    <xf numFmtId="2" fontId="78" fillId="0" borderId="181" xfId="0" applyNumberFormat="1" applyFont="1" applyFill="1" applyBorder="1" applyAlignment="1">
      <alignment horizontal="center" vertical="center" wrapText="1"/>
    </xf>
    <xf numFmtId="10" fontId="79" fillId="0" borderId="181" xfId="0" applyNumberFormat="1" applyFont="1" applyFill="1" applyBorder="1" applyAlignment="1">
      <alignment horizontal="center" vertical="center"/>
    </xf>
    <xf numFmtId="172" fontId="78" fillId="14" borderId="155" xfId="0" applyNumberFormat="1" applyFont="1" applyFill="1" applyBorder="1" applyAlignment="1">
      <alignment horizontal="center" vertical="center" wrapText="1"/>
    </xf>
    <xf numFmtId="172" fontId="78" fillId="0" borderId="130" xfId="0" applyNumberFormat="1" applyFont="1" applyFill="1" applyBorder="1" applyAlignment="1">
      <alignment vertical="center" wrapText="1"/>
    </xf>
    <xf numFmtId="3" fontId="78" fillId="14" borderId="155" xfId="0" applyNumberFormat="1" applyFont="1" applyFill="1" applyBorder="1" applyAlignment="1">
      <alignment horizontal="center" vertical="center" wrapText="1"/>
    </xf>
    <xf numFmtId="172" fontId="78" fillId="13" borderId="157" xfId="0" applyNumberFormat="1" applyFont="1" applyFill="1" applyBorder="1" applyAlignment="1">
      <alignment horizontal="center" vertical="center" wrapText="1"/>
    </xf>
    <xf numFmtId="172" fontId="78" fillId="13" borderId="158" xfId="0" applyNumberFormat="1" applyFont="1" applyFill="1" applyBorder="1" applyAlignment="1">
      <alignment horizontal="center" vertical="center" wrapText="1"/>
    </xf>
    <xf numFmtId="172" fontId="78" fillId="13" borderId="158" xfId="0" applyNumberFormat="1" applyFont="1" applyFill="1" applyBorder="1" applyAlignment="1" applyProtection="1">
      <alignment horizontal="center" vertical="center" wrapText="1"/>
      <protection locked="0"/>
    </xf>
    <xf numFmtId="172" fontId="78" fillId="13" borderId="159" xfId="0" applyNumberFormat="1" applyFont="1" applyFill="1" applyBorder="1" applyAlignment="1">
      <alignment horizontal="center" vertical="center" wrapText="1"/>
    </xf>
    <xf numFmtId="172" fontId="78" fillId="0" borderId="150" xfId="0" applyNumberFormat="1" applyFont="1" applyFill="1" applyBorder="1" applyAlignment="1">
      <alignment horizontal="center" vertical="center" wrapText="1"/>
    </xf>
    <xf numFmtId="172" fontId="79" fillId="13" borderId="132" xfId="0" applyNumberFormat="1" applyFont="1" applyFill="1" applyBorder="1" applyAlignment="1">
      <alignment horizontal="center" vertical="center"/>
    </xf>
    <xf numFmtId="172" fontId="79" fillId="13" borderId="130" xfId="0" applyNumberFormat="1" applyFont="1" applyFill="1" applyBorder="1" applyAlignment="1">
      <alignment horizontal="center" vertical="center"/>
    </xf>
    <xf numFmtId="172" fontId="79" fillId="13" borderId="130" xfId="0" applyNumberFormat="1" applyFont="1" applyFill="1" applyBorder="1" applyAlignment="1" applyProtection="1">
      <alignment horizontal="center" vertical="center"/>
      <protection locked="0"/>
    </xf>
    <xf numFmtId="172" fontId="79" fillId="13" borderId="133" xfId="0" applyNumberFormat="1" applyFont="1" applyFill="1" applyBorder="1" applyAlignment="1">
      <alignment horizontal="center" vertical="center"/>
    </xf>
    <xf numFmtId="172" fontId="79" fillId="0" borderId="151" xfId="0" applyNumberFormat="1" applyFont="1" applyFill="1" applyBorder="1" applyAlignment="1">
      <alignment horizontal="center" vertical="center"/>
    </xf>
    <xf numFmtId="172" fontId="78" fillId="13" borderId="134" xfId="0" applyNumberFormat="1" applyFont="1" applyFill="1" applyBorder="1" applyAlignment="1">
      <alignment horizontal="center" vertical="center" wrapText="1"/>
    </xf>
    <xf numFmtId="172" fontId="78" fillId="13" borderId="135" xfId="0" applyNumberFormat="1" applyFont="1" applyFill="1" applyBorder="1" applyAlignment="1">
      <alignment horizontal="center" vertical="center" wrapText="1"/>
    </xf>
    <xf numFmtId="172" fontId="78" fillId="13" borderId="135" xfId="0" applyNumberFormat="1" applyFont="1" applyFill="1" applyBorder="1" applyAlignment="1" applyProtection="1">
      <alignment horizontal="center" vertical="center" wrapText="1"/>
      <protection locked="0"/>
    </xf>
    <xf numFmtId="172" fontId="78" fillId="13" borderId="136" xfId="0" applyNumberFormat="1" applyFont="1" applyFill="1" applyBorder="1" applyAlignment="1">
      <alignment horizontal="center" vertical="center" wrapText="1"/>
    </xf>
    <xf numFmtId="172" fontId="78" fillId="0" borderId="151" xfId="0" applyNumberFormat="1" applyFont="1" applyFill="1" applyBorder="1" applyAlignment="1">
      <alignment horizontal="center" vertical="center" wrapText="1"/>
    </xf>
    <xf numFmtId="0" fontId="10" fillId="0" borderId="130" xfId="0" applyFont="1" applyFill="1" applyBorder="1" applyAlignment="1">
      <alignment horizontal="center" vertical="center"/>
    </xf>
    <xf numFmtId="0" fontId="10" fillId="0" borderId="130" xfId="0" applyFont="1" applyFill="1" applyBorder="1" applyAlignment="1">
      <alignment horizontal="left" vertical="top" wrapText="1"/>
    </xf>
    <xf numFmtId="0" fontId="11" fillId="0" borderId="130" xfId="0" applyFont="1" applyFill="1" applyBorder="1" applyAlignment="1">
      <alignment horizontal="center" vertical="center"/>
    </xf>
    <xf numFmtId="165" fontId="10" fillId="0" borderId="130" xfId="0" applyNumberFormat="1" applyFont="1" applyFill="1" applyBorder="1" applyAlignment="1">
      <alignment horizontal="left" vertical="center"/>
    </xf>
    <xf numFmtId="165" fontId="10" fillId="0" borderId="130" xfId="0" applyNumberFormat="1" applyFont="1" applyFill="1" applyBorder="1" applyAlignment="1">
      <alignment vertical="center"/>
    </xf>
    <xf numFmtId="165" fontId="10" fillId="0" borderId="130" xfId="0" applyNumberFormat="1" applyFont="1" applyFill="1" applyBorder="1" applyAlignment="1">
      <alignment horizontal="center" vertical="center"/>
    </xf>
    <xf numFmtId="166" fontId="10" fillId="0" borderId="130" xfId="0" applyNumberFormat="1" applyFont="1" applyFill="1" applyBorder="1" applyAlignment="1">
      <alignment horizontal="center" vertical="center"/>
    </xf>
    <xf numFmtId="167" fontId="10" fillId="0" borderId="130" xfId="0" applyNumberFormat="1" applyFont="1" applyFill="1" applyBorder="1" applyAlignment="1">
      <alignment vertical="center"/>
    </xf>
    <xf numFmtId="167" fontId="10" fillId="0" borderId="130" xfId="0" applyNumberFormat="1" applyFont="1" applyFill="1" applyBorder="1" applyAlignment="1">
      <alignment horizontal="center" vertical="center"/>
    </xf>
    <xf numFmtId="4" fontId="9" fillId="0" borderId="130" xfId="0" applyNumberFormat="1" applyFont="1" applyFill="1" applyBorder="1" applyAlignment="1">
      <alignment horizontal="center" vertical="center" wrapText="1"/>
    </xf>
    <xf numFmtId="2" fontId="9" fillId="0" borderId="130" xfId="0" applyNumberFormat="1" applyFont="1" applyFill="1" applyBorder="1" applyAlignment="1">
      <alignment horizontal="center" vertical="center" wrapText="1"/>
    </xf>
    <xf numFmtId="2" fontId="10" fillId="0" borderId="130" xfId="0" applyNumberFormat="1" applyFont="1" applyFill="1" applyBorder="1" applyAlignment="1" applyProtection="1">
      <alignment horizontal="center" vertical="center"/>
      <protection locked="0"/>
    </xf>
    <xf numFmtId="10" fontId="10" fillId="0" borderId="130" xfId="0" applyNumberFormat="1" applyFont="1" applyFill="1" applyBorder="1" applyAlignment="1">
      <alignment horizontal="center" vertical="center"/>
    </xf>
    <xf numFmtId="0" fontId="73" fillId="0" borderId="130" xfId="0" applyFont="1" applyFill="1" applyBorder="1" applyAlignment="1" applyProtection="1">
      <alignment vertical="top" wrapText="1"/>
      <protection locked="0"/>
    </xf>
    <xf numFmtId="0" fontId="74" fillId="0" borderId="130" xfId="0" applyFont="1" applyFill="1" applyBorder="1" applyAlignment="1" applyProtection="1">
      <alignment horizontal="center" vertical="top" wrapText="1"/>
      <protection locked="0"/>
    </xf>
    <xf numFmtId="0" fontId="58" fillId="0" borderId="130" xfId="0" applyFont="1" applyFill="1" applyBorder="1" applyAlignment="1" applyProtection="1">
      <alignment horizontal="center" vertical="top" wrapText="1"/>
      <protection locked="0"/>
    </xf>
    <xf numFmtId="0" fontId="13" fillId="0" borderId="130" xfId="0" applyFont="1" applyFill="1" applyBorder="1" applyAlignment="1" applyProtection="1">
      <alignment horizontal="center" vertical="top" wrapText="1"/>
      <protection locked="0"/>
    </xf>
    <xf numFmtId="0" fontId="12" fillId="0" borderId="130" xfId="0" applyFont="1" applyFill="1" applyBorder="1" applyAlignment="1" applyProtection="1">
      <alignment horizontal="center" vertical="top" wrapText="1"/>
      <protection locked="0"/>
    </xf>
    <xf numFmtId="0" fontId="14" fillId="0" borderId="130" xfId="0" applyFont="1" applyFill="1" applyBorder="1" applyAlignment="1">
      <alignment horizontal="left" vertical="top" wrapText="1"/>
    </xf>
    <xf numFmtId="0" fontId="14" fillId="0" borderId="130" xfId="0" applyFont="1" applyFill="1" applyBorder="1" applyAlignment="1">
      <alignment horizontal="center" vertical="center"/>
    </xf>
    <xf numFmtId="168" fontId="10" fillId="0" borderId="130" xfId="0" applyNumberFormat="1" applyFont="1" applyFill="1" applyBorder="1" applyAlignment="1">
      <alignment horizontal="center" vertical="center"/>
    </xf>
    <xf numFmtId="166" fontId="10" fillId="0" borderId="130" xfId="0" applyNumberFormat="1" applyFont="1" applyFill="1" applyBorder="1" applyAlignment="1">
      <alignment vertical="center"/>
    </xf>
    <xf numFmtId="169" fontId="10" fillId="0" borderId="130" xfId="0" applyNumberFormat="1" applyFont="1" applyFill="1" applyBorder="1" applyAlignment="1">
      <alignment vertical="center"/>
    </xf>
    <xf numFmtId="2" fontId="10" fillId="0" borderId="130" xfId="0" applyNumberFormat="1" applyFont="1" applyFill="1" applyBorder="1" applyAlignment="1">
      <alignment vertical="center"/>
    </xf>
    <xf numFmtId="4" fontId="10" fillId="0" borderId="130" xfId="0" applyNumberFormat="1" applyFont="1" applyFill="1" applyBorder="1" applyAlignment="1">
      <alignment horizontal="center" vertical="center"/>
    </xf>
    <xf numFmtId="188" fontId="10" fillId="0" borderId="130" xfId="0" applyNumberFormat="1" applyFont="1" applyFill="1" applyBorder="1" applyAlignment="1">
      <alignment horizontal="center" vertical="center"/>
    </xf>
    <xf numFmtId="0" fontId="12" fillId="0" borderId="130" xfId="0" applyFont="1" applyFill="1" applyBorder="1" applyAlignment="1" applyProtection="1">
      <alignment vertical="top" wrapText="1"/>
      <protection locked="0"/>
    </xf>
    <xf numFmtId="0" fontId="9" fillId="0" borderId="130" xfId="0" applyFont="1" applyFill="1" applyBorder="1" applyAlignment="1">
      <alignment horizontal="left" vertical="top" wrapText="1"/>
    </xf>
    <xf numFmtId="0" fontId="9" fillId="0" borderId="130" xfId="0" applyFont="1" applyFill="1" applyBorder="1" applyAlignment="1">
      <alignment horizontal="center" vertical="center"/>
    </xf>
    <xf numFmtId="165" fontId="9" fillId="0" borderId="130" xfId="0" applyNumberFormat="1" applyFont="1" applyFill="1" applyBorder="1" applyAlignment="1">
      <alignment horizontal="left" vertical="center"/>
    </xf>
    <xf numFmtId="165" fontId="9" fillId="0" borderId="130" xfId="0" applyNumberFormat="1" applyFont="1" applyFill="1" applyBorder="1" applyAlignment="1">
      <alignment vertical="center"/>
    </xf>
    <xf numFmtId="168" fontId="9" fillId="0" borderId="130" xfId="0" applyNumberFormat="1" applyFont="1" applyFill="1" applyBorder="1" applyAlignment="1">
      <alignment horizontal="center" vertical="center"/>
    </xf>
    <xf numFmtId="166" fontId="9" fillId="0" borderId="130" xfId="0" applyNumberFormat="1" applyFont="1" applyFill="1" applyBorder="1" applyAlignment="1">
      <alignment horizontal="center" vertical="center"/>
    </xf>
    <xf numFmtId="165" fontId="9" fillId="0" borderId="130" xfId="0" applyNumberFormat="1" applyFont="1" applyFill="1" applyBorder="1" applyAlignment="1">
      <alignment horizontal="center" vertical="center"/>
    </xf>
    <xf numFmtId="1" fontId="9" fillId="0" borderId="130" xfId="0" applyNumberFormat="1" applyFont="1" applyFill="1" applyBorder="1" applyAlignment="1">
      <alignment horizontal="center" vertical="center"/>
    </xf>
    <xf numFmtId="1" fontId="10" fillId="0" borderId="130" xfId="0" applyNumberFormat="1" applyFont="1" applyFill="1" applyBorder="1" applyAlignment="1">
      <alignment horizontal="center" vertical="center"/>
    </xf>
    <xf numFmtId="2" fontId="9" fillId="0" borderId="130" xfId="0" applyNumberFormat="1" applyFont="1" applyFill="1" applyBorder="1" applyAlignment="1">
      <alignment horizontal="center" vertical="center"/>
    </xf>
    <xf numFmtId="3" fontId="9" fillId="0" borderId="130" xfId="0" applyNumberFormat="1" applyFont="1" applyFill="1" applyBorder="1" applyAlignment="1">
      <alignment horizontal="center" vertical="center" wrapText="1"/>
    </xf>
    <xf numFmtId="170" fontId="9" fillId="0" borderId="130" xfId="0" applyNumberFormat="1" applyFont="1" applyFill="1" applyBorder="1" applyAlignment="1">
      <alignment horizontal="center" vertical="center"/>
    </xf>
    <xf numFmtId="170" fontId="9" fillId="0" borderId="130" xfId="0" applyNumberFormat="1" applyFont="1" applyFill="1" applyBorder="1" applyAlignment="1">
      <alignment horizontal="center" vertical="center" wrapText="1"/>
    </xf>
    <xf numFmtId="170" fontId="10" fillId="0" borderId="130" xfId="0" applyNumberFormat="1" applyFont="1" applyFill="1" applyBorder="1" applyAlignment="1">
      <alignment horizontal="center" vertical="center"/>
    </xf>
    <xf numFmtId="2" fontId="53" fillId="0" borderId="130" xfId="0" applyNumberFormat="1" applyFont="1" applyFill="1" applyBorder="1" applyAlignment="1">
      <alignment horizontal="center" vertical="center"/>
    </xf>
    <xf numFmtId="171" fontId="53" fillId="0" borderId="130" xfId="0" applyNumberFormat="1" applyFont="1" applyFill="1" applyBorder="1" applyAlignment="1">
      <alignment horizontal="center" vertical="center"/>
    </xf>
    <xf numFmtId="171" fontId="53" fillId="0" borderId="130" xfId="0" applyNumberFormat="1" applyFont="1" applyFill="1" applyBorder="1" applyAlignment="1" applyProtection="1">
      <alignment horizontal="center" vertical="center"/>
      <protection locked="0"/>
    </xf>
    <xf numFmtId="170" fontId="53" fillId="0" borderId="130" xfId="0" applyNumberFormat="1" applyFont="1" applyFill="1" applyBorder="1" applyAlignment="1">
      <alignment horizontal="center" vertical="center"/>
    </xf>
    <xf numFmtId="170" fontId="9" fillId="0" borderId="130" xfId="0" applyNumberFormat="1" applyFont="1" applyFill="1" applyBorder="1" applyAlignment="1">
      <alignment horizontal="left" vertical="center" wrapText="1"/>
    </xf>
    <xf numFmtId="170" fontId="9" fillId="0" borderId="130" xfId="0" applyNumberFormat="1" applyFont="1" applyFill="1" applyBorder="1" applyAlignment="1">
      <alignment vertical="center"/>
    </xf>
    <xf numFmtId="0" fontId="9" fillId="0" borderId="130" xfId="0" applyFont="1" applyFill="1" applyBorder="1" applyAlignment="1">
      <alignment horizontal="center" vertical="top" wrapText="1"/>
    </xf>
    <xf numFmtId="169" fontId="10" fillId="0" borderId="130" xfId="0" applyNumberFormat="1" applyFont="1" applyFill="1" applyBorder="1" applyAlignment="1">
      <alignment horizontal="center" vertical="center"/>
    </xf>
    <xf numFmtId="1" fontId="9" fillId="0" borderId="130" xfId="0" applyNumberFormat="1" applyFont="1" applyFill="1" applyBorder="1" applyAlignment="1">
      <alignment horizontal="center" vertical="center" wrapText="1"/>
    </xf>
    <xf numFmtId="0" fontId="73" fillId="0" borderId="130" xfId="0" applyFont="1" applyFill="1" applyBorder="1" applyAlignment="1" applyProtection="1">
      <alignment horizontal="left" vertical="top" wrapText="1"/>
      <protection locked="0"/>
    </xf>
    <xf numFmtId="0" fontId="14" fillId="0" borderId="130" xfId="0" applyFont="1" applyFill="1" applyBorder="1" applyAlignment="1">
      <alignment horizontal="center" vertical="top" wrapText="1"/>
    </xf>
    <xf numFmtId="0" fontId="10" fillId="0" borderId="130" xfId="0" applyFont="1" applyFill="1" applyBorder="1" applyAlignment="1">
      <alignment vertical="center"/>
    </xf>
    <xf numFmtId="171" fontId="10" fillId="0" borderId="130" xfId="0" applyNumberFormat="1" applyFont="1" applyFill="1" applyBorder="1" applyAlignment="1">
      <alignment horizontal="center" vertical="center"/>
    </xf>
    <xf numFmtId="0" fontId="13" fillId="0" borderId="130" xfId="0" applyFont="1" applyFill="1" applyBorder="1" applyAlignment="1" applyProtection="1">
      <alignment horizontal="left" vertical="top" wrapText="1"/>
      <protection locked="0"/>
    </xf>
    <xf numFmtId="0" fontId="80" fillId="0" borderId="93" xfId="8"/>
    <xf numFmtId="0" fontId="27" fillId="2" borderId="102" xfId="7" applyFont="1" applyFill="1" applyBorder="1" applyAlignment="1">
      <alignment horizontal="center" vertical="center" wrapText="1"/>
    </xf>
    <xf numFmtId="0" fontId="27" fillId="2" borderId="104" xfId="7" applyFont="1" applyFill="1" applyBorder="1" applyAlignment="1">
      <alignment vertical="center" wrapText="1"/>
    </xf>
    <xf numFmtId="0" fontId="27" fillId="2" borderId="70" xfId="7" applyFont="1" applyFill="1" applyBorder="1" applyAlignment="1">
      <alignment vertical="center" wrapText="1"/>
    </xf>
    <xf numFmtId="0" fontId="27" fillId="2" borderId="105" xfId="7" applyFont="1" applyFill="1" applyBorder="1" applyAlignment="1">
      <alignment vertical="center" wrapText="1"/>
    </xf>
    <xf numFmtId="0" fontId="27" fillId="2" borderId="80" xfId="7" applyFont="1" applyFill="1" applyBorder="1" applyAlignment="1">
      <alignment horizontal="center" vertical="center" wrapText="1"/>
    </xf>
    <xf numFmtId="10" fontId="19" fillId="2" borderId="77" xfId="7" applyNumberFormat="1" applyFont="1" applyFill="1" applyBorder="1" applyAlignment="1">
      <alignment horizontal="center" vertical="center" wrapText="1"/>
    </xf>
    <xf numFmtId="39" fontId="19" fillId="2" borderId="77" xfId="7" applyNumberFormat="1" applyFont="1" applyFill="1" applyBorder="1" applyAlignment="1">
      <alignment horizontal="center" vertical="center" wrapText="1"/>
    </xf>
    <xf numFmtId="0" fontId="27" fillId="2" borderId="106" xfId="7" applyFont="1" applyFill="1" applyBorder="1" applyAlignment="1">
      <alignment horizontal="center" vertical="center" wrapText="1"/>
    </xf>
    <xf numFmtId="10" fontId="19" fillId="2" borderId="44" xfId="7" applyNumberFormat="1" applyFont="1" applyFill="1" applyBorder="1" applyAlignment="1">
      <alignment horizontal="center" vertical="center" wrapText="1"/>
    </xf>
    <xf numFmtId="0" fontId="19" fillId="2" borderId="77" xfId="7" applyFont="1" applyFill="1" applyBorder="1" applyAlignment="1">
      <alignment horizontal="center" vertical="center" wrapText="1"/>
    </xf>
    <xf numFmtId="0" fontId="27" fillId="2" borderId="77" xfId="7" applyFont="1" applyFill="1" applyBorder="1" applyAlignment="1">
      <alignment horizontal="center" vertical="center" wrapText="1"/>
    </xf>
    <xf numFmtId="0" fontId="27" fillId="2" borderId="107" xfId="7" applyFont="1" applyFill="1" applyBorder="1" applyAlignment="1">
      <alignment horizontal="center" vertical="center" wrapText="1"/>
    </xf>
    <xf numFmtId="0" fontId="27" fillId="2" borderId="77" xfId="7" applyFont="1" applyFill="1" applyBorder="1" applyAlignment="1">
      <alignment horizontal="center" vertical="top" wrapText="1"/>
    </xf>
    <xf numFmtId="0" fontId="27" fillId="2" borderId="108" xfId="7" applyFont="1" applyFill="1" applyBorder="1" applyAlignment="1">
      <alignment horizontal="center" vertical="top" wrapText="1"/>
    </xf>
    <xf numFmtId="0" fontId="17" fillId="2" borderId="44" xfId="7" applyFont="1" applyFill="1" applyBorder="1" applyAlignment="1">
      <alignment horizontal="left" vertical="center" wrapText="1"/>
    </xf>
    <xf numFmtId="172" fontId="17" fillId="3" borderId="44" xfId="7" applyNumberFormat="1" applyFont="1" applyFill="1" applyBorder="1" applyAlignment="1">
      <alignment horizontal="left" vertical="center" wrapText="1"/>
    </xf>
    <xf numFmtId="0" fontId="36" fillId="2" borderId="44" xfId="7" applyFont="1" applyFill="1" applyBorder="1" applyAlignment="1">
      <alignment horizontal="left" vertical="center" wrapText="1"/>
    </xf>
    <xf numFmtId="172" fontId="36" fillId="3" borderId="44" xfId="7" applyNumberFormat="1" applyFont="1" applyFill="1" applyBorder="1" applyAlignment="1">
      <alignment horizontal="left" vertical="center" wrapText="1"/>
    </xf>
    <xf numFmtId="174" fontId="17" fillId="3" borderId="44" xfId="7" applyNumberFormat="1" applyFont="1" applyFill="1" applyBorder="1" applyAlignment="1">
      <alignment horizontal="left" vertical="center" wrapText="1"/>
    </xf>
    <xf numFmtId="0" fontId="17" fillId="3" borderId="44" xfId="7" applyFont="1" applyFill="1" applyBorder="1" applyAlignment="1">
      <alignment horizontal="left" vertical="center" wrapText="1"/>
    </xf>
    <xf numFmtId="172" fontId="17" fillId="3" borderId="44" xfId="7" applyNumberFormat="1" applyFont="1" applyFill="1" applyBorder="1" applyAlignment="1">
      <alignment horizontal="center" vertical="center" wrapText="1"/>
    </xf>
    <xf numFmtId="178" fontId="23" fillId="0" borderId="44" xfId="9" applyNumberFormat="1" applyFont="1" applyFill="1" applyBorder="1" applyAlignment="1">
      <alignment horizontal="center" vertical="center"/>
    </xf>
    <xf numFmtId="174" fontId="26" fillId="2" borderId="44" xfId="7" applyNumberFormat="1" applyFont="1" applyFill="1" applyBorder="1" applyAlignment="1">
      <alignment horizontal="left" vertical="center" wrapText="1"/>
    </xf>
    <xf numFmtId="172" fontId="26" fillId="12" borderId="44" xfId="7" applyNumberFormat="1" applyFont="1" applyFill="1" applyBorder="1" applyAlignment="1">
      <alignment horizontal="center" vertical="center" wrapText="1"/>
    </xf>
    <xf numFmtId="174" fontId="26" fillId="12" borderId="44" xfId="7" applyNumberFormat="1" applyFont="1" applyFill="1" applyBorder="1" applyAlignment="1">
      <alignment horizontal="center" vertical="center" wrapText="1"/>
    </xf>
    <xf numFmtId="174" fontId="27" fillId="12" borderId="44" xfId="7" applyNumberFormat="1" applyFont="1" applyFill="1" applyBorder="1" applyAlignment="1">
      <alignment vertical="center" wrapText="1"/>
    </xf>
    <xf numFmtId="172" fontId="80" fillId="0" borderId="93" xfId="8" applyNumberFormat="1"/>
    <xf numFmtId="0" fontId="26" fillId="2" borderId="44" xfId="7" applyFont="1" applyFill="1" applyBorder="1" applyAlignment="1">
      <alignment horizontal="left" vertical="center" wrapText="1"/>
    </xf>
    <xf numFmtId="175" fontId="26" fillId="12" borderId="44" xfId="7" applyNumberFormat="1" applyFont="1" applyFill="1" applyBorder="1" applyAlignment="1">
      <alignment horizontal="center" vertical="center" wrapText="1"/>
    </xf>
    <xf numFmtId="0" fontId="27" fillId="12" borderId="44" xfId="7" applyFont="1" applyFill="1" applyBorder="1" applyAlignment="1">
      <alignment vertical="center" wrapText="1"/>
    </xf>
    <xf numFmtId="0" fontId="1" fillId="9" borderId="93" xfId="7" applyFont="1" applyFill="1"/>
    <xf numFmtId="4" fontId="1" fillId="9" borderId="93" xfId="7" applyNumberFormat="1" applyFont="1" applyFill="1"/>
    <xf numFmtId="4" fontId="1" fillId="9" borderId="93" xfId="7" applyNumberFormat="1" applyFont="1" applyFill="1" applyAlignment="1">
      <alignment horizontal="center"/>
    </xf>
    <xf numFmtId="39" fontId="1" fillId="9" borderId="93" xfId="7" applyNumberFormat="1" applyFont="1" applyFill="1"/>
    <xf numFmtId="0" fontId="1" fillId="9" borderId="93" xfId="7" applyFont="1" applyFill="1" applyAlignment="1">
      <alignment horizontal="center" vertical="center"/>
    </xf>
    <xf numFmtId="165" fontId="1" fillId="9" borderId="93" xfId="7" applyNumberFormat="1" applyFont="1" applyFill="1"/>
    <xf numFmtId="0" fontId="1" fillId="9" borderId="93" xfId="7" applyFont="1" applyFill="1" applyAlignment="1">
      <alignment horizontal="center"/>
    </xf>
    <xf numFmtId="0" fontId="56" fillId="0" borderId="93" xfId="7"/>
    <xf numFmtId="0" fontId="19" fillId="9" borderId="93" xfId="7" applyFont="1" applyFill="1" applyAlignment="1">
      <alignment vertical="center"/>
    </xf>
    <xf numFmtId="10" fontId="19" fillId="9" borderId="93" xfId="7" applyNumberFormat="1" applyFont="1" applyFill="1" applyAlignment="1">
      <alignment vertical="center"/>
    </xf>
    <xf numFmtId="4" fontId="19" fillId="9" borderId="93" xfId="7" applyNumberFormat="1" applyFont="1" applyFill="1" applyAlignment="1">
      <alignment vertical="center"/>
    </xf>
    <xf numFmtId="2" fontId="19" fillId="0" borderId="93" xfId="7" applyNumberFormat="1" applyFont="1" applyAlignment="1">
      <alignment vertical="center"/>
    </xf>
    <xf numFmtId="172" fontId="22" fillId="0" borderId="93" xfId="8" applyNumberFormat="1" applyFont="1" applyBorder="1" applyAlignment="1">
      <alignment horizontal="center" vertical="center"/>
    </xf>
    <xf numFmtId="0" fontId="19" fillId="0" borderId="93" xfId="7" applyFont="1" applyAlignment="1">
      <alignment vertical="center"/>
    </xf>
    <xf numFmtId="0" fontId="19" fillId="0" borderId="93" xfId="7" applyFont="1" applyAlignment="1">
      <alignment horizontal="center" vertical="center"/>
    </xf>
    <xf numFmtId="165" fontId="19" fillId="0" borderId="93" xfId="7" applyNumberFormat="1" applyFont="1" applyAlignment="1">
      <alignment vertical="center"/>
    </xf>
    <xf numFmtId="0" fontId="15" fillId="8" borderId="44" xfId="7" applyFont="1" applyFill="1" applyBorder="1" applyAlignment="1">
      <alignment horizontal="center" vertical="center"/>
    </xf>
    <xf numFmtId="179" fontId="19" fillId="9" borderId="93" xfId="7" applyNumberFormat="1" applyFont="1" applyFill="1" applyAlignment="1">
      <alignment vertical="center"/>
    </xf>
    <xf numFmtId="0" fontId="19" fillId="9" borderId="93" xfId="7" applyFont="1" applyFill="1" applyAlignment="1">
      <alignment horizontal="center" vertical="center"/>
    </xf>
    <xf numFmtId="172" fontId="22" fillId="0" borderId="93" xfId="7" applyNumberFormat="1" applyFont="1" applyAlignment="1">
      <alignment horizontal="center" vertical="center"/>
    </xf>
    <xf numFmtId="167" fontId="19" fillId="0" borderId="93" xfId="7" applyNumberFormat="1" applyFont="1" applyAlignment="1">
      <alignment vertical="center"/>
    </xf>
    <xf numFmtId="0" fontId="1" fillId="0" borderId="44" xfId="7" applyFont="1" applyBorder="1" applyAlignment="1">
      <alignment horizontal="center" vertical="center"/>
    </xf>
    <xf numFmtId="172" fontId="19" fillId="9" borderId="93" xfId="7" applyNumberFormat="1" applyFont="1" applyFill="1" applyAlignment="1">
      <alignment vertical="center"/>
    </xf>
    <xf numFmtId="170" fontId="19" fillId="9" borderId="93" xfId="7" applyNumberFormat="1" applyFont="1" applyFill="1" applyAlignment="1">
      <alignment vertical="top"/>
    </xf>
    <xf numFmtId="0" fontId="1" fillId="0" borderId="93" xfId="7" applyFont="1"/>
    <xf numFmtId="182" fontId="9" fillId="0" borderId="93" xfId="7" applyNumberFormat="1" applyFont="1" applyAlignment="1">
      <alignment horizontal="center"/>
    </xf>
    <xf numFmtId="39" fontId="9" fillId="0" borderId="93" xfId="7" applyNumberFormat="1" applyFont="1" applyAlignment="1">
      <alignment horizontal="center"/>
    </xf>
    <xf numFmtId="170" fontId="1" fillId="0" borderId="93" xfId="7" applyNumberFormat="1" applyFont="1"/>
    <xf numFmtId="179" fontId="1" fillId="0" borderId="93" xfId="7" applyNumberFormat="1" applyFont="1"/>
    <xf numFmtId="0" fontId="1" fillId="0" borderId="93" xfId="7" applyFont="1" applyAlignment="1">
      <alignment horizontal="center" vertical="center"/>
    </xf>
    <xf numFmtId="0" fontId="1" fillId="0" borderId="93" xfId="7" applyFont="1" applyAlignment="1">
      <alignment horizontal="center"/>
    </xf>
    <xf numFmtId="39" fontId="1" fillId="0" borderId="93" xfId="7" applyNumberFormat="1" applyFont="1"/>
    <xf numFmtId="185" fontId="56" fillId="0" borderId="137" xfId="7" applyNumberFormat="1" applyBorder="1"/>
    <xf numFmtId="186" fontId="1" fillId="0" borderId="93" xfId="7" applyNumberFormat="1" applyFont="1"/>
    <xf numFmtId="2" fontId="1" fillId="0" borderId="93" xfId="7" applyNumberFormat="1" applyFont="1"/>
    <xf numFmtId="0" fontId="26" fillId="0" borderId="93" xfId="7" applyFont="1" applyAlignment="1">
      <alignment horizontal="center" vertical="center" wrapText="1"/>
    </xf>
    <xf numFmtId="172" fontId="24" fillId="0" borderId="93" xfId="7" applyNumberFormat="1" applyFont="1" applyAlignment="1">
      <alignment horizontal="center" vertical="center"/>
    </xf>
    <xf numFmtId="167" fontId="1" fillId="0" borderId="93" xfId="7" applyNumberFormat="1" applyFont="1"/>
    <xf numFmtId="167" fontId="1" fillId="0" borderId="93" xfId="7" applyNumberFormat="1" applyFont="1" applyAlignment="1">
      <alignment horizontal="center"/>
    </xf>
    <xf numFmtId="171" fontId="1" fillId="0" borderId="93" xfId="7" applyNumberFormat="1" applyFont="1"/>
    <xf numFmtId="4" fontId="1" fillId="0" borderId="93" xfId="7" applyNumberFormat="1" applyFont="1"/>
    <xf numFmtId="165" fontId="1" fillId="0" borderId="93" xfId="7" applyNumberFormat="1" applyFont="1" applyAlignment="1">
      <alignment horizontal="center"/>
    </xf>
    <xf numFmtId="174" fontId="1" fillId="0" borderId="93" xfId="7" applyNumberFormat="1" applyFont="1"/>
    <xf numFmtId="177" fontId="1" fillId="0" borderId="93" xfId="7" applyNumberFormat="1" applyFont="1"/>
    <xf numFmtId="165" fontId="1" fillId="0" borderId="93" xfId="7" applyNumberFormat="1" applyFont="1"/>
    <xf numFmtId="172" fontId="1" fillId="0" borderId="93" xfId="7" applyNumberFormat="1" applyFont="1"/>
    <xf numFmtId="0" fontId="1" fillId="0" borderId="45" xfId="0" applyFont="1" applyBorder="1" applyAlignment="1">
      <alignment horizontal="left" vertical="center" wrapText="1"/>
    </xf>
    <xf numFmtId="0" fontId="3" fillId="0" borderId="9" xfId="0" applyFont="1" applyBorder="1"/>
    <xf numFmtId="0" fontId="3" fillId="0" borderId="56" xfId="0" applyFont="1" applyBorder="1"/>
    <xf numFmtId="0" fontId="1" fillId="0" borderId="45" xfId="0" applyFont="1" applyBorder="1" applyAlignment="1">
      <alignment horizontal="left" vertical="center"/>
    </xf>
    <xf numFmtId="0" fontId="15" fillId="8" borderId="45" xfId="0" applyFont="1" applyFill="1" applyBorder="1" applyAlignment="1">
      <alignment horizontal="center" vertical="center"/>
    </xf>
    <xf numFmtId="0" fontId="15" fillId="8" borderId="45" xfId="0" applyFont="1" applyFill="1" applyBorder="1" applyAlignment="1">
      <alignment horizontal="center" vertical="center" wrapText="1"/>
    </xf>
    <xf numFmtId="0" fontId="3" fillId="0" borderId="5" xfId="0" applyFont="1" applyBorder="1"/>
    <xf numFmtId="0" fontId="3" fillId="0" borderId="58" xfId="0" applyFont="1" applyBorder="1"/>
    <xf numFmtId="0" fontId="3" fillId="0" borderId="6" xfId="0" applyFont="1" applyBorder="1"/>
    <xf numFmtId="0" fontId="3" fillId="0" borderId="113" xfId="0" applyFont="1" applyBorder="1"/>
    <xf numFmtId="0" fontId="3" fillId="0" borderId="10" xfId="0" applyFont="1" applyBorder="1"/>
    <xf numFmtId="0" fontId="3" fillId="0" borderId="14" xfId="0" applyFont="1" applyBorder="1"/>
    <xf numFmtId="0" fontId="3" fillId="0" borderId="64" xfId="0" applyFont="1" applyBorder="1"/>
    <xf numFmtId="0" fontId="3" fillId="0" borderId="15" xfId="0" applyFont="1" applyBorder="1"/>
    <xf numFmtId="0" fontId="5" fillId="0" borderId="16" xfId="0" applyFont="1" applyBorder="1" applyAlignment="1">
      <alignment horizontal="left" vertical="center" wrapText="1"/>
    </xf>
    <xf numFmtId="0" fontId="3" fillId="0" borderId="17" xfId="0" applyFont="1" applyBorder="1"/>
    <xf numFmtId="0" fontId="3" fillId="0" borderId="18" xfId="0" applyFont="1" applyBorder="1"/>
    <xf numFmtId="0" fontId="7" fillId="16" borderId="130" xfId="0" applyFont="1" applyFill="1" applyBorder="1" applyAlignment="1">
      <alignment horizontal="center" vertical="center"/>
    </xf>
    <xf numFmtId="0" fontId="6" fillId="17" borderId="160" xfId="0" applyFont="1" applyFill="1" applyBorder="1" applyAlignment="1">
      <alignment horizontal="center" vertical="center" wrapText="1"/>
    </xf>
    <xf numFmtId="0" fontId="6" fillId="17" borderId="161" xfId="0" applyFont="1" applyFill="1" applyBorder="1" applyAlignment="1">
      <alignment horizontal="center" vertical="center" wrapText="1"/>
    </xf>
    <xf numFmtId="0" fontId="3" fillId="0" borderId="3" xfId="0" applyFont="1" applyBorder="1"/>
    <xf numFmtId="0" fontId="3" fillId="0" borderId="7" xfId="0" applyFont="1" applyBorder="1"/>
    <xf numFmtId="0" fontId="0" fillId="0" borderId="0" xfId="0"/>
    <xf numFmtId="0" fontId="3" fillId="0" borderId="11" xfId="0" applyFont="1" applyBorder="1"/>
    <xf numFmtId="0" fontId="3" fillId="0" borderId="12" xfId="0" applyFont="1" applyBorder="1"/>
    <xf numFmtId="0" fontId="10" fillId="0" borderId="130" xfId="0" applyFont="1" applyFill="1" applyBorder="1" applyAlignment="1">
      <alignment horizontal="center" vertical="top" wrapText="1"/>
    </xf>
    <xf numFmtId="0" fontId="3" fillId="0" borderId="130" xfId="0" applyFont="1" applyFill="1" applyBorder="1"/>
    <xf numFmtId="0" fontId="10" fillId="0" borderId="130" xfId="0" applyFont="1" applyFill="1" applyBorder="1" applyAlignment="1">
      <alignment horizontal="center" vertical="center"/>
    </xf>
    <xf numFmtId="0" fontId="6" fillId="2" borderId="4" xfId="0" applyFont="1" applyFill="1" applyBorder="1" applyAlignment="1">
      <alignment horizontal="left" vertical="center" wrapText="1"/>
    </xf>
    <xf numFmtId="0" fontId="10" fillId="0" borderId="130" xfId="0" applyFont="1" applyFill="1" applyBorder="1" applyAlignment="1">
      <alignment horizontal="center" vertical="center" wrapText="1"/>
    </xf>
    <xf numFmtId="0" fontId="6" fillId="0" borderId="13" xfId="0" applyFont="1" applyBorder="1" applyAlignment="1">
      <alignment horizontal="left" vertical="center" wrapText="1"/>
    </xf>
    <xf numFmtId="0" fontId="3" fillId="0" borderId="97" xfId="0" applyFont="1" applyBorder="1"/>
    <xf numFmtId="0" fontId="3" fillId="0" borderId="19" xfId="0" applyFont="1" applyBorder="1"/>
    <xf numFmtId="0" fontId="8" fillId="12" borderId="130" xfId="0" applyFont="1" applyFill="1" applyBorder="1" applyAlignment="1">
      <alignment horizontal="center" vertical="center" wrapText="1"/>
    </xf>
    <xf numFmtId="0" fontId="8" fillId="12" borderId="152" xfId="0" applyFont="1" applyFill="1" applyBorder="1" applyAlignment="1">
      <alignment horizontal="center" vertical="center" wrapText="1"/>
    </xf>
    <xf numFmtId="0" fontId="8" fillId="16" borderId="160" xfId="0" applyFont="1" applyFill="1" applyBorder="1" applyAlignment="1">
      <alignment horizontal="center" vertical="center" wrapText="1"/>
    </xf>
    <xf numFmtId="0" fontId="8" fillId="16" borderId="161" xfId="0" applyFont="1" applyFill="1" applyBorder="1" applyAlignment="1">
      <alignment horizontal="center" vertical="center" wrapText="1"/>
    </xf>
    <xf numFmtId="0" fontId="7" fillId="12" borderId="130" xfId="0" applyFont="1" applyFill="1" applyBorder="1" applyAlignment="1">
      <alignment horizontal="center" vertical="center" wrapText="1"/>
    </xf>
    <xf numFmtId="0" fontId="6" fillId="15" borderId="160" xfId="0" applyFont="1" applyFill="1" applyBorder="1" applyAlignment="1">
      <alignment horizontal="center" vertical="center" wrapText="1"/>
    </xf>
    <xf numFmtId="0" fontId="6" fillId="15" borderId="161" xfId="0" applyFont="1" applyFill="1" applyBorder="1" applyAlignment="1">
      <alignment horizontal="center" vertical="center" wrapText="1"/>
    </xf>
    <xf numFmtId="172" fontId="78" fillId="12" borderId="146" xfId="0" applyNumberFormat="1" applyFont="1" applyFill="1" applyBorder="1" applyAlignment="1">
      <alignment horizontal="center"/>
    </xf>
    <xf numFmtId="172" fontId="78" fillId="12" borderId="93" xfId="0" applyNumberFormat="1" applyFont="1" applyFill="1" applyBorder="1" applyAlignment="1">
      <alignment horizontal="center"/>
    </xf>
    <xf numFmtId="172" fontId="78" fillId="12" borderId="144" xfId="0" applyNumberFormat="1" applyFont="1" applyFill="1" applyBorder="1" applyAlignment="1">
      <alignment horizontal="center"/>
    </xf>
    <xf numFmtId="172" fontId="78" fillId="12" borderId="145" xfId="0" applyNumberFormat="1" applyFont="1" applyFill="1" applyBorder="1" applyAlignment="1">
      <alignment horizontal="center"/>
    </xf>
    <xf numFmtId="172" fontId="78" fillId="12" borderId="147" xfId="0" applyNumberFormat="1" applyFont="1" applyFill="1" applyBorder="1" applyAlignment="1">
      <alignment horizontal="center"/>
    </xf>
    <xf numFmtId="172" fontId="78" fillId="12" borderId="148" xfId="0" applyNumberFormat="1" applyFont="1" applyFill="1" applyBorder="1" applyAlignment="1">
      <alignment horizontal="center"/>
    </xf>
    <xf numFmtId="172" fontId="78" fillId="12" borderId="149" xfId="0" applyNumberFormat="1" applyFont="1" applyFill="1" applyBorder="1" applyAlignment="1">
      <alignment horizontal="center"/>
    </xf>
    <xf numFmtId="172" fontId="78" fillId="12" borderId="150" xfId="0" applyNumberFormat="1" applyFont="1" applyFill="1" applyBorder="1" applyAlignment="1">
      <alignment horizontal="center"/>
    </xf>
    <xf numFmtId="172" fontId="21" fillId="2" borderId="2" xfId="0" applyNumberFormat="1" applyFont="1" applyFill="1" applyBorder="1" applyAlignment="1">
      <alignment horizontal="center" vertical="center" wrapText="1"/>
    </xf>
    <xf numFmtId="0" fontId="3" fillId="0" borderId="57" xfId="0" applyFont="1" applyBorder="1"/>
    <xf numFmtId="0" fontId="3" fillId="0" borderId="60" xfId="0" applyFont="1" applyBorder="1"/>
    <xf numFmtId="0" fontId="79" fillId="0" borderId="130" xfId="0" applyFont="1" applyFill="1" applyBorder="1" applyAlignment="1" applyProtection="1">
      <alignment horizontal="center" vertical="top" wrapText="1"/>
      <protection locked="0"/>
    </xf>
    <xf numFmtId="0" fontId="1" fillId="0" borderId="130" xfId="0" applyFont="1" applyFill="1" applyBorder="1" applyAlignment="1" applyProtection="1">
      <alignment vertical="top"/>
      <protection locked="0"/>
    </xf>
    <xf numFmtId="0" fontId="78" fillId="0" borderId="130" xfId="0" applyFont="1" applyFill="1" applyBorder="1" applyAlignment="1" applyProtection="1">
      <alignment horizontal="center" vertical="top" wrapText="1"/>
      <protection locked="0"/>
    </xf>
    <xf numFmtId="0" fontId="30" fillId="12" borderId="158" xfId="0" applyFont="1" applyFill="1" applyBorder="1" applyAlignment="1">
      <alignment horizontal="center" vertical="center"/>
    </xf>
    <xf numFmtId="0" fontId="6" fillId="15" borderId="163" xfId="0" applyFont="1" applyFill="1" applyBorder="1" applyAlignment="1">
      <alignment horizontal="center" vertical="center" wrapText="1"/>
    </xf>
    <xf numFmtId="0" fontId="6" fillId="16" borderId="160" xfId="0" applyFont="1" applyFill="1" applyBorder="1" applyAlignment="1">
      <alignment horizontal="center" vertical="center" wrapText="1"/>
    </xf>
    <xf numFmtId="0" fontId="6" fillId="16" borderId="161" xfId="0" applyFont="1" applyFill="1" applyBorder="1" applyAlignment="1">
      <alignment horizontal="center" vertical="center" wrapText="1"/>
    </xf>
    <xf numFmtId="0" fontId="6" fillId="16" borderId="163" xfId="0" applyFont="1" applyFill="1" applyBorder="1" applyAlignment="1">
      <alignment horizontal="center" vertical="center" wrapText="1"/>
    </xf>
    <xf numFmtId="0" fontId="30" fillId="12" borderId="158" xfId="0" applyFont="1" applyFill="1" applyBorder="1" applyAlignment="1">
      <alignment horizontal="center" vertical="center" wrapText="1"/>
    </xf>
    <xf numFmtId="0" fontId="30" fillId="12" borderId="130" xfId="0" applyFont="1" applyFill="1" applyBorder="1" applyAlignment="1">
      <alignment horizontal="center" vertical="center" wrapText="1"/>
    </xf>
    <xf numFmtId="0" fontId="30" fillId="12" borderId="135" xfId="0" applyFont="1" applyFill="1" applyBorder="1" applyAlignment="1">
      <alignment horizontal="center" vertical="center" wrapText="1"/>
    </xf>
    <xf numFmtId="0" fontId="6" fillId="17" borderId="163" xfId="0" applyFont="1" applyFill="1" applyBorder="1" applyAlignment="1">
      <alignment horizontal="center" vertical="center" wrapText="1"/>
    </xf>
    <xf numFmtId="0" fontId="7" fillId="16" borderId="131" xfId="0" applyFont="1" applyFill="1" applyBorder="1" applyAlignment="1">
      <alignment horizontal="center" vertical="center" wrapText="1"/>
    </xf>
    <xf numFmtId="0" fontId="7" fillId="16" borderId="162" xfId="0" applyFont="1" applyFill="1" applyBorder="1" applyAlignment="1">
      <alignment horizontal="center" vertical="center" wrapText="1"/>
    </xf>
    <xf numFmtId="0" fontId="7" fillId="16" borderId="164" xfId="0" applyFont="1" applyFill="1" applyBorder="1" applyAlignment="1">
      <alignment horizontal="center" vertical="center" wrapText="1"/>
    </xf>
    <xf numFmtId="0" fontId="21" fillId="0" borderId="65" xfId="0" applyFont="1" applyBorder="1" applyAlignment="1">
      <alignment horizontal="center" vertical="center" wrapText="1"/>
    </xf>
    <xf numFmtId="0" fontId="3" fillId="0" borderId="41" xfId="0" applyFont="1" applyBorder="1"/>
    <xf numFmtId="0" fontId="3" fillId="0" borderId="68" xfId="0" applyFont="1" applyBorder="1"/>
    <xf numFmtId="0" fontId="21" fillId="0" borderId="24" xfId="0" applyFont="1" applyBorder="1" applyAlignment="1">
      <alignment horizontal="center" vertical="center" wrapText="1"/>
    </xf>
    <xf numFmtId="0" fontId="3" fillId="0" borderId="28" xfId="0" applyFont="1" applyBorder="1"/>
    <xf numFmtId="0" fontId="3" fillId="0" borderId="74" xfId="0" applyFont="1" applyBorder="1"/>
    <xf numFmtId="3" fontId="21" fillId="0" borderId="24" xfId="0" applyNumberFormat="1" applyFont="1" applyBorder="1" applyAlignment="1">
      <alignment horizontal="center" vertical="center" wrapText="1"/>
    </xf>
    <xf numFmtId="0" fontId="21" fillId="0" borderId="22" xfId="0" applyFont="1" applyBorder="1" applyAlignment="1">
      <alignment horizontal="center" vertical="center" wrapText="1"/>
    </xf>
    <xf numFmtId="0" fontId="3" fillId="0" borderId="26" xfId="0" applyFont="1" applyBorder="1"/>
    <xf numFmtId="0" fontId="3" fillId="0" borderId="51" xfId="0" applyFont="1" applyBorder="1"/>
    <xf numFmtId="0" fontId="21" fillId="0" borderId="24" xfId="0" applyFont="1" applyBorder="1" applyAlignment="1">
      <alignment horizontal="left" vertical="center" wrapText="1"/>
    </xf>
    <xf numFmtId="0" fontId="21" fillId="0" borderId="35" xfId="0" applyFont="1" applyBorder="1" applyAlignment="1">
      <alignment horizontal="center" vertical="center" wrapText="1"/>
    </xf>
    <xf numFmtId="0" fontId="3" fillId="0" borderId="52" xfId="0" applyFont="1" applyBorder="1"/>
    <xf numFmtId="0" fontId="23" fillId="0" borderId="22" xfId="0" applyFont="1" applyBorder="1" applyAlignment="1">
      <alignment horizontal="center" vertical="center" wrapText="1"/>
    </xf>
    <xf numFmtId="0" fontId="3" fillId="0" borderId="28" xfId="0" applyFont="1" applyBorder="1" applyAlignment="1">
      <alignment horizontal="center" vertical="center"/>
    </xf>
    <xf numFmtId="0" fontId="3" fillId="0" borderId="74" xfId="0" applyFont="1" applyBorder="1" applyAlignment="1">
      <alignment horizontal="center" vertical="center"/>
    </xf>
    <xf numFmtId="0" fontId="1" fillId="0" borderId="2" xfId="0" applyFont="1" applyBorder="1" applyAlignment="1">
      <alignment horizontal="center"/>
    </xf>
    <xf numFmtId="0" fontId="4" fillId="2" borderId="58" xfId="0" applyFont="1" applyFill="1" applyBorder="1" applyAlignment="1">
      <alignment horizontal="center" vertical="center" wrapText="1"/>
    </xf>
    <xf numFmtId="0" fontId="3" fillId="0" borderId="59" xfId="0" applyFont="1" applyBorder="1"/>
    <xf numFmtId="0" fontId="18" fillId="2" borderId="61" xfId="0" applyFont="1" applyFill="1" applyBorder="1" applyAlignment="1">
      <alignment horizontal="center" vertical="center" wrapText="1"/>
    </xf>
    <xf numFmtId="0" fontId="3" fillId="0" borderId="62" xfId="0" applyFont="1" applyBorder="1"/>
    <xf numFmtId="0" fontId="3" fillId="0" borderId="63" xfId="0" applyFont="1" applyBorder="1"/>
    <xf numFmtId="0" fontId="62" fillId="0" borderId="13" xfId="0" applyFont="1" applyBorder="1" applyAlignment="1">
      <alignment horizontal="left" vertical="center"/>
    </xf>
    <xf numFmtId="0" fontId="63" fillId="0" borderId="14" xfId="0" applyFont="1" applyBorder="1"/>
    <xf numFmtId="0" fontId="63" fillId="0" borderId="20" xfId="0" applyFont="1" applyBorder="1"/>
    <xf numFmtId="0" fontId="5" fillId="0" borderId="64" xfId="0" applyFont="1" applyBorder="1" applyAlignment="1">
      <alignment horizontal="left" vertical="center"/>
    </xf>
    <xf numFmtId="0" fontId="1" fillId="0" borderId="176" xfId="0" applyFont="1" applyBorder="1" applyAlignment="1">
      <alignment horizontal="center"/>
    </xf>
    <xf numFmtId="0" fontId="6" fillId="2" borderId="13" xfId="0" applyFont="1" applyFill="1" applyBorder="1" applyAlignment="1">
      <alignment horizontal="center" vertical="center" wrapText="1"/>
    </xf>
    <xf numFmtId="0" fontId="30" fillId="16" borderId="130" xfId="0" applyFont="1" applyFill="1" applyBorder="1" applyAlignment="1">
      <alignment horizontal="center" vertical="center"/>
    </xf>
    <xf numFmtId="0" fontId="30" fillId="12" borderId="157" xfId="0" applyFont="1" applyFill="1" applyBorder="1" applyAlignment="1">
      <alignment horizontal="center" vertical="center" wrapText="1"/>
    </xf>
    <xf numFmtId="0" fontId="30" fillId="12" borderId="132" xfId="0" applyFont="1" applyFill="1" applyBorder="1" applyAlignment="1">
      <alignment horizontal="center" vertical="center" wrapText="1"/>
    </xf>
    <xf numFmtId="0" fontId="30" fillId="12" borderId="159" xfId="0" applyFont="1" applyFill="1" applyBorder="1" applyAlignment="1">
      <alignment horizontal="center" vertical="center" wrapText="1"/>
    </xf>
    <xf numFmtId="0" fontId="30" fillId="12" borderId="133" xfId="0" applyFont="1" applyFill="1" applyBorder="1" applyAlignment="1">
      <alignment horizontal="center" vertical="center" wrapText="1"/>
    </xf>
    <xf numFmtId="0" fontId="30" fillId="12" borderId="136" xfId="0" applyFont="1" applyFill="1" applyBorder="1" applyAlignment="1">
      <alignment horizontal="center" vertical="center" wrapText="1"/>
    </xf>
    <xf numFmtId="0" fontId="78" fillId="0" borderId="165" xfId="0" applyFont="1" applyFill="1" applyBorder="1" applyAlignment="1" applyProtection="1">
      <alignment horizontal="left" vertical="top" wrapText="1"/>
      <protection locked="0"/>
    </xf>
    <xf numFmtId="0" fontId="78" fillId="0" borderId="147" xfId="0" applyFont="1" applyFill="1" applyBorder="1" applyAlignment="1" applyProtection="1">
      <alignment horizontal="left" vertical="top" wrapText="1"/>
      <protection locked="0"/>
    </xf>
    <xf numFmtId="0" fontId="78" fillId="0" borderId="150" xfId="0" applyFont="1" applyFill="1" applyBorder="1" applyAlignment="1" applyProtection="1">
      <alignment horizontal="left" vertical="top" wrapText="1"/>
      <protection locked="0"/>
    </xf>
    <xf numFmtId="0" fontId="78" fillId="0" borderId="130" xfId="0" applyFont="1" applyFill="1" applyBorder="1" applyAlignment="1" applyProtection="1">
      <alignment horizontal="left" vertical="top" wrapText="1"/>
      <protection locked="0"/>
    </xf>
    <xf numFmtId="0" fontId="1" fillId="0" borderId="151" xfId="0" applyFont="1" applyFill="1" applyBorder="1" applyAlignment="1" applyProtection="1">
      <alignment vertical="top"/>
      <protection locked="0"/>
    </xf>
    <xf numFmtId="0" fontId="78" fillId="0" borderId="130" xfId="0" applyFont="1" applyFill="1" applyBorder="1" applyAlignment="1" applyProtection="1">
      <alignment horizontal="left" wrapText="1"/>
      <protection locked="0"/>
    </xf>
    <xf numFmtId="0" fontId="1" fillId="0" borderId="130" xfId="0" applyFont="1" applyFill="1" applyBorder="1" applyAlignment="1" applyProtection="1">
      <protection locked="0"/>
    </xf>
    <xf numFmtId="0" fontId="1" fillId="0" borderId="151" xfId="0" applyFont="1" applyFill="1" applyBorder="1" applyAlignment="1" applyProtection="1">
      <protection locked="0"/>
    </xf>
    <xf numFmtId="0" fontId="15" fillId="0" borderId="83" xfId="0" applyFont="1" applyBorder="1" applyAlignment="1">
      <alignment horizontal="left"/>
    </xf>
    <xf numFmtId="0" fontId="3" fillId="0" borderId="84" xfId="0" applyFont="1" applyBorder="1"/>
    <xf numFmtId="0" fontId="3" fillId="0" borderId="85" xfId="0" applyFont="1" applyBorder="1"/>
    <xf numFmtId="0" fontId="25" fillId="0" borderId="106" xfId="0" applyFont="1" applyFill="1" applyBorder="1" applyAlignment="1" applyProtection="1">
      <alignment vertical="top" wrapText="1"/>
      <protection locked="0"/>
    </xf>
    <xf numFmtId="0" fontId="1" fillId="0" borderId="103" xfId="0" applyFont="1" applyFill="1" applyBorder="1" applyProtection="1">
      <protection locked="0"/>
    </xf>
    <xf numFmtId="10" fontId="30" fillId="0" borderId="43" xfId="0" applyNumberFormat="1" applyFont="1" applyFill="1" applyBorder="1" applyAlignment="1">
      <alignment horizontal="center" vertical="center" wrapText="1"/>
    </xf>
    <xf numFmtId="0" fontId="1" fillId="0" borderId="49" xfId="0" applyFont="1" applyFill="1" applyBorder="1"/>
    <xf numFmtId="10" fontId="30" fillId="0" borderId="94" xfId="0" applyNumberFormat="1" applyFont="1" applyFill="1" applyBorder="1" applyAlignment="1">
      <alignment horizontal="center" vertical="center" wrapText="1"/>
    </xf>
    <xf numFmtId="0" fontId="1" fillId="0" borderId="95" xfId="0" applyFont="1" applyFill="1" applyBorder="1"/>
    <xf numFmtId="0" fontId="1" fillId="0" borderId="121" xfId="0" applyFont="1" applyFill="1" applyBorder="1" applyProtection="1">
      <protection locked="0"/>
    </xf>
    <xf numFmtId="0" fontId="25" fillId="0" borderId="121" xfId="0" applyFont="1" applyFill="1" applyBorder="1" applyAlignment="1" applyProtection="1">
      <alignment vertical="top" wrapText="1"/>
      <protection locked="0"/>
    </xf>
    <xf numFmtId="0" fontId="25" fillId="0" borderId="77" xfId="0" applyFont="1" applyFill="1" applyBorder="1" applyAlignment="1" applyProtection="1">
      <alignment vertical="top" wrapText="1"/>
      <protection locked="0"/>
    </xf>
    <xf numFmtId="0" fontId="1" fillId="0" borderId="70" xfId="0" applyFont="1" applyFill="1" applyBorder="1" applyProtection="1">
      <protection locked="0"/>
    </xf>
    <xf numFmtId="0" fontId="19" fillId="0" borderId="43" xfId="0" applyFont="1" applyFill="1" applyBorder="1" applyAlignment="1">
      <alignment horizontal="left" vertical="top" wrapText="1"/>
    </xf>
    <xf numFmtId="0" fontId="3" fillId="0" borderId="49" xfId="0" applyFont="1" applyFill="1" applyBorder="1" applyAlignment="1">
      <alignment vertical="top"/>
    </xf>
    <xf numFmtId="0" fontId="28" fillId="0" borderId="43" xfId="0" applyFont="1" applyBorder="1" applyAlignment="1">
      <alignment horizontal="center" vertical="center" wrapText="1"/>
    </xf>
    <xf numFmtId="0" fontId="3" fillId="0" borderId="49" xfId="0" applyFont="1" applyBorder="1"/>
    <xf numFmtId="0" fontId="6" fillId="0" borderId="13" xfId="0" applyFont="1" applyBorder="1" applyAlignment="1">
      <alignment horizontal="center" vertical="center" wrapText="1"/>
    </xf>
    <xf numFmtId="0" fontId="27" fillId="2" borderId="67" xfId="0" applyFont="1" applyFill="1" applyBorder="1" applyAlignment="1">
      <alignment horizontal="center" vertical="center" wrapText="1"/>
    </xf>
    <xf numFmtId="0" fontId="3" fillId="0" borderId="71" xfId="0" applyFont="1" applyBorder="1"/>
    <xf numFmtId="0" fontId="19" fillId="0" borderId="42" xfId="0" applyFont="1" applyFill="1" applyBorder="1" applyAlignment="1">
      <alignment horizontal="center" vertical="center" wrapText="1"/>
    </xf>
    <xf numFmtId="0" fontId="3" fillId="0" borderId="26" xfId="0" applyFont="1" applyFill="1" applyBorder="1"/>
    <xf numFmtId="0" fontId="3" fillId="0" borderId="80" xfId="0" applyFont="1" applyFill="1" applyBorder="1"/>
    <xf numFmtId="10" fontId="8" fillId="0" borderId="43" xfId="0" applyNumberFormat="1" applyFont="1" applyFill="1" applyBorder="1" applyAlignment="1">
      <alignment horizontal="center" vertical="center" wrapText="1"/>
    </xf>
    <xf numFmtId="0" fontId="3" fillId="0" borderId="28" xfId="0" applyFont="1" applyFill="1" applyBorder="1"/>
    <xf numFmtId="0" fontId="3" fillId="0" borderId="49" xfId="0" applyFont="1" applyFill="1" applyBorder="1"/>
    <xf numFmtId="0" fontId="27" fillId="2" borderId="24" xfId="0" applyFont="1" applyFill="1" applyBorder="1" applyAlignment="1">
      <alignment horizontal="center" vertical="center" wrapText="1"/>
    </xf>
    <xf numFmtId="0" fontId="6" fillId="2" borderId="86" xfId="0" applyFont="1" applyFill="1" applyBorder="1" applyAlignment="1">
      <alignment horizontal="left" vertical="center" wrapText="1"/>
    </xf>
    <xf numFmtId="0" fontId="19" fillId="0" borderId="43" xfId="0" applyFont="1" applyFill="1" applyBorder="1" applyAlignment="1">
      <alignment horizontal="left" vertical="center" wrapText="1"/>
    </xf>
    <xf numFmtId="10" fontId="8" fillId="0" borderId="43" xfId="0" applyNumberFormat="1" applyFont="1" applyBorder="1" applyAlignment="1">
      <alignment horizontal="center" vertical="center" wrapText="1"/>
    </xf>
    <xf numFmtId="0" fontId="3" fillId="0" borderId="34" xfId="0" applyFont="1" applyBorder="1"/>
    <xf numFmtId="10" fontId="30" fillId="0" borderId="43" xfId="0" applyNumberFormat="1" applyFont="1" applyBorder="1" applyAlignment="1">
      <alignment horizontal="center" vertical="center" wrapText="1"/>
    </xf>
    <xf numFmtId="0" fontId="31" fillId="0" borderId="43" xfId="0" applyFont="1" applyBorder="1" applyAlignment="1">
      <alignment vertical="top" wrapText="1"/>
    </xf>
    <xf numFmtId="0" fontId="27" fillId="0" borderId="43" xfId="0" applyFont="1" applyBorder="1" applyAlignment="1">
      <alignment horizontal="center" vertical="center"/>
    </xf>
    <xf numFmtId="0" fontId="27" fillId="2" borderId="139" xfId="0" applyFont="1" applyFill="1" applyBorder="1" applyAlignment="1">
      <alignment horizontal="center" vertical="center" wrapText="1"/>
    </xf>
    <xf numFmtId="0" fontId="3" fillId="0" borderId="140" xfId="0" applyFont="1" applyBorder="1"/>
    <xf numFmtId="0" fontId="3" fillId="0" borderId="141" xfId="0" applyFont="1" applyBorder="1"/>
    <xf numFmtId="0" fontId="19" fillId="0" borderId="43" xfId="0" applyFont="1" applyFill="1" applyBorder="1" applyAlignment="1">
      <alignment horizontal="center" vertical="center" wrapText="1"/>
    </xf>
    <xf numFmtId="0" fontId="3" fillId="0" borderId="34" xfId="0" applyFont="1" applyFill="1" applyBorder="1"/>
    <xf numFmtId="0" fontId="4" fillId="2" borderId="4"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3" fillId="0" borderId="91" xfId="0" applyFont="1" applyBorder="1"/>
    <xf numFmtId="0" fontId="27" fillId="4" borderId="38"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6" fillId="0" borderId="88" xfId="0" applyFont="1" applyBorder="1" applyAlignment="1">
      <alignment horizontal="left" vertical="center" wrapText="1"/>
    </xf>
    <xf numFmtId="0" fontId="3" fillId="0" borderId="89" xfId="0" applyFont="1" applyBorder="1"/>
    <xf numFmtId="0" fontId="3" fillId="0" borderId="90" xfId="0" applyFont="1" applyBorder="1"/>
    <xf numFmtId="0" fontId="62" fillId="0" borderId="86" xfId="0" applyFont="1" applyBorder="1" applyAlignment="1">
      <alignment horizontal="left" vertical="center" wrapText="1"/>
    </xf>
    <xf numFmtId="0" fontId="63" fillId="0" borderId="17" xfId="0" applyFont="1" applyBorder="1"/>
    <xf numFmtId="0" fontId="63" fillId="0" borderId="87" xfId="0" applyFont="1" applyBorder="1"/>
    <xf numFmtId="0" fontId="26" fillId="2" borderId="23" xfId="0" applyFont="1" applyFill="1" applyBorder="1" applyAlignment="1">
      <alignment horizontal="center" vertical="center" wrapText="1"/>
    </xf>
    <xf numFmtId="0" fontId="3" fillId="0" borderId="76" xfId="0" applyFont="1" applyBorder="1"/>
    <xf numFmtId="0" fontId="1" fillId="0" borderId="115" xfId="7" applyFont="1" applyBorder="1" applyAlignment="1">
      <alignment horizontal="left" vertical="center" wrapText="1"/>
    </xf>
    <xf numFmtId="0" fontId="1" fillId="0" borderId="113" xfId="7" applyFont="1" applyBorder="1"/>
    <xf numFmtId="0" fontId="1" fillId="0" borderId="56" xfId="7" applyFont="1" applyBorder="1"/>
    <xf numFmtId="0" fontId="1" fillId="0" borderId="115" xfId="7" applyFont="1" applyBorder="1" applyAlignment="1">
      <alignment horizontal="left" vertical="center"/>
    </xf>
    <xf numFmtId="0" fontId="28" fillId="2" borderId="108" xfId="7" applyFont="1" applyFill="1" applyBorder="1" applyAlignment="1">
      <alignment horizontal="center" vertical="center" wrapText="1"/>
    </xf>
    <xf numFmtId="0" fontId="1" fillId="12" borderId="66" xfId="7" applyFont="1" applyFill="1" applyBorder="1"/>
    <xf numFmtId="0" fontId="1" fillId="12" borderId="99" xfId="7" applyFont="1" applyFill="1" applyBorder="1"/>
    <xf numFmtId="0" fontId="1" fillId="12" borderId="41" xfId="7" applyFont="1" applyFill="1" applyBorder="1"/>
    <xf numFmtId="0" fontId="56" fillId="12" borderId="93" xfId="7" applyFill="1"/>
    <xf numFmtId="0" fontId="1" fillId="12" borderId="109" xfId="7" applyFont="1" applyFill="1" applyBorder="1"/>
    <xf numFmtId="0" fontId="1" fillId="12" borderId="105" xfId="7" applyFont="1" applyFill="1" applyBorder="1"/>
    <xf numFmtId="0" fontId="1" fillId="12" borderId="102" xfId="7" applyFont="1" applyFill="1" applyBorder="1"/>
    <xf numFmtId="0" fontId="1" fillId="12" borderId="101" xfId="7" applyFont="1" applyFill="1" applyBorder="1"/>
    <xf numFmtId="0" fontId="15" fillId="0" borderId="93" xfId="7" applyFont="1" applyAlignment="1">
      <alignment horizontal="left"/>
    </xf>
    <xf numFmtId="0" fontId="1" fillId="0" borderId="93" xfId="7" applyFont="1"/>
    <xf numFmtId="0" fontId="15" fillId="8" borderId="115" xfId="7" applyFont="1" applyFill="1" applyBorder="1" applyAlignment="1">
      <alignment horizontal="center" vertical="center"/>
    </xf>
    <xf numFmtId="0" fontId="15" fillId="8" borderId="115" xfId="7" applyFont="1" applyFill="1" applyBorder="1" applyAlignment="1">
      <alignment horizontal="center" vertical="center" wrapText="1"/>
    </xf>
    <xf numFmtId="0" fontId="25" fillId="0" borderId="77" xfId="7" applyFont="1" applyBorder="1" applyAlignment="1">
      <alignment horizontal="center" vertical="center" wrapText="1"/>
    </xf>
    <xf numFmtId="0" fontId="1" fillId="0" borderId="34" xfId="7" applyFont="1" applyBorder="1"/>
    <xf numFmtId="0" fontId="1" fillId="0" borderId="70" xfId="7" applyFont="1" applyBorder="1"/>
    <xf numFmtId="3" fontId="25" fillId="0" borderId="77" xfId="7" applyNumberFormat="1" applyFont="1" applyBorder="1" applyAlignment="1">
      <alignment horizontal="center" vertical="center"/>
    </xf>
    <xf numFmtId="0" fontId="25" fillId="0" borderId="77" xfId="7" applyFont="1" applyBorder="1" applyAlignment="1">
      <alignment horizontal="center" vertical="top" wrapText="1"/>
    </xf>
    <xf numFmtId="0" fontId="26" fillId="0" borderId="77" xfId="7" applyFont="1" applyBorder="1" applyAlignment="1">
      <alignment horizontal="center" vertical="center" wrapText="1"/>
    </xf>
    <xf numFmtId="0" fontId="1" fillId="0" borderId="66" xfId="7" applyFont="1" applyBorder="1"/>
    <xf numFmtId="0" fontId="1" fillId="0" borderId="99" xfId="7" applyFont="1" applyBorder="1"/>
    <xf numFmtId="0" fontId="56" fillId="0" borderId="93" xfId="7"/>
    <xf numFmtId="0" fontId="1" fillId="0" borderId="102" xfId="7" applyFont="1" applyBorder="1"/>
    <xf numFmtId="0" fontId="1" fillId="0" borderId="101" xfId="7" applyFont="1" applyBorder="1"/>
    <xf numFmtId="186" fontId="25" fillId="0" borderId="77" xfId="5" applyNumberFormat="1" applyFont="1" applyFill="1" applyBorder="1" applyAlignment="1">
      <alignment horizontal="center" vertical="center" wrapText="1"/>
    </xf>
    <xf numFmtId="186" fontId="1" fillId="0" borderId="34" xfId="5" applyNumberFormat="1" applyFont="1" applyFill="1" applyBorder="1"/>
    <xf numFmtId="186" fontId="1" fillId="0" borderId="70" xfId="5" applyNumberFormat="1" applyFont="1" applyFill="1" applyBorder="1"/>
    <xf numFmtId="186" fontId="25" fillId="0" borderId="77" xfId="5" applyNumberFormat="1" applyFont="1" applyFill="1" applyBorder="1" applyAlignment="1">
      <alignment horizontal="center" vertical="center"/>
    </xf>
    <xf numFmtId="0" fontId="25" fillId="0" borderId="77" xfId="7" applyFont="1" applyBorder="1" applyAlignment="1">
      <alignment vertical="center" wrapText="1"/>
    </xf>
    <xf numFmtId="186" fontId="25" fillId="0" borderId="77" xfId="5" applyNumberFormat="1" applyFont="1" applyFill="1" applyBorder="1" applyAlignment="1">
      <alignment vertical="center" wrapText="1"/>
    </xf>
    <xf numFmtId="186" fontId="1" fillId="0" borderId="34" xfId="5" applyNumberFormat="1" applyFont="1" applyFill="1" applyBorder="1" applyAlignment="1"/>
    <xf numFmtId="186" fontId="1" fillId="0" borderId="70" xfId="5" applyNumberFormat="1" applyFont="1" applyFill="1" applyBorder="1" applyAlignment="1"/>
    <xf numFmtId="0" fontId="27" fillId="2" borderId="120" xfId="7" applyFont="1" applyFill="1" applyBorder="1" applyAlignment="1">
      <alignment horizontal="center" vertical="center" wrapText="1"/>
    </xf>
    <xf numFmtId="0" fontId="1" fillId="0" borderId="58" xfId="7" applyFont="1" applyBorder="1"/>
    <xf numFmtId="0" fontId="1" fillId="0" borderId="91" xfId="7" applyFont="1" applyBorder="1"/>
    <xf numFmtId="0" fontId="27" fillId="2" borderId="103" xfId="7" applyFont="1" applyFill="1" applyBorder="1" applyAlignment="1">
      <alignment horizontal="center" vertical="center" wrapText="1"/>
    </xf>
    <xf numFmtId="0" fontId="1" fillId="0" borderId="103" xfId="7" applyFont="1" applyBorder="1"/>
    <xf numFmtId="0" fontId="6" fillId="2" borderId="13" xfId="7" applyFont="1" applyFill="1" applyBorder="1" applyAlignment="1">
      <alignment horizontal="left" vertical="center" wrapText="1"/>
    </xf>
    <xf numFmtId="0" fontId="1" fillId="0" borderId="64" xfId="7" applyFont="1" applyBorder="1"/>
    <xf numFmtId="0" fontId="1" fillId="0" borderId="15" xfId="7" applyFont="1" applyBorder="1"/>
    <xf numFmtId="0" fontId="6" fillId="0" borderId="64" xfId="7" applyFont="1" applyBorder="1" applyAlignment="1">
      <alignment horizontal="left" vertical="center" wrapText="1"/>
    </xf>
    <xf numFmtId="0" fontId="33" fillId="2" borderId="96" xfId="7" applyFont="1" applyFill="1" applyBorder="1" applyAlignment="1">
      <alignment horizontal="left" vertical="center" wrapText="1"/>
    </xf>
    <xf numFmtId="0" fontId="1" fillId="0" borderId="97" xfId="7" applyFont="1" applyBorder="1"/>
    <xf numFmtId="0" fontId="1" fillId="0" borderId="100" xfId="7" applyFont="1" applyBorder="1"/>
    <xf numFmtId="0" fontId="8" fillId="9" borderId="64" xfId="7" applyFont="1" applyFill="1" applyBorder="1" applyAlignment="1">
      <alignment horizontal="left" vertical="center" wrapText="1"/>
    </xf>
    <xf numFmtId="0" fontId="33" fillId="0" borderId="13" xfId="7" applyFont="1" applyBorder="1" applyAlignment="1">
      <alignment horizontal="center" vertical="center" wrapText="1"/>
    </xf>
    <xf numFmtId="0" fontId="27" fillId="2" borderId="13" xfId="7" applyFont="1" applyFill="1" applyBorder="1" applyAlignment="1">
      <alignment horizontal="center" vertical="center" wrapText="1"/>
    </xf>
    <xf numFmtId="0" fontId="27" fillId="20" borderId="58" xfId="7" applyFont="1" applyFill="1" applyBorder="1" applyAlignment="1">
      <alignment horizontal="center" vertical="center" wrapText="1"/>
    </xf>
    <xf numFmtId="0" fontId="1" fillId="16" borderId="58" xfId="7" applyFont="1" applyFill="1" applyBorder="1"/>
    <xf numFmtId="0" fontId="1" fillId="16" borderId="59" xfId="7" applyFont="1" applyFill="1" applyBorder="1"/>
    <xf numFmtId="0" fontId="27" fillId="20" borderId="78" xfId="7" applyFont="1" applyFill="1" applyBorder="1" applyAlignment="1">
      <alignment horizontal="center" vertical="center" wrapText="1"/>
    </xf>
    <xf numFmtId="0" fontId="27" fillId="2" borderId="81" xfId="7" applyFont="1" applyFill="1" applyBorder="1" applyAlignment="1">
      <alignment horizontal="center" vertical="center" wrapText="1"/>
    </xf>
    <xf numFmtId="0" fontId="27" fillId="2" borderId="102" xfId="7" applyFont="1" applyFill="1" applyBorder="1" applyAlignment="1">
      <alignment horizontal="center" vertical="center" wrapText="1"/>
    </xf>
    <xf numFmtId="0" fontId="1" fillId="0" borderId="88" xfId="7" applyFont="1" applyBorder="1" applyAlignment="1">
      <alignment horizontal="center"/>
    </xf>
    <xf numFmtId="0" fontId="1" fillId="0" borderId="89" xfId="7" applyFont="1" applyBorder="1"/>
    <xf numFmtId="0" fontId="1" fillId="0" borderId="71" xfId="7" applyFont="1" applyBorder="1"/>
    <xf numFmtId="0" fontId="15" fillId="2" borderId="115" xfId="7" applyFont="1" applyFill="1" applyBorder="1" applyAlignment="1">
      <alignment horizontal="center" vertical="center"/>
    </xf>
    <xf numFmtId="0" fontId="9" fillId="2" borderId="108" xfId="7" applyFont="1" applyFill="1" applyBorder="1" applyAlignment="1">
      <alignment horizontal="center" vertical="center" wrapText="1"/>
    </xf>
    <xf numFmtId="0" fontId="8" fillId="9" borderId="88" xfId="7" applyFont="1" applyFill="1" applyBorder="1" applyAlignment="1">
      <alignment horizontal="left" vertical="center" wrapText="1"/>
    </xf>
    <xf numFmtId="0" fontId="1" fillId="0" borderId="90" xfId="7" applyFont="1" applyBorder="1"/>
    <xf numFmtId="0" fontId="8" fillId="9" borderId="88" xfId="7" applyFont="1" applyFill="1" applyBorder="1" applyAlignment="1">
      <alignment horizontal="left" vertical="center"/>
    </xf>
    <xf numFmtId="0" fontId="6" fillId="2" borderId="13" xfId="7" applyFont="1" applyFill="1" applyBorder="1" applyAlignment="1">
      <alignment horizontal="left" vertical="center"/>
    </xf>
    <xf numFmtId="0" fontId="6" fillId="0" borderId="64" xfId="7" applyFont="1" applyBorder="1" applyAlignment="1">
      <alignment horizontal="left" vertical="center"/>
    </xf>
    <xf numFmtId="0" fontId="1" fillId="0" borderId="43" xfId="0" applyFont="1" applyFill="1" applyBorder="1" applyAlignment="1">
      <alignment horizontal="center" vertical="center"/>
    </xf>
    <xf numFmtId="0" fontId="3" fillId="0" borderId="74" xfId="0" applyFont="1" applyFill="1" applyBorder="1"/>
    <xf numFmtId="0" fontId="1" fillId="0" borderId="43" xfId="0" applyFont="1" applyBorder="1" applyAlignment="1">
      <alignment horizontal="center" vertical="center" wrapText="1"/>
    </xf>
    <xf numFmtId="0" fontId="1" fillId="0" borderId="43" xfId="0" applyFont="1" applyBorder="1" applyAlignment="1">
      <alignment horizontal="center" vertical="center"/>
    </xf>
    <xf numFmtId="0" fontId="1" fillId="0" borderId="77" xfId="0" applyFont="1" applyFill="1" applyBorder="1" applyAlignment="1">
      <alignment horizontal="center" vertical="center"/>
    </xf>
    <xf numFmtId="0" fontId="3" fillId="0" borderId="169" xfId="0" applyFont="1" applyFill="1" applyBorder="1"/>
    <xf numFmtId="0" fontId="1" fillId="0" borderId="43" xfId="0" applyFont="1" applyFill="1" applyBorder="1" applyAlignment="1">
      <alignment horizontal="center" vertical="center" wrapText="1"/>
    </xf>
    <xf numFmtId="0" fontId="45" fillId="0" borderId="30" xfId="0" applyFont="1" applyFill="1" applyBorder="1" applyAlignment="1">
      <alignment horizontal="center" vertical="top" wrapText="1"/>
    </xf>
    <xf numFmtId="0" fontId="43" fillId="3" borderId="4" xfId="0" applyFont="1" applyFill="1" applyBorder="1" applyAlignment="1">
      <alignment horizontal="center"/>
    </xf>
    <xf numFmtId="0" fontId="43" fillId="3" borderId="122" xfId="0" applyFont="1" applyFill="1" applyBorder="1" applyAlignment="1">
      <alignment horizontal="center"/>
    </xf>
    <xf numFmtId="0" fontId="3" fillId="0" borderId="123" xfId="0" applyFont="1" applyBorder="1"/>
    <xf numFmtId="0" fontId="3" fillId="0" borderId="124" xfId="0" applyFont="1" applyBorder="1"/>
    <xf numFmtId="0" fontId="1" fillId="0" borderId="77" xfId="0" applyFont="1" applyFill="1" applyBorder="1" applyAlignment="1">
      <alignment horizontal="center" vertical="center" wrapText="1"/>
    </xf>
    <xf numFmtId="49" fontId="1" fillId="0" borderId="77" xfId="0" applyNumberFormat="1" applyFont="1" applyFill="1" applyBorder="1" applyAlignment="1">
      <alignment horizontal="center" vertical="center" wrapText="1"/>
    </xf>
    <xf numFmtId="0" fontId="45" fillId="0" borderId="43" xfId="0" applyFont="1" applyBorder="1" applyAlignment="1">
      <alignment horizontal="center" vertical="center"/>
    </xf>
    <xf numFmtId="0" fontId="45" fillId="0" borderId="43" xfId="0" applyFont="1" applyBorder="1" applyAlignment="1">
      <alignment horizontal="center" wrapText="1"/>
    </xf>
    <xf numFmtId="0" fontId="45" fillId="0" borderId="24" xfId="0" applyFont="1" applyBorder="1" applyAlignment="1">
      <alignment horizontal="center" vertical="top" wrapText="1"/>
    </xf>
    <xf numFmtId="0" fontId="43" fillId="3" borderId="88" xfId="0" applyFont="1" applyFill="1" applyBorder="1" applyAlignment="1">
      <alignment horizontal="center"/>
    </xf>
    <xf numFmtId="0" fontId="45" fillId="0" borderId="43" xfId="0" applyFont="1" applyFill="1" applyBorder="1" applyAlignment="1">
      <alignment horizontal="center" vertical="center"/>
    </xf>
    <xf numFmtId="0" fontId="45" fillId="0" borderId="24" xfId="0" applyFont="1" applyFill="1" applyBorder="1" applyAlignment="1">
      <alignment horizontal="center" vertical="top" wrapText="1"/>
    </xf>
    <xf numFmtId="0" fontId="1" fillId="0" borderId="65" xfId="0" applyFont="1" applyBorder="1" applyAlignment="1">
      <alignment horizontal="center" vertical="center" wrapText="1"/>
    </xf>
    <xf numFmtId="0" fontId="1" fillId="0" borderId="42" xfId="0" applyFont="1" applyBorder="1" applyAlignment="1">
      <alignment horizontal="center" vertical="center" wrapText="1"/>
    </xf>
    <xf numFmtId="49" fontId="1" fillId="0" borderId="43" xfId="0" applyNumberFormat="1" applyFont="1" applyBorder="1" applyAlignment="1">
      <alignment horizontal="center" vertical="center" wrapText="1"/>
    </xf>
    <xf numFmtId="0" fontId="32" fillId="0" borderId="43" xfId="0" applyFont="1" applyBorder="1" applyAlignment="1">
      <alignment horizontal="center" vertical="center" wrapText="1"/>
    </xf>
    <xf numFmtId="0" fontId="45" fillId="0" borderId="24" xfId="0" applyFont="1" applyBorder="1" applyAlignment="1">
      <alignment horizontal="center" wrapText="1"/>
    </xf>
    <xf numFmtId="0" fontId="45" fillId="0" borderId="24" xfId="0" applyFont="1" applyBorder="1" applyAlignment="1">
      <alignment horizontal="center" vertical="center"/>
    </xf>
    <xf numFmtId="0" fontId="1" fillId="8" borderId="24" xfId="0" applyFont="1" applyFill="1" applyBorder="1" applyAlignment="1">
      <alignment horizontal="center" vertical="center" wrapText="1"/>
    </xf>
    <xf numFmtId="0" fontId="1" fillId="0" borderId="24" xfId="0" applyFont="1" applyBorder="1" applyAlignment="1">
      <alignment horizontal="center" vertical="center" wrapText="1"/>
    </xf>
    <xf numFmtId="175" fontId="1" fillId="0" borderId="24" xfId="0" applyNumberFormat="1" applyFont="1" applyBorder="1" applyAlignment="1">
      <alignment horizontal="center" vertical="center"/>
    </xf>
    <xf numFmtId="0" fontId="1" fillId="0" borderId="24" xfId="0" applyFont="1" applyBorder="1" applyAlignment="1">
      <alignment horizontal="center"/>
    </xf>
    <xf numFmtId="0" fontId="1" fillId="0" borderId="23" xfId="0" applyFont="1" applyBorder="1" applyAlignment="1">
      <alignment horizontal="center"/>
    </xf>
    <xf numFmtId="0" fontId="3" fillId="0" borderId="27" xfId="0" applyFont="1" applyBorder="1"/>
    <xf numFmtId="0" fontId="1" fillId="8" borderId="43" xfId="0" applyFont="1" applyFill="1" applyBorder="1" applyAlignment="1">
      <alignment horizontal="center" vertical="center" wrapText="1"/>
    </xf>
    <xf numFmtId="0" fontId="1" fillId="0" borderId="42" xfId="0" applyFont="1" applyBorder="1" applyAlignment="1">
      <alignment horizontal="center" vertical="center"/>
    </xf>
    <xf numFmtId="0" fontId="43" fillId="3" borderId="4" xfId="0" applyFont="1" applyFill="1" applyBorder="1" applyAlignment="1">
      <alignment horizontal="center" vertical="center"/>
    </xf>
    <xf numFmtId="0" fontId="45" fillId="0" borderId="22" xfId="0" applyFont="1" applyBorder="1" applyAlignment="1">
      <alignment horizontal="center" vertical="center"/>
    </xf>
    <xf numFmtId="175" fontId="1" fillId="0" borderId="24" xfId="0" applyNumberFormat="1" applyFont="1" applyBorder="1" applyAlignment="1">
      <alignment horizontal="center" vertical="center" wrapText="1"/>
    </xf>
    <xf numFmtId="0" fontId="1" fillId="0" borderId="24" xfId="0" applyFont="1" applyBorder="1" applyAlignment="1">
      <alignment horizontal="center" wrapText="1"/>
    </xf>
    <xf numFmtId="174" fontId="1" fillId="0" borderId="21" xfId="0" applyNumberFormat="1" applyFont="1" applyBorder="1" applyAlignment="1">
      <alignment horizontal="center" vertical="center" wrapText="1"/>
    </xf>
    <xf numFmtId="0" fontId="3" fillId="0" borderId="25" xfId="0" applyFont="1" applyBorder="1"/>
    <xf numFmtId="174" fontId="1" fillId="0" borderId="21" xfId="0" applyNumberFormat="1" applyFont="1" applyBorder="1" applyAlignment="1">
      <alignment horizontal="center" vertical="center"/>
    </xf>
    <xf numFmtId="0" fontId="3" fillId="0" borderId="112" xfId="0" applyFont="1" applyBorder="1"/>
    <xf numFmtId="10" fontId="1" fillId="0" borderId="21" xfId="0" applyNumberFormat="1" applyFont="1" applyBorder="1" applyAlignment="1">
      <alignment horizontal="center" vertical="center"/>
    </xf>
    <xf numFmtId="174" fontId="1" fillId="0" borderId="111" xfId="0" applyNumberFormat="1" applyFont="1" applyBorder="1" applyAlignment="1">
      <alignment horizontal="center" vertical="center" wrapText="1"/>
    </xf>
    <xf numFmtId="0" fontId="3" fillId="0" borderId="109" xfId="0" applyFont="1" applyBorder="1"/>
    <xf numFmtId="174" fontId="1" fillId="0" borderId="3" xfId="0" applyNumberFormat="1" applyFont="1" applyBorder="1" applyAlignment="1">
      <alignment horizontal="center" vertical="center"/>
    </xf>
    <xf numFmtId="0" fontId="42" fillId="2" borderId="13" xfId="0" applyFont="1" applyFill="1" applyBorder="1" applyAlignment="1">
      <alignment horizontal="left" vertical="center"/>
    </xf>
    <xf numFmtId="0" fontId="42" fillId="2" borderId="88" xfId="0" applyFont="1" applyFill="1" applyBorder="1" applyAlignment="1">
      <alignment horizontal="left" vertical="center"/>
    </xf>
    <xf numFmtId="0" fontId="39" fillId="2" borderId="4" xfId="0" applyFont="1" applyFill="1" applyBorder="1" applyAlignment="1">
      <alignment horizontal="center" vertical="center"/>
    </xf>
    <xf numFmtId="0" fontId="40" fillId="2" borderId="110" xfId="0" applyFont="1" applyFill="1" applyBorder="1" applyAlignment="1">
      <alignment horizontal="center" vertical="center" wrapText="1"/>
    </xf>
    <xf numFmtId="0" fontId="41" fillId="0" borderId="86" xfId="0" applyFont="1" applyBorder="1" applyAlignment="1">
      <alignment horizontal="center"/>
    </xf>
    <xf numFmtId="0" fontId="40" fillId="0" borderId="13" xfId="0" applyFont="1" applyBorder="1" applyAlignment="1">
      <alignment horizontal="center"/>
    </xf>
    <xf numFmtId="0" fontId="15" fillId="0" borderId="14" xfId="0" applyFont="1" applyBorder="1" applyAlignment="1">
      <alignment horizontal="left" vertical="center"/>
    </xf>
    <xf numFmtId="0" fontId="15" fillId="0" borderId="12" xfId="0" applyFont="1" applyBorder="1" applyAlignment="1">
      <alignment horizontal="left" vertical="center"/>
    </xf>
    <xf numFmtId="172" fontId="1" fillId="0" borderId="21" xfId="0" applyNumberFormat="1" applyFont="1" applyBorder="1" applyAlignment="1">
      <alignment horizontal="center" vertical="center"/>
    </xf>
    <xf numFmtId="175" fontId="1" fillId="0" borderId="35" xfId="0" applyNumberFormat="1" applyFont="1" applyBorder="1" applyAlignment="1">
      <alignment horizontal="center" vertical="center"/>
    </xf>
    <xf numFmtId="0" fontId="1" fillId="0" borderId="21" xfId="0" applyFont="1" applyBorder="1" applyAlignment="1">
      <alignment horizontal="center"/>
    </xf>
    <xf numFmtId="172" fontId="1" fillId="0" borderId="3" xfId="0" applyNumberFormat="1" applyFont="1" applyBorder="1" applyAlignment="1">
      <alignment horizontal="center" vertical="center"/>
    </xf>
    <xf numFmtId="0" fontId="3" fillId="0" borderId="69" xfId="0" applyFont="1" applyBorder="1"/>
    <xf numFmtId="9" fontId="1" fillId="0" borderId="21" xfId="0" applyNumberFormat="1" applyFont="1" applyBorder="1" applyAlignment="1">
      <alignment horizontal="center" vertical="center"/>
    </xf>
    <xf numFmtId="10" fontId="1" fillId="0" borderId="57" xfId="0" applyNumberFormat="1" applyFont="1" applyBorder="1" applyAlignment="1">
      <alignment horizontal="center" vertical="center"/>
    </xf>
    <xf numFmtId="172" fontId="1" fillId="0" borderId="24" xfId="0" applyNumberFormat="1" applyFont="1" applyBorder="1" applyAlignment="1">
      <alignment horizontal="center" vertical="center"/>
    </xf>
    <xf numFmtId="172" fontId="1" fillId="0" borderId="57" xfId="0" applyNumberFormat="1" applyFont="1" applyBorder="1" applyAlignment="1">
      <alignment horizontal="center" vertical="center"/>
    </xf>
    <xf numFmtId="0" fontId="43" fillId="3" borderId="88" xfId="0" applyFont="1" applyFill="1" applyBorder="1" applyAlignment="1">
      <alignment horizontal="center" vertical="center"/>
    </xf>
    <xf numFmtId="0" fontId="1" fillId="0" borderId="22" xfId="0" applyFont="1" applyBorder="1" applyAlignment="1">
      <alignment horizontal="center" vertical="center"/>
    </xf>
    <xf numFmtId="10" fontId="1" fillId="0" borderId="23" xfId="0" applyNumberFormat="1" applyFont="1" applyBorder="1" applyAlignment="1">
      <alignment horizontal="center" vertical="center"/>
    </xf>
    <xf numFmtId="179" fontId="1" fillId="0" borderId="21" xfId="0" applyNumberFormat="1" applyFont="1" applyBorder="1" applyAlignment="1">
      <alignment horizontal="center" vertical="center" wrapText="1"/>
    </xf>
    <xf numFmtId="0" fontId="3" fillId="0" borderId="92" xfId="0" applyFont="1" applyBorder="1"/>
    <xf numFmtId="0" fontId="15" fillId="0" borderId="21" xfId="0" applyFont="1" applyBorder="1" applyAlignment="1">
      <alignment horizontal="center" vertical="center"/>
    </xf>
    <xf numFmtId="0" fontId="1" fillId="0" borderId="21" xfId="0" applyFont="1" applyBorder="1" applyAlignment="1">
      <alignment horizontal="center" vertical="center"/>
    </xf>
    <xf numFmtId="0" fontId="3" fillId="0" borderId="48" xfId="0" applyFont="1" applyBorder="1"/>
    <xf numFmtId="0" fontId="1" fillId="0" borderId="2" xfId="0" applyFont="1" applyBorder="1" applyAlignment="1">
      <alignment horizontal="center" vertical="center"/>
    </xf>
    <xf numFmtId="0" fontId="3" fillId="0" borderId="117" xfId="0" applyFont="1" applyBorder="1"/>
    <xf numFmtId="0" fontId="15" fillId="0" borderId="22" xfId="0" applyFont="1" applyBorder="1" applyAlignment="1">
      <alignment horizontal="center" vertical="center"/>
    </xf>
    <xf numFmtId="0" fontId="43" fillId="3" borderId="122" xfId="0" applyFont="1" applyFill="1" applyBorder="1" applyAlignment="1">
      <alignment horizontal="center" vertical="center"/>
    </xf>
    <xf numFmtId="0" fontId="46" fillId="0" borderId="42" xfId="0" applyFont="1" applyBorder="1" applyAlignment="1">
      <alignment horizontal="center" vertical="center" wrapText="1"/>
    </xf>
    <xf numFmtId="0" fontId="1" fillId="0" borderId="42" xfId="0" applyFont="1" applyFill="1" applyBorder="1" applyAlignment="1">
      <alignment horizontal="center" vertical="center" wrapText="1"/>
    </xf>
    <xf numFmtId="0" fontId="3" fillId="0" borderId="51" xfId="0" applyFont="1" applyFill="1" applyBorder="1"/>
    <xf numFmtId="0" fontId="1" fillId="0" borderId="65" xfId="0" applyFont="1" applyFill="1" applyBorder="1" applyAlignment="1">
      <alignment horizontal="center" vertical="center" wrapText="1"/>
    </xf>
    <xf numFmtId="0" fontId="3" fillId="0" borderId="41" xfId="0" applyFont="1" applyFill="1" applyBorder="1"/>
    <xf numFmtId="0" fontId="3" fillId="0" borderId="52" xfId="0" applyFont="1" applyFill="1" applyBorder="1"/>
    <xf numFmtId="0" fontId="1" fillId="0" borderId="108" xfId="0" applyFont="1" applyFill="1" applyBorder="1" applyAlignment="1">
      <alignment horizontal="center" vertical="center" wrapText="1"/>
    </xf>
    <xf numFmtId="0" fontId="3" fillId="0" borderId="178" xfId="0" applyFont="1" applyFill="1" applyBorder="1"/>
    <xf numFmtId="0" fontId="1" fillId="0" borderId="42" xfId="0" applyFont="1" applyFill="1" applyBorder="1" applyAlignment="1">
      <alignment horizontal="center" vertical="center"/>
    </xf>
    <xf numFmtId="0" fontId="46" fillId="0" borderId="107" xfId="0" applyFont="1" applyFill="1" applyBorder="1" applyAlignment="1">
      <alignment horizontal="center" vertical="center" wrapText="1"/>
    </xf>
    <xf numFmtId="0" fontId="3" fillId="0" borderId="179" xfId="0" applyFont="1" applyFill="1" applyBorder="1"/>
    <xf numFmtId="0" fontId="32" fillId="0" borderId="77" xfId="0" applyFont="1" applyFill="1" applyBorder="1" applyAlignment="1">
      <alignment horizontal="center" vertical="center" wrapText="1"/>
    </xf>
    <xf numFmtId="0" fontId="45" fillId="0" borderId="43" xfId="0" applyFont="1" applyFill="1" applyBorder="1" applyAlignment="1">
      <alignment horizontal="center" wrapText="1"/>
    </xf>
    <xf numFmtId="0" fontId="67" fillId="0" borderId="131" xfId="0" applyFont="1" applyBorder="1" applyAlignment="1">
      <alignment horizontal="center" vertical="center"/>
    </xf>
    <xf numFmtId="0" fontId="67" fillId="0" borderId="174" xfId="0" applyFont="1" applyBorder="1" applyAlignment="1">
      <alignment horizontal="center" vertical="center"/>
    </xf>
    <xf numFmtId="0" fontId="71" fillId="0" borderId="130" xfId="0" applyFont="1" applyBorder="1" applyAlignment="1">
      <alignment horizontal="center" vertical="top" wrapText="1"/>
    </xf>
    <xf numFmtId="0" fontId="72" fillId="0" borderId="130" xfId="0" applyFont="1" applyBorder="1"/>
    <xf numFmtId="2" fontId="21" fillId="0" borderId="44" xfId="7" applyNumberFormat="1" applyFont="1" applyFill="1" applyBorder="1" applyAlignment="1">
      <alignment horizontal="center" vertical="center"/>
    </xf>
    <xf numFmtId="172" fontId="21" fillId="0" borderId="44" xfId="7" applyNumberFormat="1" applyFont="1" applyFill="1" applyBorder="1" applyAlignment="1">
      <alignment horizontal="center" vertical="center"/>
    </xf>
    <xf numFmtId="4" fontId="21" fillId="0" borderId="44" xfId="7" applyNumberFormat="1" applyFont="1" applyFill="1" applyBorder="1" applyAlignment="1">
      <alignment horizontal="center" vertical="center"/>
    </xf>
    <xf numFmtId="4" fontId="21" fillId="0" borderId="44" xfId="7" applyNumberFormat="1" applyFont="1" applyFill="1" applyBorder="1" applyAlignment="1">
      <alignment horizontal="center" vertical="center" wrapText="1"/>
    </xf>
    <xf numFmtId="4" fontId="34" fillId="0" borderId="44" xfId="7" applyNumberFormat="1" applyFont="1" applyFill="1" applyBorder="1" applyAlignment="1">
      <alignment horizontal="center" vertical="center" wrapText="1"/>
    </xf>
    <xf numFmtId="0" fontId="34" fillId="0" borderId="44" xfId="7" applyFont="1" applyFill="1" applyBorder="1" applyAlignment="1">
      <alignment horizontal="center" vertical="center" wrapText="1"/>
    </xf>
    <xf numFmtId="4" fontId="35" fillId="0" borderId="44" xfId="7" applyNumberFormat="1" applyFont="1" applyFill="1" applyBorder="1" applyAlignment="1">
      <alignment horizontal="center" vertical="center" wrapText="1"/>
    </xf>
    <xf numFmtId="0" fontId="25" fillId="0" borderId="77" xfId="7" applyFont="1" applyFill="1" applyBorder="1" applyAlignment="1">
      <alignment vertical="top" wrapText="1"/>
    </xf>
    <xf numFmtId="0" fontId="25" fillId="0" borderId="77" xfId="7" applyFont="1" applyFill="1" applyBorder="1" applyAlignment="1">
      <alignment vertical="center" wrapText="1"/>
    </xf>
    <xf numFmtId="0" fontId="25" fillId="0" borderId="77" xfId="7" applyFont="1" applyFill="1" applyBorder="1" applyAlignment="1">
      <alignment horizontal="center" vertical="center" wrapText="1"/>
    </xf>
    <xf numFmtId="0" fontId="25" fillId="0" borderId="77" xfId="7" applyFont="1" applyFill="1" applyBorder="1" applyAlignment="1">
      <alignment horizontal="center" vertical="top" wrapText="1"/>
    </xf>
    <xf numFmtId="165" fontId="25" fillId="0" borderId="77" xfId="7" applyNumberFormat="1" applyFont="1" applyFill="1" applyBorder="1" applyAlignment="1">
      <alignment vertical="center" wrapText="1"/>
    </xf>
    <xf numFmtId="0" fontId="26" fillId="0" borderId="77" xfId="7" applyFont="1" applyFill="1" applyBorder="1" applyAlignment="1">
      <alignment vertical="center" wrapText="1"/>
    </xf>
    <xf numFmtId="0" fontId="1" fillId="0" borderId="77" xfId="7" applyFont="1" applyFill="1" applyBorder="1" applyAlignment="1">
      <alignment horizontal="center"/>
    </xf>
    <xf numFmtId="172" fontId="22" fillId="0" borderId="130" xfId="7" applyNumberFormat="1" applyFont="1" applyFill="1" applyBorder="1" applyAlignment="1">
      <alignment horizontal="center" vertical="center"/>
    </xf>
    <xf numFmtId="172" fontId="22" fillId="0" borderId="130" xfId="8" applyNumberFormat="1" applyFont="1" applyFill="1" applyBorder="1" applyAlignment="1">
      <alignment horizontal="center" vertical="center"/>
    </xf>
    <xf numFmtId="172" fontId="19" fillId="0" borderId="44" xfId="7" applyNumberFormat="1" applyFont="1" applyFill="1" applyBorder="1" applyAlignment="1">
      <alignment horizontal="center" vertical="center"/>
    </xf>
    <xf numFmtId="0" fontId="1" fillId="0" borderId="34" xfId="7" applyFont="1" applyFill="1" applyBorder="1" applyAlignment="1">
      <alignment vertical="top"/>
    </xf>
    <xf numFmtId="0" fontId="1" fillId="0" borderId="34" xfId="7" applyFont="1" applyFill="1" applyBorder="1"/>
    <xf numFmtId="3" fontId="25" fillId="0" borderId="44" xfId="7" applyNumberFormat="1" applyFont="1" applyFill="1" applyBorder="1" applyAlignment="1">
      <alignment horizontal="center" vertical="center"/>
    </xf>
    <xf numFmtId="172" fontId="22" fillId="0" borderId="44" xfId="7" applyNumberFormat="1" applyFont="1" applyFill="1" applyBorder="1" applyAlignment="1">
      <alignment horizontal="center" vertical="center"/>
    </xf>
    <xf numFmtId="2" fontId="23" fillId="0" borderId="44" xfId="7" applyNumberFormat="1" applyFont="1" applyFill="1" applyBorder="1" applyAlignment="1">
      <alignment horizontal="center" vertical="center"/>
    </xf>
    <xf numFmtId="0" fontId="23" fillId="0" borderId="44" xfId="7" applyFont="1" applyFill="1" applyBorder="1" applyAlignment="1">
      <alignment horizontal="center" vertical="center"/>
    </xf>
    <xf numFmtId="2" fontId="24" fillId="0" borderId="44" xfId="7" applyNumberFormat="1" applyFont="1" applyFill="1" applyBorder="1" applyAlignment="1">
      <alignment horizontal="center" vertical="center"/>
    </xf>
    <xf numFmtId="4" fontId="27" fillId="0" borderId="44" xfId="7" applyNumberFormat="1" applyFont="1" applyFill="1" applyBorder="1" applyAlignment="1">
      <alignment horizontal="center" vertical="center" wrapText="1"/>
    </xf>
    <xf numFmtId="172" fontId="23" fillId="0" borderId="44" xfId="7" applyNumberFormat="1" applyFont="1" applyFill="1" applyBorder="1" applyAlignment="1">
      <alignment horizontal="center" vertical="center"/>
    </xf>
    <xf numFmtId="172" fontId="24" fillId="0" borderId="44" xfId="7" applyNumberFormat="1" applyFont="1" applyFill="1" applyBorder="1" applyAlignment="1">
      <alignment horizontal="center" vertical="center"/>
    </xf>
    <xf numFmtId="172" fontId="26" fillId="0" borderId="44" xfId="7" applyNumberFormat="1" applyFont="1" applyFill="1" applyBorder="1" applyAlignment="1">
      <alignment horizontal="center" vertical="center"/>
    </xf>
    <xf numFmtId="0" fontId="1" fillId="0" borderId="70" xfId="7" applyFont="1" applyFill="1" applyBorder="1" applyAlignment="1">
      <alignment vertical="top"/>
    </xf>
    <xf numFmtId="0" fontId="1" fillId="0" borderId="70" xfId="7" applyFont="1" applyFill="1" applyBorder="1"/>
    <xf numFmtId="2" fontId="22" fillId="0" borderId="44" xfId="7" applyNumberFormat="1" applyFont="1" applyFill="1" applyBorder="1" applyAlignment="1">
      <alignment horizontal="center" vertical="center"/>
    </xf>
    <xf numFmtId="49" fontId="25" fillId="0" borderId="77" xfId="7" applyNumberFormat="1" applyFont="1" applyFill="1" applyBorder="1" applyAlignment="1">
      <alignment horizontal="center" vertical="top" wrapText="1"/>
    </xf>
    <xf numFmtId="0" fontId="25" fillId="0" borderId="77" xfId="8" applyFont="1" applyFill="1" applyBorder="1" applyAlignment="1">
      <alignment vertical="top" wrapText="1"/>
    </xf>
    <xf numFmtId="165" fontId="25" fillId="0" borderId="77" xfId="7" applyNumberFormat="1" applyFont="1" applyFill="1" applyBorder="1" applyAlignment="1">
      <alignment horizontal="center" vertical="center" wrapText="1"/>
    </xf>
    <xf numFmtId="49" fontId="25" fillId="0" borderId="34" xfId="7" applyNumberFormat="1" applyFont="1" applyFill="1" applyBorder="1" applyAlignment="1">
      <alignment horizontal="center" vertical="top" wrapText="1"/>
    </xf>
    <xf numFmtId="0" fontId="1" fillId="0" borderId="34" xfId="8" applyFont="1" applyFill="1" applyBorder="1" applyAlignment="1">
      <alignment vertical="top"/>
    </xf>
    <xf numFmtId="4" fontId="22" fillId="0" borderId="44" xfId="7" applyNumberFormat="1" applyFont="1" applyFill="1" applyBorder="1" applyAlignment="1">
      <alignment horizontal="center" vertical="center"/>
    </xf>
    <xf numFmtId="2" fontId="23" fillId="0" borderId="44" xfId="7" applyNumberFormat="1" applyFont="1" applyFill="1" applyBorder="1" applyAlignment="1">
      <alignment horizontal="center" vertical="center" wrapText="1"/>
    </xf>
    <xf numFmtId="49" fontId="25" fillId="0" borderId="70" xfId="7" applyNumberFormat="1" applyFont="1" applyFill="1" applyBorder="1" applyAlignment="1">
      <alignment horizontal="center" vertical="top" wrapText="1"/>
    </xf>
    <xf numFmtId="0" fontId="1" fillId="0" borderId="70" xfId="8" applyFont="1" applyFill="1" applyBorder="1" applyAlignment="1">
      <alignment vertical="top"/>
    </xf>
    <xf numFmtId="39" fontId="22" fillId="0" borderId="44" xfId="7" applyNumberFormat="1" applyFont="1" applyFill="1" applyBorder="1" applyAlignment="1">
      <alignment horizontal="center" vertical="center"/>
    </xf>
    <xf numFmtId="0" fontId="37" fillId="0" borderId="77" xfId="7" applyFont="1" applyFill="1" applyBorder="1" applyAlignment="1">
      <alignment vertical="center" wrapText="1"/>
    </xf>
    <xf numFmtId="3" fontId="25" fillId="0" borderId="77" xfId="7" applyNumberFormat="1" applyFont="1" applyFill="1" applyBorder="1" applyAlignment="1">
      <alignment horizontal="center" vertical="center" wrapText="1"/>
    </xf>
    <xf numFmtId="174" fontId="21" fillId="0" borderId="44" xfId="7" applyNumberFormat="1" applyFont="1" applyFill="1" applyBorder="1" applyAlignment="1">
      <alignment horizontal="center" vertical="center"/>
    </xf>
    <xf numFmtId="174" fontId="19" fillId="0" borderId="44" xfId="7" applyNumberFormat="1" applyFont="1" applyFill="1" applyBorder="1" applyAlignment="1">
      <alignment horizontal="center" vertical="center"/>
    </xf>
    <xf numFmtId="174" fontId="23" fillId="0" borderId="44" xfId="7" applyNumberFormat="1" applyFont="1" applyFill="1" applyBorder="1" applyAlignment="1">
      <alignment horizontal="center" vertical="center"/>
    </xf>
    <xf numFmtId="0" fontId="21" fillId="0" borderId="44" xfId="7" applyFont="1" applyFill="1" applyBorder="1" applyAlignment="1">
      <alignment horizontal="center" vertical="center" wrapText="1"/>
    </xf>
    <xf numFmtId="4" fontId="25" fillId="0" borderId="77" xfId="7" applyNumberFormat="1" applyFont="1" applyFill="1" applyBorder="1" applyAlignment="1">
      <alignment horizontal="center" vertical="top" wrapText="1"/>
    </xf>
    <xf numFmtId="172" fontId="25" fillId="0" borderId="44" xfId="7" applyNumberFormat="1" applyFont="1" applyFill="1" applyBorder="1" applyAlignment="1">
      <alignment horizontal="center" vertical="center"/>
    </xf>
    <xf numFmtId="4" fontId="25" fillId="0" borderId="44" xfId="7" applyNumberFormat="1" applyFont="1" applyFill="1" applyBorder="1" applyAlignment="1">
      <alignment horizontal="center" vertical="center" wrapText="1"/>
    </xf>
    <xf numFmtId="4" fontId="23" fillId="0" borderId="44" xfId="7" applyNumberFormat="1" applyFont="1" applyFill="1" applyBorder="1" applyAlignment="1">
      <alignment horizontal="center" vertical="center" wrapText="1"/>
    </xf>
    <xf numFmtId="172" fontId="25" fillId="0" borderId="44" xfId="7" applyNumberFormat="1" applyFont="1" applyFill="1" applyBorder="1" applyAlignment="1">
      <alignment horizontal="center" vertical="center" wrapText="1"/>
    </xf>
    <xf numFmtId="174" fontId="25" fillId="0" borderId="44" xfId="7" applyNumberFormat="1" applyFont="1" applyFill="1" applyBorder="1" applyAlignment="1">
      <alignment horizontal="center" vertical="center" wrapText="1"/>
    </xf>
    <xf numFmtId="178" fontId="23" fillId="0" borderId="44" xfId="7" applyNumberFormat="1" applyFont="1" applyFill="1" applyBorder="1" applyAlignment="1">
      <alignment horizontal="center" vertical="center"/>
    </xf>
    <xf numFmtId="39" fontId="25" fillId="0" borderId="44" xfId="7" applyNumberFormat="1" applyFont="1" applyFill="1" applyBorder="1" applyAlignment="1">
      <alignment horizontal="center" vertical="center"/>
    </xf>
    <xf numFmtId="4" fontId="23" fillId="0" borderId="44" xfId="7" applyNumberFormat="1" applyFont="1" applyFill="1" applyBorder="1" applyAlignment="1">
      <alignment horizontal="center" vertical="center"/>
    </xf>
    <xf numFmtId="4" fontId="25" fillId="0" borderId="108" xfId="7" applyNumberFormat="1" applyFont="1" applyFill="1" applyBorder="1" applyAlignment="1">
      <alignment horizontal="center" vertical="top" wrapText="1"/>
    </xf>
    <xf numFmtId="0" fontId="1" fillId="0" borderId="66" xfId="7" applyFont="1" applyFill="1" applyBorder="1"/>
    <xf numFmtId="0" fontId="1" fillId="0" borderId="99" xfId="7" applyFont="1" applyFill="1" applyBorder="1"/>
    <xf numFmtId="0" fontId="1" fillId="0" borderId="41" xfId="7" applyFont="1" applyFill="1" applyBorder="1"/>
    <xf numFmtId="0" fontId="56" fillId="0" borderId="93" xfId="7" applyFill="1"/>
    <xf numFmtId="0" fontId="1" fillId="0" borderId="109" xfId="7" applyFont="1" applyFill="1" applyBorder="1"/>
    <xf numFmtId="0" fontId="1" fillId="0" borderId="105" xfId="7" applyFont="1" applyFill="1" applyBorder="1"/>
    <xf numFmtId="0" fontId="1" fillId="0" borderId="102" xfId="7" applyFont="1" applyFill="1" applyBorder="1"/>
    <xf numFmtId="0" fontId="1" fillId="0" borderId="101" xfId="7" applyFont="1" applyFill="1" applyBorder="1"/>
    <xf numFmtId="2" fontId="26" fillId="0" borderId="44" xfId="7" applyNumberFormat="1" applyFont="1" applyFill="1" applyBorder="1" applyAlignment="1">
      <alignment horizontal="center" vertical="center"/>
    </xf>
    <xf numFmtId="4" fontId="25" fillId="0" borderId="70" xfId="7" applyNumberFormat="1" applyFont="1" applyFill="1" applyBorder="1" applyAlignment="1">
      <alignment horizontal="center" vertical="center" wrapText="1"/>
    </xf>
    <xf numFmtId="174" fontId="26" fillId="0" borderId="44" xfId="7" applyNumberFormat="1" applyFont="1" applyFill="1" applyBorder="1" applyAlignment="1">
      <alignment horizontal="center" vertical="center"/>
    </xf>
    <xf numFmtId="0" fontId="55" fillId="2" borderId="58" xfId="0" applyFont="1" applyFill="1" applyBorder="1" applyAlignment="1">
      <alignment horizontal="center" vertical="center" wrapText="1"/>
    </xf>
    <xf numFmtId="0" fontId="4" fillId="2" borderId="113" xfId="0" applyFont="1" applyFill="1" applyBorder="1" applyAlignment="1">
      <alignment horizontal="center" vertical="center" wrapText="1"/>
    </xf>
    <xf numFmtId="0" fontId="5" fillId="0" borderId="64" xfId="0" applyFont="1" applyBorder="1" applyAlignment="1">
      <alignment vertical="center" wrapText="1"/>
    </xf>
    <xf numFmtId="0" fontId="6" fillId="0" borderId="64" xfId="0" applyFont="1" applyBorder="1" applyAlignment="1">
      <alignment horizontal="left" vertical="center" wrapText="1"/>
    </xf>
    <xf numFmtId="0" fontId="6" fillId="0" borderId="97" xfId="0" applyFont="1" applyBorder="1" applyAlignment="1">
      <alignment horizontal="left" vertical="center" wrapText="1"/>
    </xf>
    <xf numFmtId="0" fontId="2" fillId="0" borderId="131" xfId="0" applyFont="1" applyBorder="1" applyAlignment="1">
      <alignment horizontal="center"/>
    </xf>
    <xf numFmtId="0" fontId="3" fillId="0" borderId="174" xfId="0" applyFont="1" applyBorder="1"/>
    <xf numFmtId="0" fontId="3" fillId="0" borderId="175" xfId="0" applyFont="1" applyBorder="1"/>
    <xf numFmtId="0" fontId="3" fillId="0" borderId="162" xfId="0" applyFont="1" applyBorder="1"/>
    <xf numFmtId="0" fontId="0" fillId="0" borderId="93" xfId="0" applyBorder="1"/>
    <xf numFmtId="0" fontId="0" fillId="0" borderId="177" xfId="0" applyBorder="1"/>
    <xf numFmtId="0" fontId="3" fillId="0" borderId="182" xfId="0" applyFont="1" applyBorder="1"/>
    <xf numFmtId="0" fontId="3" fillId="0" borderId="183" xfId="0" applyFont="1" applyBorder="1"/>
    <xf numFmtId="0" fontId="6" fillId="2" borderId="184" xfId="0" applyFont="1" applyFill="1" applyBorder="1" applyAlignment="1">
      <alignment horizontal="left" vertical="center" wrapText="1"/>
    </xf>
    <xf numFmtId="0" fontId="3" fillId="0" borderId="185" xfId="0" applyFont="1" applyBorder="1"/>
    <xf numFmtId="0" fontId="6" fillId="2" borderId="186" xfId="0" applyFont="1" applyFill="1" applyBorder="1" applyAlignment="1">
      <alignment horizontal="left" vertical="center" wrapText="1"/>
    </xf>
    <xf numFmtId="0" fontId="3" fillId="0" borderId="176" xfId="0" applyFont="1" applyBorder="1"/>
    <xf numFmtId="0" fontId="3" fillId="0" borderId="187" xfId="0" applyFont="1" applyBorder="1"/>
  </cellXfs>
  <cellStyles count="10">
    <cellStyle name="Millares" xfId="1" builtinId="3"/>
    <cellStyle name="Millares 2" xfId="5" xr:uid="{00000000-0005-0000-0000-000001000000}"/>
    <cellStyle name="Millares 2 2" xfId="3" xr:uid="{00000000-0005-0000-0000-000002000000}"/>
    <cellStyle name="Moneda 2" xfId="9" xr:uid="{00000000-0005-0000-0000-000003000000}"/>
    <cellStyle name="Normal" xfId="0" builtinId="0"/>
    <cellStyle name="Normal 2" xfId="4" xr:uid="{00000000-0005-0000-0000-000005000000}"/>
    <cellStyle name="Normal 2 2" xfId="7" xr:uid="{00000000-0005-0000-0000-000006000000}"/>
    <cellStyle name="Normal 3" xfId="8" xr:uid="{00000000-0005-0000-0000-000007000000}"/>
    <cellStyle name="Porcentaje" xfId="2" builtinId="5"/>
    <cellStyle name="Porcentaje 2" xfId="6" xr:uid="{00000000-0005-0000-0000-00000900000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382545</xdr:colOff>
      <xdr:row>1</xdr:row>
      <xdr:rowOff>227772</xdr:rowOff>
    </xdr:from>
    <xdr:ext cx="3406748" cy="673776"/>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82545" y="434837"/>
          <a:ext cx="3406748" cy="67377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387928</xdr:colOff>
      <xdr:row>0</xdr:row>
      <xdr:rowOff>51955</xdr:rowOff>
    </xdr:from>
    <xdr:ext cx="2989118" cy="865909"/>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87928" y="51955"/>
          <a:ext cx="2989118" cy="865909"/>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254000</xdr:rowOff>
    </xdr:from>
    <xdr:ext cx="3662430" cy="152400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254000"/>
          <a:ext cx="3662430" cy="15240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494810</xdr:colOff>
      <xdr:row>2</xdr:row>
      <xdr:rowOff>171450</xdr:rowOff>
    </xdr:to>
    <xdr:pic>
      <xdr:nvPicPr>
        <xdr:cNvPr id="2" name="Imagen 1">
          <a:extLst>
            <a:ext uri="{FF2B5EF4-FFF2-40B4-BE49-F238E27FC236}">
              <a16:creationId xmlns:a16="http://schemas.microsoft.com/office/drawing/2014/main" id="{81980DBC-17C3-685C-11AB-CB3AFAE7FFC2}"/>
            </a:ext>
          </a:extLst>
        </xdr:cNvPr>
        <xdr:cNvPicPr>
          <a:picLocks noChangeAspect="1"/>
        </xdr:cNvPicPr>
      </xdr:nvPicPr>
      <xdr:blipFill>
        <a:blip xmlns:r="http://schemas.openxmlformats.org/officeDocument/2006/relationships" r:embed="rId1"/>
        <a:stretch>
          <a:fillRect/>
        </a:stretch>
      </xdr:blipFill>
      <xdr:spPr>
        <a:xfrm>
          <a:off x="0" y="0"/>
          <a:ext cx="2552210" cy="544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95249</xdr:colOff>
      <xdr:row>0</xdr:row>
      <xdr:rowOff>47625</xdr:rowOff>
    </xdr:from>
    <xdr:ext cx="3473271" cy="1079276"/>
    <xdr:pic>
      <xdr:nvPicPr>
        <xdr:cNvPr id="2" name="image5.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95249" y="47625"/>
          <a:ext cx="3473271" cy="1079276"/>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Secretaria%20de%20Ambiente%20de%20Bogota/7769%20Documentos/Planes%20de%20Accion/Plan%20de%20Acci&#243;n%202021/Plan%20de%20Acci&#243;n%20Dic%202021/1.%20Plan%20de%20Accion-%207769%20Dic%202021%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3">
          <cell r="T13">
            <v>44.87</v>
          </cell>
          <cell r="V13">
            <v>45.54</v>
          </cell>
        </row>
        <row r="14">
          <cell r="V14">
            <v>2.5379999999999998</v>
          </cell>
        </row>
        <row r="16">
          <cell r="V16">
            <v>4.8070000000000004</v>
          </cell>
        </row>
        <row r="17">
          <cell r="T17">
            <v>0.14000000000000001</v>
          </cell>
          <cell r="V17">
            <v>0.2</v>
          </cell>
        </row>
      </sheetData>
      <sheetData sheetId="1">
        <row r="10">
          <cell r="CJ10">
            <v>74</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D100"/>
  <sheetViews>
    <sheetView tabSelected="1" zoomScale="44" zoomScaleNormal="44" workbookViewId="0">
      <selection activeCell="A2" sqref="A2:F8"/>
    </sheetView>
  </sheetViews>
  <sheetFormatPr baseColWidth="10" defaultColWidth="14.42578125" defaultRowHeight="15" customHeight="1" x14ac:dyDescent="0.25"/>
  <cols>
    <col min="1" max="1" width="7.5703125" customWidth="1"/>
    <col min="2" max="2" width="10.140625" customWidth="1"/>
    <col min="3" max="3" width="9.28515625" customWidth="1"/>
    <col min="4" max="4" width="34.85546875" customWidth="1"/>
    <col min="5" max="5" width="7.42578125" customWidth="1"/>
    <col min="6" max="6" width="43" customWidth="1"/>
    <col min="7" max="7" width="12.85546875" customWidth="1"/>
    <col min="8" max="8" width="12" customWidth="1"/>
    <col min="9" max="9" width="15.42578125" customWidth="1"/>
    <col min="10" max="10" width="11" hidden="1" customWidth="1"/>
    <col min="11" max="12" width="15.42578125" hidden="1" customWidth="1"/>
    <col min="13" max="13" width="12.7109375" hidden="1" customWidth="1"/>
    <col min="14" max="14" width="15.42578125" hidden="1" customWidth="1"/>
    <col min="15" max="15" width="14.7109375" hidden="1" customWidth="1"/>
    <col min="16" max="16" width="14.85546875" hidden="1" customWidth="1"/>
    <col min="17" max="17" width="13.28515625" hidden="1" customWidth="1"/>
    <col min="18" max="18" width="23.28515625" hidden="1" customWidth="1"/>
    <col min="19" max="19" width="19.7109375" hidden="1" customWidth="1"/>
    <col min="20" max="20" width="15.85546875" hidden="1" customWidth="1"/>
    <col min="21" max="21" width="27.28515625" hidden="1" customWidth="1"/>
    <col min="22" max="22" width="15.85546875" hidden="1" customWidth="1"/>
    <col min="23" max="23" width="19.140625" hidden="1" customWidth="1"/>
    <col min="24" max="25" width="10.7109375" hidden="1" customWidth="1"/>
    <col min="26" max="27" width="24" hidden="1" customWidth="1"/>
    <col min="28" max="29" width="20.42578125" customWidth="1"/>
    <col min="30" max="30" width="11.85546875" hidden="1" customWidth="1"/>
    <col min="31" max="36" width="10.28515625" hidden="1" customWidth="1"/>
    <col min="37" max="38" width="10.85546875" hidden="1" customWidth="1"/>
    <col min="39" max="40" width="9.42578125" hidden="1" customWidth="1"/>
    <col min="41" max="42" width="9.85546875" hidden="1" customWidth="1"/>
    <col min="43" max="43" width="10.42578125" hidden="1" customWidth="1"/>
    <col min="44" max="44" width="11" hidden="1" customWidth="1"/>
    <col min="45" max="45" width="10.42578125" hidden="1" customWidth="1"/>
    <col min="46" max="46" width="10.85546875" hidden="1" customWidth="1"/>
    <col min="47" max="47" width="10.42578125" hidden="1" customWidth="1"/>
    <col min="48" max="48" width="12.140625" hidden="1" customWidth="1"/>
    <col min="49" max="49" width="14.140625" hidden="1" customWidth="1"/>
    <col min="50" max="50" width="12" hidden="1" customWidth="1"/>
    <col min="51" max="51" width="12.7109375" hidden="1" customWidth="1"/>
    <col min="52" max="52" width="12.42578125" hidden="1" customWidth="1"/>
    <col min="53" max="53" width="13" hidden="1" customWidth="1"/>
    <col min="54" max="54" width="11.140625" hidden="1" customWidth="1"/>
    <col min="55" max="55" width="11.7109375" hidden="1" customWidth="1"/>
    <col min="56" max="56" width="15.140625" hidden="1" customWidth="1"/>
    <col min="57" max="57" width="11.7109375" hidden="1" customWidth="1"/>
    <col min="58" max="59" width="19.42578125" customWidth="1"/>
    <col min="60" max="60" width="12.42578125" hidden="1" customWidth="1"/>
    <col min="61" max="64" width="9.7109375" hidden="1" customWidth="1"/>
    <col min="65" max="67" width="10.85546875" hidden="1" customWidth="1"/>
    <col min="68" max="68" width="9.7109375" hidden="1" customWidth="1"/>
    <col min="69" max="69" width="13.140625" hidden="1" customWidth="1"/>
    <col min="70" max="71" width="11.42578125" hidden="1" customWidth="1"/>
    <col min="72" max="72" width="13.140625" hidden="1" customWidth="1"/>
    <col min="73" max="73" width="11.42578125" hidden="1" customWidth="1"/>
    <col min="74" max="74" width="16" hidden="1" customWidth="1"/>
    <col min="75" max="75" width="13.42578125" hidden="1" customWidth="1"/>
    <col min="76" max="76" width="11.7109375" hidden="1" customWidth="1"/>
    <col min="77" max="77" width="8.28515625" hidden="1" customWidth="1"/>
    <col min="78" max="78" width="13" hidden="1" customWidth="1"/>
    <col min="79" max="79" width="8.28515625" hidden="1" customWidth="1"/>
    <col min="80" max="80" width="11.140625" hidden="1" customWidth="1"/>
    <col min="81" max="81" width="11.42578125" hidden="1" customWidth="1"/>
    <col min="82" max="82" width="8.28515625" hidden="1" customWidth="1"/>
    <col min="83" max="83" width="12.42578125" hidden="1" customWidth="1"/>
    <col min="84" max="84" width="11.42578125" hidden="1" customWidth="1"/>
    <col min="85" max="87" width="12.7109375" hidden="1" customWidth="1"/>
    <col min="88" max="89" width="18.42578125" customWidth="1"/>
    <col min="90" max="90" width="14.7109375" customWidth="1"/>
    <col min="91" max="98" width="12.7109375" hidden="1" customWidth="1"/>
    <col min="99" max="99" width="19" hidden="1" customWidth="1"/>
    <col min="100" max="100" width="15.85546875" hidden="1" customWidth="1"/>
    <col min="101" max="101" width="19.7109375" bestFit="1" customWidth="1"/>
    <col min="102" max="102" width="14.140625" customWidth="1"/>
    <col min="103" max="103" width="15.140625" customWidth="1"/>
    <col min="104" max="104" width="14.42578125" customWidth="1"/>
    <col min="105" max="105" width="15.28515625" customWidth="1"/>
    <col min="106" max="108" width="12.7109375" customWidth="1"/>
    <col min="109" max="112" width="12.7109375" hidden="1" customWidth="1"/>
    <col min="113" max="113" width="19.7109375" hidden="1" customWidth="1"/>
    <col min="114" max="114" width="15.85546875" hidden="1" customWidth="1"/>
    <col min="115" max="115" width="18.7109375" customWidth="1"/>
    <col min="116" max="119" width="22.85546875" customWidth="1"/>
    <col min="120" max="120" width="26.42578125" customWidth="1"/>
    <col min="121" max="144" width="11.42578125" hidden="1" customWidth="1"/>
    <col min="145" max="149" width="24" hidden="1" customWidth="1"/>
    <col min="150" max="154" width="20.85546875" customWidth="1"/>
    <col min="155" max="155" width="70.42578125" customWidth="1"/>
    <col min="156" max="156" width="32.140625" customWidth="1"/>
    <col min="157" max="157" width="33.5703125" customWidth="1"/>
    <col min="158" max="158" width="28.140625" customWidth="1"/>
    <col min="159" max="159" width="24.42578125" customWidth="1"/>
  </cols>
  <sheetData>
    <row r="1" spans="1:160" ht="15.75" thickBot="1" x14ac:dyDescent="0.3">
      <c r="C1" s="275"/>
      <c r="D1" s="275"/>
      <c r="E1" s="275"/>
      <c r="F1" s="275"/>
      <c r="G1" s="275"/>
      <c r="H1" s="275"/>
      <c r="I1" s="276"/>
      <c r="J1" s="276"/>
      <c r="K1" s="276"/>
      <c r="L1" s="276"/>
      <c r="M1" s="276"/>
      <c r="N1" s="276"/>
      <c r="O1" s="276"/>
      <c r="P1" s="276"/>
      <c r="Q1" s="276"/>
      <c r="R1" s="276"/>
      <c r="S1" s="276"/>
      <c r="T1" s="276"/>
      <c r="U1" s="276"/>
      <c r="V1" s="276"/>
      <c r="W1" s="276"/>
      <c r="X1" s="276"/>
      <c r="Y1" s="276"/>
      <c r="Z1" s="276"/>
      <c r="AA1" s="276"/>
      <c r="AB1" s="1"/>
      <c r="AC1" s="1"/>
      <c r="AD1" s="1"/>
      <c r="AE1" s="1"/>
      <c r="AF1" s="1"/>
      <c r="AG1" s="1"/>
      <c r="AH1" s="1"/>
      <c r="AI1" s="1"/>
      <c r="AJ1" s="1"/>
      <c r="AK1" s="1"/>
      <c r="AL1" s="1"/>
      <c r="AM1" s="1"/>
      <c r="AN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row>
    <row r="2" spans="1:160" ht="31.5" customHeight="1" x14ac:dyDescent="0.25">
      <c r="A2" s="1075"/>
      <c r="B2" s="1076"/>
      <c r="C2" s="1076"/>
      <c r="D2" s="1076"/>
      <c r="E2" s="1076"/>
      <c r="F2" s="1077"/>
      <c r="G2" s="1070" t="s">
        <v>0</v>
      </c>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c r="AW2" s="688"/>
      <c r="AX2" s="688"/>
      <c r="AY2" s="688"/>
      <c r="AZ2" s="688"/>
      <c r="BA2" s="688"/>
      <c r="BB2" s="688"/>
      <c r="BC2" s="688"/>
      <c r="BD2" s="688"/>
      <c r="BE2" s="688"/>
      <c r="BF2" s="688"/>
      <c r="BG2" s="688"/>
      <c r="BH2" s="688"/>
      <c r="BI2" s="688"/>
      <c r="BJ2" s="688"/>
      <c r="BK2" s="688"/>
      <c r="BL2" s="688"/>
      <c r="BM2" s="688"/>
      <c r="BN2" s="688"/>
      <c r="BO2" s="688"/>
      <c r="BP2" s="688"/>
      <c r="BQ2" s="688"/>
      <c r="BR2" s="688"/>
      <c r="BS2" s="688"/>
      <c r="BT2" s="688"/>
      <c r="BU2" s="688"/>
      <c r="BV2" s="688"/>
      <c r="BW2" s="688"/>
      <c r="BX2" s="688"/>
      <c r="BY2" s="688"/>
      <c r="BZ2" s="688"/>
      <c r="CA2" s="688"/>
      <c r="CB2" s="688"/>
      <c r="CC2" s="688"/>
      <c r="CD2" s="688"/>
      <c r="CE2" s="688"/>
      <c r="CF2" s="688"/>
      <c r="CG2" s="688"/>
      <c r="CH2" s="688"/>
      <c r="CI2" s="688"/>
      <c r="CJ2" s="688"/>
      <c r="CK2" s="688"/>
      <c r="CL2" s="688"/>
      <c r="CM2" s="688"/>
      <c r="CN2" s="688"/>
      <c r="CO2" s="688"/>
      <c r="CP2" s="688"/>
      <c r="CQ2" s="688"/>
      <c r="CR2" s="688"/>
      <c r="CS2" s="688"/>
      <c r="CT2" s="688"/>
      <c r="CU2" s="688"/>
      <c r="CV2" s="688"/>
      <c r="CW2" s="688"/>
      <c r="CX2" s="688"/>
      <c r="CY2" s="688"/>
      <c r="CZ2" s="688"/>
      <c r="DA2" s="688"/>
      <c r="DB2" s="688"/>
      <c r="DC2" s="688"/>
      <c r="DD2" s="688"/>
      <c r="DE2" s="688"/>
      <c r="DF2" s="688"/>
      <c r="DG2" s="688"/>
      <c r="DH2" s="688"/>
      <c r="DI2" s="688"/>
      <c r="DJ2" s="688"/>
      <c r="DK2" s="688"/>
      <c r="DL2" s="688"/>
      <c r="DM2" s="688"/>
      <c r="DN2" s="688"/>
      <c r="DO2" s="688"/>
      <c r="DP2" s="688"/>
      <c r="DQ2" s="688"/>
      <c r="DR2" s="688"/>
      <c r="DS2" s="688"/>
      <c r="DT2" s="688"/>
      <c r="DU2" s="688"/>
      <c r="DV2" s="688"/>
      <c r="DW2" s="688"/>
      <c r="DX2" s="688"/>
      <c r="DY2" s="688"/>
      <c r="DZ2" s="688"/>
      <c r="EA2" s="688"/>
      <c r="EB2" s="688"/>
      <c r="EC2" s="688"/>
      <c r="ED2" s="688"/>
      <c r="EE2" s="688"/>
      <c r="EF2" s="688"/>
      <c r="EG2" s="688"/>
      <c r="EH2" s="688"/>
      <c r="EI2" s="688"/>
      <c r="EJ2" s="688"/>
      <c r="EK2" s="688"/>
      <c r="EL2" s="688"/>
      <c r="EM2" s="689"/>
      <c r="EN2" s="689"/>
      <c r="EO2" s="688"/>
      <c r="EP2" s="688"/>
      <c r="EQ2" s="688"/>
      <c r="ER2" s="688"/>
      <c r="ES2" s="688"/>
      <c r="ET2" s="688"/>
      <c r="EU2" s="688"/>
      <c r="EV2" s="688"/>
      <c r="EW2" s="688"/>
      <c r="EX2" s="688"/>
      <c r="EY2" s="688"/>
      <c r="EZ2" s="688"/>
      <c r="FA2" s="688"/>
      <c r="FB2" s="688"/>
      <c r="FC2" s="690"/>
    </row>
    <row r="3" spans="1:160" ht="32.25" customHeight="1" thickBot="1" x14ac:dyDescent="0.3">
      <c r="A3" s="1078"/>
      <c r="B3" s="1079"/>
      <c r="C3" s="1079"/>
      <c r="D3" s="1079"/>
      <c r="E3" s="1079"/>
      <c r="F3" s="1080"/>
      <c r="G3" s="1071" t="s">
        <v>1</v>
      </c>
      <c r="H3" s="683"/>
      <c r="I3" s="683"/>
      <c r="J3" s="683"/>
      <c r="K3" s="683"/>
      <c r="L3" s="683"/>
      <c r="M3" s="683"/>
      <c r="N3" s="683"/>
      <c r="O3" s="683"/>
      <c r="P3" s="683"/>
      <c r="Q3" s="683"/>
      <c r="R3" s="683"/>
      <c r="S3" s="683"/>
      <c r="T3" s="683"/>
      <c r="U3" s="683"/>
      <c r="V3" s="683"/>
      <c r="W3" s="683"/>
      <c r="X3" s="683"/>
      <c r="Y3" s="683"/>
      <c r="Z3" s="683"/>
      <c r="AA3" s="683"/>
      <c r="AB3" s="683"/>
      <c r="AC3" s="683"/>
      <c r="AD3" s="683"/>
      <c r="AE3" s="683"/>
      <c r="AF3" s="683"/>
      <c r="AG3" s="683"/>
      <c r="AH3" s="683"/>
      <c r="AI3" s="683"/>
      <c r="AJ3" s="683"/>
      <c r="AK3" s="683"/>
      <c r="AL3" s="683"/>
      <c r="AM3" s="683"/>
      <c r="AN3" s="683"/>
      <c r="AO3" s="683"/>
      <c r="AP3" s="683"/>
      <c r="AQ3" s="683"/>
      <c r="AR3" s="683"/>
      <c r="AS3" s="683"/>
      <c r="AT3" s="683"/>
      <c r="AU3" s="683"/>
      <c r="AV3" s="683"/>
      <c r="AW3" s="683"/>
      <c r="AX3" s="683"/>
      <c r="AY3" s="683"/>
      <c r="AZ3" s="683"/>
      <c r="BA3" s="683"/>
      <c r="BB3" s="683"/>
      <c r="BC3" s="683"/>
      <c r="BD3" s="683"/>
      <c r="BE3" s="683"/>
      <c r="BF3" s="683"/>
      <c r="BG3" s="683"/>
      <c r="BH3" s="683"/>
      <c r="BI3" s="683"/>
      <c r="BJ3" s="683"/>
      <c r="BK3" s="683"/>
      <c r="BL3" s="683"/>
      <c r="BM3" s="683"/>
      <c r="BN3" s="683"/>
      <c r="BO3" s="683"/>
      <c r="BP3" s="683"/>
      <c r="BQ3" s="683"/>
      <c r="BR3" s="683"/>
      <c r="BS3" s="683"/>
      <c r="BT3" s="683"/>
      <c r="BU3" s="683"/>
      <c r="BV3" s="683"/>
      <c r="BW3" s="683"/>
      <c r="BX3" s="683"/>
      <c r="BY3" s="683"/>
      <c r="BZ3" s="683"/>
      <c r="CA3" s="683"/>
      <c r="CB3" s="683"/>
      <c r="CC3" s="683"/>
      <c r="CD3" s="683"/>
      <c r="CE3" s="683"/>
      <c r="CF3" s="683"/>
      <c r="CG3" s="683"/>
      <c r="CH3" s="683"/>
      <c r="CI3" s="683"/>
      <c r="CJ3" s="683"/>
      <c r="CK3" s="683"/>
      <c r="CL3" s="683"/>
      <c r="CM3" s="683"/>
      <c r="CN3" s="683"/>
      <c r="CO3" s="683"/>
      <c r="CP3" s="683"/>
      <c r="CQ3" s="683"/>
      <c r="CR3" s="683"/>
      <c r="CS3" s="683"/>
      <c r="CT3" s="683"/>
      <c r="CU3" s="683"/>
      <c r="CV3" s="683"/>
      <c r="CW3" s="683"/>
      <c r="CX3" s="683"/>
      <c r="CY3" s="683"/>
      <c r="CZ3" s="683"/>
      <c r="DA3" s="683"/>
      <c r="DB3" s="683"/>
      <c r="DC3" s="683"/>
      <c r="DD3" s="683"/>
      <c r="DE3" s="683"/>
      <c r="DF3" s="683"/>
      <c r="DG3" s="683"/>
      <c r="DH3" s="683"/>
      <c r="DI3" s="683"/>
      <c r="DJ3" s="683"/>
      <c r="DK3" s="683"/>
      <c r="DL3" s="683"/>
      <c r="DM3" s="683"/>
      <c r="DN3" s="683"/>
      <c r="DO3" s="683"/>
      <c r="DP3" s="683"/>
      <c r="DQ3" s="683"/>
      <c r="DR3" s="683"/>
      <c r="DS3" s="683"/>
      <c r="DT3" s="683"/>
      <c r="DU3" s="683"/>
      <c r="DV3" s="683"/>
      <c r="DW3" s="683"/>
      <c r="DX3" s="683"/>
      <c r="DY3" s="683"/>
      <c r="DZ3" s="683"/>
      <c r="EA3" s="683"/>
      <c r="EB3" s="683"/>
      <c r="EC3" s="683"/>
      <c r="ED3" s="683"/>
      <c r="EE3" s="683"/>
      <c r="EF3" s="683"/>
      <c r="EG3" s="683"/>
      <c r="EH3" s="683"/>
      <c r="EI3" s="683"/>
      <c r="EJ3" s="683"/>
      <c r="EK3" s="683"/>
      <c r="EL3" s="683"/>
      <c r="EM3" s="691"/>
      <c r="EN3" s="691"/>
      <c r="EO3" s="683"/>
      <c r="EP3" s="683"/>
      <c r="EQ3" s="683"/>
      <c r="ER3" s="683"/>
      <c r="ES3" s="683"/>
      <c r="ET3" s="683"/>
      <c r="EU3" s="683"/>
      <c r="EV3" s="683"/>
      <c r="EW3" s="683"/>
      <c r="EX3" s="683"/>
      <c r="EY3" s="683"/>
      <c r="EZ3" s="683"/>
      <c r="FA3" s="683"/>
      <c r="FB3" s="683"/>
      <c r="FC3" s="692"/>
    </row>
    <row r="4" spans="1:160" ht="27" customHeight="1" thickBot="1" x14ac:dyDescent="0.3">
      <c r="A4" s="1081"/>
      <c r="B4" s="713"/>
      <c r="C4" s="713"/>
      <c r="D4" s="713"/>
      <c r="E4" s="713"/>
      <c r="F4" s="1082"/>
      <c r="G4" s="1072" t="s">
        <v>2</v>
      </c>
      <c r="H4" s="693"/>
      <c r="I4" s="693"/>
      <c r="J4" s="693"/>
      <c r="K4" s="693"/>
      <c r="L4" s="693"/>
      <c r="M4" s="693"/>
      <c r="N4" s="693"/>
      <c r="O4" s="693"/>
      <c r="P4" s="693"/>
      <c r="Q4" s="693"/>
      <c r="R4" s="693"/>
      <c r="S4" s="693"/>
      <c r="T4" s="693"/>
      <c r="U4" s="693"/>
      <c r="V4" s="693"/>
      <c r="W4" s="693"/>
      <c r="X4" s="693"/>
      <c r="Y4" s="693"/>
      <c r="Z4" s="693"/>
      <c r="AA4" s="693"/>
      <c r="AB4" s="693"/>
      <c r="AC4" s="693"/>
      <c r="AD4" s="693"/>
      <c r="AE4" s="693"/>
      <c r="AF4" s="693"/>
      <c r="AG4" s="693"/>
      <c r="AH4" s="693"/>
      <c r="AI4" s="693"/>
      <c r="AJ4" s="693"/>
      <c r="AK4" s="693"/>
      <c r="AL4" s="693"/>
      <c r="AM4" s="693"/>
      <c r="AN4" s="693"/>
      <c r="AO4" s="693"/>
      <c r="AP4" s="693"/>
      <c r="AQ4" s="693"/>
      <c r="AR4" s="693"/>
      <c r="AS4" s="693"/>
      <c r="AT4" s="693"/>
      <c r="AU4" s="693"/>
      <c r="AV4" s="693"/>
      <c r="AW4" s="693"/>
      <c r="AX4" s="693"/>
      <c r="AY4" s="693"/>
      <c r="AZ4" s="693"/>
      <c r="BA4" s="693"/>
      <c r="BB4" s="693"/>
      <c r="BC4" s="693"/>
      <c r="BD4" s="693"/>
      <c r="BE4" s="693"/>
      <c r="BF4" s="693"/>
      <c r="BG4" s="693"/>
      <c r="BH4" s="693"/>
      <c r="BI4" s="693"/>
      <c r="BJ4" s="693"/>
      <c r="BK4" s="693"/>
      <c r="BL4" s="693"/>
      <c r="BM4" s="693"/>
      <c r="BN4" s="693"/>
      <c r="BO4" s="693"/>
      <c r="BP4" s="693"/>
      <c r="BQ4" s="693"/>
      <c r="BR4" s="693"/>
      <c r="BS4" s="693"/>
      <c r="BT4" s="693"/>
      <c r="BU4" s="693"/>
      <c r="BV4" s="693"/>
      <c r="BW4" s="693"/>
      <c r="BX4" s="693"/>
      <c r="BY4" s="693"/>
      <c r="BZ4" s="693"/>
      <c r="CA4" s="693"/>
      <c r="CB4" s="693"/>
      <c r="CC4" s="693"/>
      <c r="CD4" s="693"/>
      <c r="CE4" s="693"/>
      <c r="CF4" s="693"/>
      <c r="CG4" s="693"/>
      <c r="CH4" s="693"/>
      <c r="CI4" s="693"/>
      <c r="CJ4" s="693"/>
      <c r="CK4" s="693"/>
      <c r="CL4" s="693"/>
      <c r="CM4" s="693"/>
      <c r="CN4" s="693"/>
      <c r="CO4" s="693"/>
      <c r="CP4" s="693"/>
      <c r="CQ4" s="693"/>
      <c r="CR4" s="693"/>
      <c r="CS4" s="693"/>
      <c r="CT4" s="693"/>
      <c r="CU4" s="693"/>
      <c r="CV4" s="693"/>
      <c r="CW4" s="693"/>
      <c r="CX4" s="693"/>
      <c r="CY4" s="693"/>
      <c r="CZ4" s="693"/>
      <c r="DA4" s="693"/>
      <c r="DB4" s="693"/>
      <c r="DC4" s="693"/>
      <c r="DD4" s="693"/>
      <c r="DE4" s="693"/>
      <c r="DF4" s="693"/>
      <c r="DG4" s="693"/>
      <c r="DH4" s="693"/>
      <c r="DI4" s="693"/>
      <c r="DJ4" s="693"/>
      <c r="DK4" s="693"/>
      <c r="DL4" s="693"/>
      <c r="DM4" s="693"/>
      <c r="DN4" s="693"/>
      <c r="DO4" s="693"/>
      <c r="DP4" s="693"/>
      <c r="DQ4" s="693"/>
      <c r="DR4" s="693"/>
      <c r="DS4" s="693"/>
      <c r="DT4" s="693"/>
      <c r="DU4" s="693"/>
      <c r="DV4" s="693"/>
      <c r="DW4" s="693"/>
      <c r="DX4" s="693"/>
      <c r="DY4" s="693"/>
      <c r="DZ4" s="693"/>
      <c r="EA4" s="693"/>
      <c r="EB4" s="693"/>
      <c r="EC4" s="693"/>
      <c r="ED4" s="693"/>
      <c r="EE4" s="693"/>
      <c r="EF4" s="693"/>
      <c r="EG4" s="693"/>
      <c r="EH4" s="693"/>
      <c r="EI4" s="693"/>
      <c r="EJ4" s="693"/>
      <c r="EK4" s="693"/>
      <c r="EL4" s="693"/>
      <c r="EM4" s="694"/>
      <c r="EN4" s="694"/>
      <c r="EO4" s="693"/>
      <c r="EP4" s="693"/>
      <c r="EQ4" s="693"/>
      <c r="ER4" s="693"/>
      <c r="ES4" s="693"/>
      <c r="ET4" s="695"/>
      <c r="EU4" s="696" t="s">
        <v>3</v>
      </c>
      <c r="EV4" s="697"/>
      <c r="EW4" s="697"/>
      <c r="EX4" s="697"/>
      <c r="EY4" s="697"/>
      <c r="EZ4" s="697"/>
      <c r="FA4" s="697"/>
      <c r="FB4" s="697"/>
      <c r="FC4" s="698"/>
    </row>
    <row r="5" spans="1:160" ht="27" customHeight="1" thickBot="1" x14ac:dyDescent="0.3">
      <c r="A5" s="1083" t="s">
        <v>4</v>
      </c>
      <c r="B5" s="689"/>
      <c r="C5" s="689"/>
      <c r="D5" s="689"/>
      <c r="E5" s="689"/>
      <c r="F5" s="1084"/>
      <c r="G5" s="1073" t="s">
        <v>5</v>
      </c>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c r="AG5" s="693"/>
      <c r="AH5" s="693"/>
      <c r="AI5" s="693"/>
      <c r="AJ5" s="693"/>
      <c r="AK5" s="693"/>
      <c r="AL5" s="693"/>
      <c r="AM5" s="693"/>
      <c r="AN5" s="693"/>
      <c r="AO5" s="693"/>
      <c r="AP5" s="693"/>
      <c r="AQ5" s="693"/>
      <c r="AR5" s="693"/>
      <c r="AS5" s="693"/>
      <c r="AT5" s="693"/>
      <c r="AU5" s="693"/>
      <c r="AV5" s="693"/>
      <c r="AW5" s="693"/>
      <c r="AX5" s="693"/>
      <c r="AY5" s="693"/>
      <c r="AZ5" s="693"/>
      <c r="BA5" s="693"/>
      <c r="BB5" s="693"/>
      <c r="BC5" s="693"/>
      <c r="BD5" s="693"/>
      <c r="BE5" s="693"/>
      <c r="BF5" s="693"/>
      <c r="BG5" s="693"/>
      <c r="BH5" s="693"/>
      <c r="BI5" s="693"/>
      <c r="BJ5" s="693"/>
      <c r="BK5" s="693"/>
      <c r="BL5" s="693"/>
      <c r="BM5" s="693"/>
      <c r="BN5" s="693"/>
      <c r="BO5" s="693"/>
      <c r="BP5" s="693"/>
      <c r="BQ5" s="693"/>
      <c r="BR5" s="693"/>
      <c r="BS5" s="693"/>
      <c r="BT5" s="693"/>
      <c r="BU5" s="693"/>
      <c r="BV5" s="693"/>
      <c r="BW5" s="693"/>
      <c r="BX5" s="693"/>
      <c r="BY5" s="693"/>
      <c r="BZ5" s="693"/>
      <c r="CA5" s="693"/>
      <c r="CB5" s="693"/>
      <c r="CC5" s="693"/>
      <c r="CD5" s="693"/>
      <c r="CE5" s="693"/>
      <c r="CF5" s="693"/>
      <c r="CG5" s="693"/>
      <c r="CH5" s="693"/>
      <c r="CI5" s="693"/>
      <c r="CJ5" s="693"/>
      <c r="CK5" s="693"/>
      <c r="CL5" s="693"/>
      <c r="CM5" s="693"/>
      <c r="CN5" s="693"/>
      <c r="CO5" s="693"/>
      <c r="CP5" s="693"/>
      <c r="CQ5" s="693"/>
      <c r="CR5" s="693"/>
      <c r="CS5" s="693"/>
      <c r="CT5" s="693"/>
      <c r="CU5" s="693"/>
      <c r="CV5" s="693"/>
      <c r="CW5" s="693"/>
      <c r="CX5" s="693"/>
      <c r="CY5" s="693"/>
      <c r="CZ5" s="693"/>
      <c r="DA5" s="693"/>
      <c r="DB5" s="693"/>
      <c r="DC5" s="693"/>
      <c r="DD5" s="693"/>
      <c r="DE5" s="693"/>
      <c r="DF5" s="693"/>
      <c r="DG5" s="693"/>
      <c r="DH5" s="693"/>
      <c r="DI5" s="693"/>
      <c r="DJ5" s="693"/>
      <c r="DK5" s="693"/>
      <c r="DL5" s="693"/>
      <c r="DM5" s="693"/>
      <c r="DN5" s="693"/>
      <c r="DO5" s="693"/>
      <c r="DP5" s="693"/>
      <c r="DQ5" s="693"/>
      <c r="DR5" s="693"/>
      <c r="DS5" s="693"/>
      <c r="DT5" s="693"/>
      <c r="DU5" s="693"/>
      <c r="DV5" s="693"/>
      <c r="DW5" s="693"/>
      <c r="DX5" s="693"/>
      <c r="DY5" s="693"/>
      <c r="DZ5" s="693"/>
      <c r="EA5" s="693"/>
      <c r="EB5" s="693"/>
      <c r="EC5" s="693"/>
      <c r="ED5" s="693"/>
      <c r="EE5" s="693"/>
      <c r="EF5" s="693"/>
      <c r="EG5" s="693"/>
      <c r="EH5" s="693"/>
      <c r="EI5" s="693"/>
      <c r="EJ5" s="693"/>
      <c r="EK5" s="693"/>
      <c r="EL5" s="693"/>
      <c r="EM5" s="694"/>
      <c r="EN5" s="694"/>
      <c r="EO5" s="693"/>
      <c r="EP5" s="693"/>
      <c r="EQ5" s="693"/>
      <c r="ER5" s="693"/>
      <c r="ES5" s="693"/>
      <c r="ET5" s="693"/>
      <c r="EU5" s="693"/>
      <c r="EV5" s="693"/>
      <c r="EW5" s="693"/>
      <c r="EX5" s="693"/>
      <c r="EY5" s="693"/>
      <c r="EZ5" s="693"/>
      <c r="FA5" s="693"/>
      <c r="FB5" s="693"/>
      <c r="FC5" s="695"/>
    </row>
    <row r="6" spans="1:160" ht="27" customHeight="1" thickBot="1" x14ac:dyDescent="0.3">
      <c r="A6" s="1083" t="s">
        <v>6</v>
      </c>
      <c r="B6" s="689"/>
      <c r="C6" s="689"/>
      <c r="D6" s="689"/>
      <c r="E6" s="689"/>
      <c r="F6" s="1084"/>
      <c r="G6" s="1073" t="s">
        <v>7</v>
      </c>
      <c r="H6" s="693"/>
      <c r="I6" s="693"/>
      <c r="J6" s="693"/>
      <c r="K6" s="693"/>
      <c r="L6" s="693"/>
      <c r="M6" s="693"/>
      <c r="N6" s="693"/>
      <c r="O6" s="693"/>
      <c r="P6" s="693"/>
      <c r="Q6" s="693"/>
      <c r="R6" s="693"/>
      <c r="S6" s="693"/>
      <c r="T6" s="693"/>
      <c r="U6" s="693"/>
      <c r="V6" s="693"/>
      <c r="W6" s="693"/>
      <c r="X6" s="693"/>
      <c r="Y6" s="693"/>
      <c r="Z6" s="693"/>
      <c r="AA6" s="693"/>
      <c r="AB6" s="693"/>
      <c r="AC6" s="693"/>
      <c r="AD6" s="693"/>
      <c r="AE6" s="693"/>
      <c r="AF6" s="693"/>
      <c r="AG6" s="693"/>
      <c r="AH6" s="693"/>
      <c r="AI6" s="693"/>
      <c r="AJ6" s="693"/>
      <c r="AK6" s="693"/>
      <c r="AL6" s="693"/>
      <c r="AM6" s="693"/>
      <c r="AN6" s="693"/>
      <c r="AO6" s="693"/>
      <c r="AP6" s="693"/>
      <c r="AQ6" s="693"/>
      <c r="AR6" s="693"/>
      <c r="AS6" s="693"/>
      <c r="AT6" s="693"/>
      <c r="AU6" s="693"/>
      <c r="AV6" s="693"/>
      <c r="AW6" s="693"/>
      <c r="AX6" s="693"/>
      <c r="AY6" s="693"/>
      <c r="AZ6" s="693"/>
      <c r="BA6" s="693"/>
      <c r="BB6" s="693"/>
      <c r="BC6" s="693"/>
      <c r="BD6" s="693"/>
      <c r="BE6" s="693"/>
      <c r="BF6" s="693"/>
      <c r="BG6" s="693"/>
      <c r="BH6" s="693"/>
      <c r="BI6" s="693"/>
      <c r="BJ6" s="693"/>
      <c r="BK6" s="693"/>
      <c r="BL6" s="693"/>
      <c r="BM6" s="693"/>
      <c r="BN6" s="693"/>
      <c r="BO6" s="693"/>
      <c r="BP6" s="693"/>
      <c r="BQ6" s="693"/>
      <c r="BR6" s="693"/>
      <c r="BS6" s="693"/>
      <c r="BT6" s="693"/>
      <c r="BU6" s="693"/>
      <c r="BV6" s="693"/>
      <c r="BW6" s="693"/>
      <c r="BX6" s="693"/>
      <c r="BY6" s="693"/>
      <c r="BZ6" s="693"/>
      <c r="CA6" s="693"/>
      <c r="CB6" s="693"/>
      <c r="CC6" s="693"/>
      <c r="CD6" s="693"/>
      <c r="CE6" s="693"/>
      <c r="CF6" s="693"/>
      <c r="CG6" s="693"/>
      <c r="CH6" s="693"/>
      <c r="CI6" s="693"/>
      <c r="CJ6" s="693"/>
      <c r="CK6" s="693"/>
      <c r="CL6" s="693"/>
      <c r="CM6" s="693"/>
      <c r="CN6" s="693"/>
      <c r="CO6" s="693"/>
      <c r="CP6" s="693"/>
      <c r="CQ6" s="693"/>
      <c r="CR6" s="693"/>
      <c r="CS6" s="693"/>
      <c r="CT6" s="693"/>
      <c r="CU6" s="693"/>
      <c r="CV6" s="693"/>
      <c r="CW6" s="693"/>
      <c r="CX6" s="693"/>
      <c r="CY6" s="693"/>
      <c r="CZ6" s="693"/>
      <c r="DA6" s="693"/>
      <c r="DB6" s="693"/>
      <c r="DC6" s="693"/>
      <c r="DD6" s="693"/>
      <c r="DE6" s="693"/>
      <c r="DF6" s="693"/>
      <c r="DG6" s="693"/>
      <c r="DH6" s="693"/>
      <c r="DI6" s="693"/>
      <c r="DJ6" s="693"/>
      <c r="DK6" s="693"/>
      <c r="DL6" s="693"/>
      <c r="DM6" s="693"/>
      <c r="DN6" s="693"/>
      <c r="DO6" s="693"/>
      <c r="DP6" s="693"/>
      <c r="DQ6" s="693"/>
      <c r="DR6" s="693"/>
      <c r="DS6" s="693"/>
      <c r="DT6" s="693"/>
      <c r="DU6" s="693"/>
      <c r="DV6" s="693"/>
      <c r="DW6" s="693"/>
      <c r="DX6" s="693"/>
      <c r="DY6" s="693"/>
      <c r="DZ6" s="693"/>
      <c r="EA6" s="693"/>
      <c r="EB6" s="693"/>
      <c r="EC6" s="693"/>
      <c r="ED6" s="693"/>
      <c r="EE6" s="693"/>
      <c r="EF6" s="693"/>
      <c r="EG6" s="693"/>
      <c r="EH6" s="693"/>
      <c r="EI6" s="693"/>
      <c r="EJ6" s="693"/>
      <c r="EK6" s="693"/>
      <c r="EL6" s="693"/>
      <c r="EM6" s="694"/>
      <c r="EN6" s="694"/>
      <c r="EO6" s="693"/>
      <c r="EP6" s="693"/>
      <c r="EQ6" s="693"/>
      <c r="ER6" s="693"/>
      <c r="ES6" s="693"/>
      <c r="ET6" s="693"/>
      <c r="EU6" s="693"/>
      <c r="EV6" s="693"/>
      <c r="EW6" s="693"/>
      <c r="EX6" s="693"/>
      <c r="EY6" s="693"/>
      <c r="EZ6" s="693"/>
      <c r="FA6" s="693"/>
      <c r="FB6" s="693"/>
      <c r="FC6" s="695"/>
    </row>
    <row r="7" spans="1:160" ht="27" customHeight="1" thickBot="1" x14ac:dyDescent="0.3">
      <c r="A7" s="1083" t="s">
        <v>8</v>
      </c>
      <c r="B7" s="689"/>
      <c r="C7" s="689"/>
      <c r="D7" s="689"/>
      <c r="E7" s="689"/>
      <c r="F7" s="1084"/>
      <c r="G7" s="1073" t="s">
        <v>9</v>
      </c>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c r="AH7" s="693"/>
      <c r="AI7" s="693"/>
      <c r="AJ7" s="693"/>
      <c r="AK7" s="693"/>
      <c r="AL7" s="693"/>
      <c r="AM7" s="693"/>
      <c r="AN7" s="693"/>
      <c r="AO7" s="693"/>
      <c r="AP7" s="693"/>
      <c r="AQ7" s="693"/>
      <c r="AR7" s="693"/>
      <c r="AS7" s="693"/>
      <c r="AT7" s="693"/>
      <c r="AU7" s="693"/>
      <c r="AV7" s="693"/>
      <c r="AW7" s="693"/>
      <c r="AX7" s="693"/>
      <c r="AY7" s="693"/>
      <c r="AZ7" s="693"/>
      <c r="BA7" s="693"/>
      <c r="BB7" s="693"/>
      <c r="BC7" s="693"/>
      <c r="BD7" s="693"/>
      <c r="BE7" s="693"/>
      <c r="BF7" s="693"/>
      <c r="BG7" s="693"/>
      <c r="BH7" s="693"/>
      <c r="BI7" s="693"/>
      <c r="BJ7" s="693"/>
      <c r="BK7" s="693"/>
      <c r="BL7" s="693"/>
      <c r="BM7" s="693"/>
      <c r="BN7" s="693"/>
      <c r="BO7" s="693"/>
      <c r="BP7" s="693"/>
      <c r="BQ7" s="693"/>
      <c r="BR7" s="693"/>
      <c r="BS7" s="693"/>
      <c r="BT7" s="693"/>
      <c r="BU7" s="693"/>
      <c r="BV7" s="693"/>
      <c r="BW7" s="693"/>
      <c r="BX7" s="693"/>
      <c r="BY7" s="693"/>
      <c r="BZ7" s="693"/>
      <c r="CA7" s="693"/>
      <c r="CB7" s="693"/>
      <c r="CC7" s="693"/>
      <c r="CD7" s="693"/>
      <c r="CE7" s="693"/>
      <c r="CF7" s="693"/>
      <c r="CG7" s="693"/>
      <c r="CH7" s="693"/>
      <c r="CI7" s="693"/>
      <c r="CJ7" s="693"/>
      <c r="CK7" s="693"/>
      <c r="CL7" s="693"/>
      <c r="CM7" s="693"/>
      <c r="CN7" s="693"/>
      <c r="CO7" s="693"/>
      <c r="CP7" s="693"/>
      <c r="CQ7" s="693"/>
      <c r="CR7" s="693"/>
      <c r="CS7" s="693"/>
      <c r="CT7" s="693"/>
      <c r="CU7" s="693"/>
      <c r="CV7" s="693"/>
      <c r="CW7" s="693"/>
      <c r="CX7" s="693"/>
      <c r="CY7" s="693"/>
      <c r="CZ7" s="693"/>
      <c r="DA7" s="693"/>
      <c r="DB7" s="693"/>
      <c r="DC7" s="693"/>
      <c r="DD7" s="693"/>
      <c r="DE7" s="693"/>
      <c r="DF7" s="693"/>
      <c r="DG7" s="693"/>
      <c r="DH7" s="693"/>
      <c r="DI7" s="693"/>
      <c r="DJ7" s="693"/>
      <c r="DK7" s="693"/>
      <c r="DL7" s="693"/>
      <c r="DM7" s="693"/>
      <c r="DN7" s="693"/>
      <c r="DO7" s="693"/>
      <c r="DP7" s="693"/>
      <c r="DQ7" s="693"/>
      <c r="DR7" s="693"/>
      <c r="DS7" s="693"/>
      <c r="DT7" s="693"/>
      <c r="DU7" s="693"/>
      <c r="DV7" s="693"/>
      <c r="DW7" s="693"/>
      <c r="DX7" s="693"/>
      <c r="DY7" s="693"/>
      <c r="DZ7" s="693"/>
      <c r="EA7" s="693"/>
      <c r="EB7" s="693"/>
      <c r="EC7" s="693"/>
      <c r="ED7" s="693"/>
      <c r="EE7" s="693"/>
      <c r="EF7" s="693"/>
      <c r="EG7" s="693"/>
      <c r="EH7" s="693"/>
      <c r="EI7" s="693"/>
      <c r="EJ7" s="693"/>
      <c r="EK7" s="693"/>
      <c r="EL7" s="693"/>
      <c r="EM7" s="694"/>
      <c r="EN7" s="694"/>
      <c r="EO7" s="693"/>
      <c r="EP7" s="693"/>
      <c r="EQ7" s="693"/>
      <c r="ER7" s="693"/>
      <c r="ES7" s="693"/>
      <c r="ET7" s="693"/>
      <c r="EU7" s="693"/>
      <c r="EV7" s="693"/>
      <c r="EW7" s="693"/>
      <c r="EX7" s="693"/>
      <c r="EY7" s="693"/>
      <c r="EZ7" s="693"/>
      <c r="FA7" s="693"/>
      <c r="FB7" s="693"/>
      <c r="FC7" s="695"/>
    </row>
    <row r="8" spans="1:160" ht="27" customHeight="1" thickBot="1" x14ac:dyDescent="0.3">
      <c r="A8" s="1085" t="s">
        <v>10</v>
      </c>
      <c r="B8" s="1086"/>
      <c r="C8" s="1086"/>
      <c r="D8" s="1086"/>
      <c r="E8" s="1086"/>
      <c r="F8" s="1087"/>
      <c r="G8" s="1074" t="s">
        <v>11</v>
      </c>
      <c r="H8" s="706"/>
      <c r="I8" s="706"/>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6"/>
      <c r="AL8" s="706"/>
      <c r="AM8" s="706"/>
      <c r="AN8" s="706"/>
      <c r="AO8" s="706"/>
      <c r="AP8" s="706"/>
      <c r="AQ8" s="706"/>
      <c r="AR8" s="706"/>
      <c r="AS8" s="706"/>
      <c r="AT8" s="706"/>
      <c r="AU8" s="706"/>
      <c r="AV8" s="706"/>
      <c r="AW8" s="706"/>
      <c r="AX8" s="706"/>
      <c r="AY8" s="706"/>
      <c r="AZ8" s="706"/>
      <c r="BA8" s="706"/>
      <c r="BB8" s="706"/>
      <c r="BC8" s="706"/>
      <c r="BD8" s="706"/>
      <c r="BE8" s="706"/>
      <c r="BF8" s="706"/>
      <c r="BG8" s="706"/>
      <c r="BH8" s="706"/>
      <c r="BI8" s="706"/>
      <c r="BJ8" s="706"/>
      <c r="BK8" s="706"/>
      <c r="BL8" s="706"/>
      <c r="BM8" s="706"/>
      <c r="BN8" s="706"/>
      <c r="BO8" s="706"/>
      <c r="BP8" s="706"/>
      <c r="BQ8" s="706"/>
      <c r="BR8" s="706"/>
      <c r="BS8" s="706"/>
      <c r="BT8" s="706"/>
      <c r="BU8" s="706"/>
      <c r="BV8" s="706"/>
      <c r="BW8" s="706"/>
      <c r="BX8" s="706"/>
      <c r="BY8" s="706"/>
      <c r="BZ8" s="706"/>
      <c r="CA8" s="706"/>
      <c r="CB8" s="706"/>
      <c r="CC8" s="706"/>
      <c r="CD8" s="706"/>
      <c r="CE8" s="706"/>
      <c r="CF8" s="706"/>
      <c r="CG8" s="706"/>
      <c r="CH8" s="706"/>
      <c r="CI8" s="706"/>
      <c r="CJ8" s="706"/>
      <c r="CK8" s="706"/>
      <c r="CL8" s="706"/>
      <c r="CM8" s="706"/>
      <c r="CN8" s="706"/>
      <c r="CO8" s="706"/>
      <c r="CP8" s="706"/>
      <c r="CQ8" s="706"/>
      <c r="CR8" s="706"/>
      <c r="CS8" s="706"/>
      <c r="CT8" s="706"/>
      <c r="CU8" s="706"/>
      <c r="CV8" s="706"/>
      <c r="CW8" s="706"/>
      <c r="CX8" s="706"/>
      <c r="CY8" s="706"/>
      <c r="CZ8" s="706"/>
      <c r="DA8" s="706"/>
      <c r="DB8" s="706"/>
      <c r="DC8" s="706"/>
      <c r="DD8" s="706"/>
      <c r="DE8" s="706"/>
      <c r="DF8" s="706"/>
      <c r="DG8" s="706"/>
      <c r="DH8" s="706"/>
      <c r="DI8" s="706"/>
      <c r="DJ8" s="706"/>
      <c r="DK8" s="706"/>
      <c r="DL8" s="706"/>
      <c r="DM8" s="706"/>
      <c r="DN8" s="706"/>
      <c r="DO8" s="706"/>
      <c r="DP8" s="706"/>
      <c r="DQ8" s="706"/>
      <c r="DR8" s="706"/>
      <c r="DS8" s="706"/>
      <c r="DT8" s="706"/>
      <c r="DU8" s="706"/>
      <c r="DV8" s="706"/>
      <c r="DW8" s="706"/>
      <c r="DX8" s="706"/>
      <c r="DY8" s="706"/>
      <c r="DZ8" s="706"/>
      <c r="EA8" s="706"/>
      <c r="EB8" s="706"/>
      <c r="EC8" s="706"/>
      <c r="ED8" s="706"/>
      <c r="EE8" s="706"/>
      <c r="EF8" s="706"/>
      <c r="EG8" s="706"/>
      <c r="EH8" s="706"/>
      <c r="EI8" s="706"/>
      <c r="EJ8" s="706"/>
      <c r="EK8" s="706"/>
      <c r="EL8" s="706"/>
      <c r="EM8" s="713"/>
      <c r="EN8" s="713"/>
      <c r="EO8" s="706"/>
      <c r="EP8" s="706"/>
      <c r="EQ8" s="706"/>
      <c r="ER8" s="706"/>
      <c r="ES8" s="706"/>
      <c r="ET8" s="706"/>
      <c r="EU8" s="706"/>
      <c r="EV8" s="706"/>
      <c r="EW8" s="706"/>
      <c r="EX8" s="706"/>
      <c r="EY8" s="706"/>
      <c r="EZ8" s="706"/>
      <c r="FA8" s="706"/>
      <c r="FB8" s="706"/>
      <c r="FC8" s="714"/>
    </row>
    <row r="9" spans="1:160" ht="18.75" thickBot="1" x14ac:dyDescent="0.3">
      <c r="A9" s="277"/>
      <c r="B9" s="278"/>
      <c r="C9" s="278"/>
      <c r="D9" s="278"/>
      <c r="E9" s="278"/>
      <c r="F9" s="278"/>
      <c r="G9" s="279"/>
      <c r="H9" s="279"/>
      <c r="I9" s="279"/>
      <c r="J9" s="279"/>
      <c r="K9" s="279"/>
      <c r="L9" s="279"/>
      <c r="M9" s="279"/>
      <c r="N9" s="279"/>
      <c r="O9" s="279"/>
      <c r="P9" s="279"/>
      <c r="Q9" s="279"/>
      <c r="R9" s="279"/>
      <c r="S9" s="279"/>
      <c r="T9" s="279"/>
      <c r="U9" s="280"/>
      <c r="V9" s="279"/>
      <c r="W9" s="279"/>
      <c r="X9" s="279"/>
      <c r="Y9" s="279"/>
      <c r="Z9" s="279"/>
      <c r="AA9" s="279"/>
      <c r="AB9" s="279"/>
      <c r="AC9" s="279"/>
      <c r="AD9" s="280"/>
      <c r="AE9" s="279"/>
      <c r="AF9" s="279"/>
      <c r="AG9" s="279"/>
      <c r="AH9" s="279"/>
      <c r="AI9" s="280"/>
      <c r="AJ9" s="279"/>
      <c r="AK9" s="279"/>
      <c r="AL9" s="280"/>
      <c r="AM9" s="279"/>
      <c r="AN9" s="279"/>
      <c r="AO9" s="281"/>
      <c r="AP9" s="281"/>
      <c r="AQ9" s="281"/>
      <c r="AR9" s="281"/>
      <c r="AS9" s="281"/>
      <c r="AT9" s="281"/>
      <c r="AU9" s="281"/>
      <c r="AV9" s="281"/>
      <c r="AW9" s="281"/>
      <c r="AX9" s="281"/>
      <c r="AY9" s="281"/>
      <c r="AZ9" s="281"/>
      <c r="BA9" s="282"/>
      <c r="BB9" s="282"/>
      <c r="BC9" s="278"/>
      <c r="BD9" s="278"/>
      <c r="BE9" s="278"/>
      <c r="BF9" s="278"/>
      <c r="BG9" s="278"/>
      <c r="BH9" s="278"/>
      <c r="BI9" s="283"/>
      <c r="BJ9" s="283"/>
      <c r="BK9" s="283"/>
      <c r="BL9" s="283"/>
      <c r="BM9" s="283"/>
      <c r="BN9" s="283"/>
      <c r="BO9" s="283"/>
      <c r="BP9" s="283"/>
      <c r="BQ9" s="278"/>
      <c r="BR9" s="278"/>
      <c r="BS9" s="278"/>
      <c r="BT9" s="278"/>
      <c r="BU9" s="278"/>
      <c r="BV9" s="278"/>
      <c r="BW9" s="278"/>
      <c r="BX9" s="278"/>
      <c r="BY9" s="278"/>
      <c r="BZ9" s="278"/>
      <c r="CA9" s="278"/>
      <c r="CB9" s="278"/>
      <c r="CC9" s="278"/>
      <c r="CD9" s="278"/>
      <c r="CE9" s="278"/>
      <c r="CF9" s="278"/>
      <c r="CG9" s="278"/>
      <c r="CH9" s="278"/>
      <c r="CI9" s="278"/>
      <c r="CJ9" s="278"/>
      <c r="CK9" s="278"/>
      <c r="CL9" s="278"/>
      <c r="CM9" s="278"/>
      <c r="CN9" s="278"/>
      <c r="CO9" s="278"/>
      <c r="CP9" s="278"/>
      <c r="CQ9" s="278"/>
      <c r="CR9" s="278"/>
      <c r="CS9" s="278"/>
      <c r="CT9" s="278"/>
      <c r="CU9" s="278"/>
      <c r="CV9" s="278"/>
      <c r="CW9" s="278"/>
      <c r="CX9" s="278"/>
      <c r="CY9" s="278"/>
      <c r="CZ9" s="278"/>
      <c r="DA9" s="278"/>
      <c r="DB9" s="278"/>
      <c r="DC9" s="278"/>
      <c r="DD9" s="278"/>
      <c r="DE9" s="278"/>
      <c r="DF9" s="278"/>
      <c r="DG9" s="278"/>
      <c r="DH9" s="278"/>
      <c r="DI9" s="278"/>
      <c r="DJ9" s="278"/>
      <c r="DK9" s="278"/>
      <c r="DL9" s="278"/>
      <c r="DM9" s="278"/>
      <c r="DN9" s="278"/>
      <c r="DO9" s="278"/>
      <c r="DP9" s="278"/>
      <c r="DQ9" s="278"/>
      <c r="DR9" s="278"/>
      <c r="DS9" s="278"/>
      <c r="DT9" s="278"/>
      <c r="DU9" s="278"/>
      <c r="DV9" s="278"/>
      <c r="DW9" s="278"/>
      <c r="DX9" s="278"/>
      <c r="DY9" s="278"/>
      <c r="DZ9" s="278"/>
      <c r="EA9" s="278"/>
      <c r="EB9" s="278"/>
      <c r="EC9" s="278"/>
      <c r="ED9" s="278"/>
      <c r="EE9" s="278"/>
      <c r="EF9" s="278"/>
      <c r="EG9" s="278"/>
      <c r="EH9" s="278"/>
      <c r="EI9" s="278"/>
      <c r="EJ9" s="278"/>
      <c r="EK9" s="278"/>
      <c r="EL9" s="278"/>
      <c r="EM9" s="278"/>
      <c r="EN9" s="278"/>
      <c r="EO9" s="278"/>
      <c r="EP9" s="278"/>
      <c r="EQ9" s="278"/>
      <c r="ER9" s="278"/>
      <c r="ES9" s="278"/>
      <c r="ET9" s="278"/>
      <c r="EU9" s="278"/>
      <c r="EV9" s="278"/>
      <c r="EW9" s="278"/>
      <c r="EX9" s="278"/>
      <c r="EY9" s="278"/>
      <c r="EZ9" s="278"/>
      <c r="FA9" s="278"/>
      <c r="FB9" s="278"/>
      <c r="FC9" s="278"/>
    </row>
    <row r="10" spans="1:160" s="284" customFormat="1" ht="30.75" customHeight="1" x14ac:dyDescent="0.2">
      <c r="A10" s="719" t="s">
        <v>12</v>
      </c>
      <c r="B10" s="719"/>
      <c r="C10" s="719"/>
      <c r="D10" s="719"/>
      <c r="E10" s="719"/>
      <c r="F10" s="719"/>
      <c r="G10" s="719"/>
      <c r="H10" s="719"/>
      <c r="I10" s="719"/>
      <c r="J10" s="719" t="s">
        <v>13</v>
      </c>
      <c r="K10" s="719"/>
      <c r="L10" s="719"/>
      <c r="M10" s="719"/>
      <c r="N10" s="719"/>
      <c r="O10" s="719"/>
      <c r="P10" s="719"/>
      <c r="Q10" s="719"/>
      <c r="R10" s="719"/>
      <c r="S10" s="719"/>
      <c r="T10" s="719"/>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c r="AT10" s="719"/>
      <c r="AU10" s="719"/>
      <c r="AV10" s="719"/>
      <c r="AW10" s="719"/>
      <c r="AX10" s="719"/>
      <c r="AY10" s="719"/>
      <c r="AZ10" s="719"/>
      <c r="BA10" s="719"/>
      <c r="BB10" s="719"/>
      <c r="BC10" s="719"/>
      <c r="BD10" s="719"/>
      <c r="BE10" s="719"/>
      <c r="BF10" s="719"/>
      <c r="BG10" s="719"/>
      <c r="BH10" s="719"/>
      <c r="BI10" s="719"/>
      <c r="BJ10" s="719"/>
      <c r="BK10" s="719"/>
      <c r="BL10" s="719"/>
      <c r="BM10" s="719"/>
      <c r="BN10" s="719"/>
      <c r="BO10" s="719"/>
      <c r="BP10" s="719"/>
      <c r="BQ10" s="719"/>
      <c r="BR10" s="719"/>
      <c r="BS10" s="719"/>
      <c r="BT10" s="719"/>
      <c r="BU10" s="719"/>
      <c r="BV10" s="719"/>
      <c r="BW10" s="719"/>
      <c r="BX10" s="719"/>
      <c r="BY10" s="719"/>
      <c r="BZ10" s="719"/>
      <c r="CA10" s="719"/>
      <c r="CB10" s="719"/>
      <c r="CC10" s="719"/>
      <c r="CD10" s="719"/>
      <c r="CE10" s="719"/>
      <c r="CF10" s="719"/>
      <c r="CG10" s="719"/>
      <c r="CH10" s="719"/>
      <c r="CI10" s="719"/>
      <c r="CJ10" s="719"/>
      <c r="CK10" s="719"/>
      <c r="CL10" s="719"/>
      <c r="CM10" s="719"/>
      <c r="CN10" s="719"/>
      <c r="CO10" s="719"/>
      <c r="CP10" s="719"/>
      <c r="CQ10" s="719"/>
      <c r="CR10" s="719"/>
      <c r="CS10" s="719"/>
      <c r="CT10" s="719"/>
      <c r="CU10" s="719"/>
      <c r="CV10" s="719"/>
      <c r="CW10" s="719"/>
      <c r="CX10" s="719"/>
      <c r="CY10" s="719"/>
      <c r="CZ10" s="719"/>
      <c r="DA10" s="719"/>
      <c r="DB10" s="719"/>
      <c r="DC10" s="719"/>
      <c r="DD10" s="719"/>
      <c r="DE10" s="719"/>
      <c r="DF10" s="719"/>
      <c r="DG10" s="719"/>
      <c r="DH10" s="719"/>
      <c r="DI10" s="719"/>
      <c r="DJ10" s="719"/>
      <c r="DK10" s="719"/>
      <c r="DL10" s="719"/>
      <c r="DM10" s="719"/>
      <c r="DN10" s="719"/>
      <c r="DO10" s="719"/>
      <c r="DP10" s="719"/>
      <c r="DQ10" s="719"/>
      <c r="DR10" s="719"/>
      <c r="DS10" s="719"/>
      <c r="DT10" s="719"/>
      <c r="DU10" s="719"/>
      <c r="DV10" s="719"/>
      <c r="DW10" s="719"/>
      <c r="DX10" s="719"/>
      <c r="DY10" s="719"/>
      <c r="DZ10" s="719"/>
      <c r="EA10" s="719"/>
      <c r="EB10" s="719"/>
      <c r="EC10" s="719"/>
      <c r="ED10" s="719"/>
      <c r="EE10" s="719"/>
      <c r="EF10" s="719"/>
      <c r="EG10" s="719"/>
      <c r="EH10" s="719"/>
      <c r="EI10" s="719"/>
      <c r="EJ10" s="719"/>
      <c r="EK10" s="719"/>
      <c r="EL10" s="719"/>
      <c r="EM10" s="719"/>
      <c r="EN10" s="719"/>
      <c r="EO10" s="719"/>
      <c r="EP10" s="719"/>
      <c r="EQ10" s="719"/>
      <c r="ER10" s="719"/>
      <c r="ES10" s="719"/>
      <c r="ET10" s="720" t="s">
        <v>14</v>
      </c>
      <c r="EU10" s="720" t="s">
        <v>15</v>
      </c>
      <c r="EV10" s="717" t="s">
        <v>16</v>
      </c>
      <c r="EW10" s="700" t="s">
        <v>17</v>
      </c>
      <c r="EX10" s="717" t="s">
        <v>18</v>
      </c>
      <c r="EY10" s="715" t="s">
        <v>19</v>
      </c>
      <c r="EZ10" s="715" t="s">
        <v>20</v>
      </c>
      <c r="FA10" s="715" t="s">
        <v>21</v>
      </c>
      <c r="FB10" s="715" t="s">
        <v>22</v>
      </c>
      <c r="FC10" s="715" t="s">
        <v>23</v>
      </c>
    </row>
    <row r="11" spans="1:160" s="284" customFormat="1" ht="30.75" customHeight="1" x14ac:dyDescent="0.2">
      <c r="A11" s="719" t="s">
        <v>24</v>
      </c>
      <c r="B11" s="719"/>
      <c r="C11" s="719"/>
      <c r="D11" s="719"/>
      <c r="E11" s="719"/>
      <c r="F11" s="719"/>
      <c r="G11" s="719"/>
      <c r="H11" s="719"/>
      <c r="I11" s="719"/>
      <c r="J11" s="699" t="s">
        <v>25</v>
      </c>
      <c r="K11" s="699"/>
      <c r="L11" s="699"/>
      <c r="M11" s="699"/>
      <c r="N11" s="699"/>
      <c r="O11" s="699"/>
      <c r="P11" s="699"/>
      <c r="Q11" s="699"/>
      <c r="R11" s="699"/>
      <c r="S11" s="699"/>
      <c r="T11" s="699"/>
      <c r="U11" s="699"/>
      <c r="V11" s="699"/>
      <c r="W11" s="699"/>
      <c r="X11" s="699"/>
      <c r="Y11" s="699"/>
      <c r="Z11" s="699"/>
      <c r="AA11" s="699"/>
      <c r="AB11" s="699"/>
      <c r="AC11" s="699"/>
      <c r="AD11" s="699" t="s">
        <v>26</v>
      </c>
      <c r="AE11" s="699"/>
      <c r="AF11" s="699"/>
      <c r="AG11" s="699"/>
      <c r="AH11" s="699"/>
      <c r="AI11" s="699"/>
      <c r="AJ11" s="699"/>
      <c r="AK11" s="699"/>
      <c r="AL11" s="699"/>
      <c r="AM11" s="699"/>
      <c r="AN11" s="699"/>
      <c r="AO11" s="699"/>
      <c r="AP11" s="699"/>
      <c r="AQ11" s="699"/>
      <c r="AR11" s="699"/>
      <c r="AS11" s="699"/>
      <c r="AT11" s="699"/>
      <c r="AU11" s="699"/>
      <c r="AV11" s="699"/>
      <c r="AW11" s="699"/>
      <c r="AX11" s="699"/>
      <c r="AY11" s="699"/>
      <c r="AZ11" s="699"/>
      <c r="BA11" s="699"/>
      <c r="BB11" s="699"/>
      <c r="BC11" s="699"/>
      <c r="BD11" s="699"/>
      <c r="BE11" s="699"/>
      <c r="BF11" s="699"/>
      <c r="BG11" s="699"/>
      <c r="BH11" s="699" t="s">
        <v>27</v>
      </c>
      <c r="BI11" s="699"/>
      <c r="BJ11" s="699"/>
      <c r="BK11" s="699"/>
      <c r="BL11" s="699"/>
      <c r="BM11" s="699"/>
      <c r="BN11" s="699"/>
      <c r="BO11" s="699"/>
      <c r="BP11" s="699"/>
      <c r="BQ11" s="699"/>
      <c r="BR11" s="699"/>
      <c r="BS11" s="699"/>
      <c r="BT11" s="699"/>
      <c r="BU11" s="699"/>
      <c r="BV11" s="699"/>
      <c r="BW11" s="699"/>
      <c r="BX11" s="699"/>
      <c r="BY11" s="699"/>
      <c r="BZ11" s="699"/>
      <c r="CA11" s="699"/>
      <c r="CB11" s="699"/>
      <c r="CC11" s="699"/>
      <c r="CD11" s="699"/>
      <c r="CE11" s="699"/>
      <c r="CF11" s="699"/>
      <c r="CG11" s="699"/>
      <c r="CH11" s="699"/>
      <c r="CI11" s="699"/>
      <c r="CJ11" s="699"/>
      <c r="CK11" s="699"/>
      <c r="CL11" s="699" t="s">
        <v>28</v>
      </c>
      <c r="CM11" s="699"/>
      <c r="CN11" s="699"/>
      <c r="CO11" s="699"/>
      <c r="CP11" s="699"/>
      <c r="CQ11" s="699"/>
      <c r="CR11" s="699"/>
      <c r="CS11" s="699"/>
      <c r="CT11" s="699"/>
      <c r="CU11" s="699"/>
      <c r="CV11" s="699"/>
      <c r="CW11" s="699"/>
      <c r="CX11" s="699"/>
      <c r="CY11" s="699"/>
      <c r="CZ11" s="699"/>
      <c r="DA11" s="699"/>
      <c r="DB11" s="699"/>
      <c r="DC11" s="699"/>
      <c r="DD11" s="699"/>
      <c r="DE11" s="699"/>
      <c r="DF11" s="699"/>
      <c r="DG11" s="699"/>
      <c r="DH11" s="699"/>
      <c r="DI11" s="699"/>
      <c r="DJ11" s="699"/>
      <c r="DK11" s="699"/>
      <c r="DL11" s="699"/>
      <c r="DM11" s="699"/>
      <c r="DN11" s="699"/>
      <c r="DO11" s="699"/>
      <c r="DP11" s="699" t="s">
        <v>29</v>
      </c>
      <c r="DQ11" s="699"/>
      <c r="DR11" s="699"/>
      <c r="DS11" s="699"/>
      <c r="DT11" s="699"/>
      <c r="DU11" s="699"/>
      <c r="DV11" s="699"/>
      <c r="DW11" s="699"/>
      <c r="DX11" s="699"/>
      <c r="DY11" s="699"/>
      <c r="DZ11" s="699"/>
      <c r="EA11" s="699"/>
      <c r="EB11" s="699"/>
      <c r="EC11" s="699"/>
      <c r="ED11" s="699"/>
      <c r="EE11" s="699"/>
      <c r="EF11" s="699"/>
      <c r="EG11" s="699"/>
      <c r="EH11" s="699"/>
      <c r="EI11" s="699"/>
      <c r="EJ11" s="699"/>
      <c r="EK11" s="699"/>
      <c r="EL11" s="699"/>
      <c r="EM11" s="699"/>
      <c r="EN11" s="699"/>
      <c r="EO11" s="699"/>
      <c r="EP11" s="699"/>
      <c r="EQ11" s="699"/>
      <c r="ER11" s="699"/>
      <c r="ES11" s="699"/>
      <c r="ET11" s="721"/>
      <c r="EU11" s="721"/>
      <c r="EV11" s="718"/>
      <c r="EW11" s="701"/>
      <c r="EX11" s="718"/>
      <c r="EY11" s="715"/>
      <c r="EZ11" s="715"/>
      <c r="FA11" s="715"/>
      <c r="FB11" s="715"/>
      <c r="FC11" s="715"/>
    </row>
    <row r="12" spans="1:160" s="284" customFormat="1" ht="119.25" customHeight="1" x14ac:dyDescent="0.2">
      <c r="A12" s="285" t="s">
        <v>30</v>
      </c>
      <c r="B12" s="285" t="s">
        <v>31</v>
      </c>
      <c r="C12" s="285" t="s">
        <v>32</v>
      </c>
      <c r="D12" s="285" t="s">
        <v>33</v>
      </c>
      <c r="E12" s="285" t="s">
        <v>34</v>
      </c>
      <c r="F12" s="285" t="s">
        <v>35</v>
      </c>
      <c r="G12" s="285" t="s">
        <v>36</v>
      </c>
      <c r="H12" s="285" t="s">
        <v>37</v>
      </c>
      <c r="I12" s="286" t="s">
        <v>38</v>
      </c>
      <c r="J12" s="286" t="s">
        <v>591</v>
      </c>
      <c r="K12" s="287" t="s">
        <v>592</v>
      </c>
      <c r="L12" s="285" t="s">
        <v>593</v>
      </c>
      <c r="M12" s="287" t="s">
        <v>594</v>
      </c>
      <c r="N12" s="285" t="s">
        <v>595</v>
      </c>
      <c r="O12" s="287" t="s">
        <v>596</v>
      </c>
      <c r="P12" s="285" t="s">
        <v>597</v>
      </c>
      <c r="Q12" s="287" t="s">
        <v>598</v>
      </c>
      <c r="R12" s="285" t="s">
        <v>599</v>
      </c>
      <c r="S12" s="287" t="s">
        <v>600</v>
      </c>
      <c r="T12" s="285" t="s">
        <v>601</v>
      </c>
      <c r="U12" s="287" t="s">
        <v>602</v>
      </c>
      <c r="V12" s="285" t="s">
        <v>603</v>
      </c>
      <c r="W12" s="287" t="s">
        <v>604</v>
      </c>
      <c r="X12" s="285" t="s">
        <v>605</v>
      </c>
      <c r="Y12" s="288" t="s">
        <v>39</v>
      </c>
      <c r="Z12" s="289" t="s">
        <v>40</v>
      </c>
      <c r="AA12" s="290" t="s">
        <v>41</v>
      </c>
      <c r="AB12" s="291" t="s">
        <v>42</v>
      </c>
      <c r="AC12" s="290" t="s">
        <v>43</v>
      </c>
      <c r="AD12" s="286" t="s">
        <v>591</v>
      </c>
      <c r="AE12" s="287" t="s">
        <v>606</v>
      </c>
      <c r="AF12" s="285" t="s">
        <v>607</v>
      </c>
      <c r="AG12" s="287" t="s">
        <v>608</v>
      </c>
      <c r="AH12" s="285" t="s">
        <v>609</v>
      </c>
      <c r="AI12" s="287" t="s">
        <v>610</v>
      </c>
      <c r="AJ12" s="285" t="s">
        <v>611</v>
      </c>
      <c r="AK12" s="287" t="s">
        <v>612</v>
      </c>
      <c r="AL12" s="285" t="s">
        <v>613</v>
      </c>
      <c r="AM12" s="287" t="s">
        <v>614</v>
      </c>
      <c r="AN12" s="285" t="s">
        <v>615</v>
      </c>
      <c r="AO12" s="287" t="s">
        <v>592</v>
      </c>
      <c r="AP12" s="285" t="s">
        <v>593</v>
      </c>
      <c r="AQ12" s="287" t="s">
        <v>594</v>
      </c>
      <c r="AR12" s="285" t="s">
        <v>595</v>
      </c>
      <c r="AS12" s="287" t="s">
        <v>596</v>
      </c>
      <c r="AT12" s="285" t="s">
        <v>597</v>
      </c>
      <c r="AU12" s="287" t="s">
        <v>598</v>
      </c>
      <c r="AV12" s="285" t="s">
        <v>599</v>
      </c>
      <c r="AW12" s="287" t="s">
        <v>600</v>
      </c>
      <c r="AX12" s="285" t="s">
        <v>601</v>
      </c>
      <c r="AY12" s="287" t="s">
        <v>602</v>
      </c>
      <c r="AZ12" s="285" t="s">
        <v>603</v>
      </c>
      <c r="BA12" s="287" t="s">
        <v>604</v>
      </c>
      <c r="BB12" s="285" t="s">
        <v>605</v>
      </c>
      <c r="BC12" s="288" t="s">
        <v>39</v>
      </c>
      <c r="BD12" s="289" t="s">
        <v>44</v>
      </c>
      <c r="BE12" s="290" t="s">
        <v>45</v>
      </c>
      <c r="BF12" s="291" t="s">
        <v>46</v>
      </c>
      <c r="BG12" s="290" t="s">
        <v>616</v>
      </c>
      <c r="BH12" s="286" t="s">
        <v>591</v>
      </c>
      <c r="BI12" s="291" t="s">
        <v>606</v>
      </c>
      <c r="BJ12" s="290" t="s">
        <v>607</v>
      </c>
      <c r="BK12" s="291" t="s">
        <v>608</v>
      </c>
      <c r="BL12" s="290" t="s">
        <v>609</v>
      </c>
      <c r="BM12" s="291" t="s">
        <v>610</v>
      </c>
      <c r="BN12" s="290" t="s">
        <v>611</v>
      </c>
      <c r="BO12" s="291" t="s">
        <v>612</v>
      </c>
      <c r="BP12" s="290" t="s">
        <v>613</v>
      </c>
      <c r="BQ12" s="291" t="s">
        <v>614</v>
      </c>
      <c r="BR12" s="290" t="s">
        <v>615</v>
      </c>
      <c r="BS12" s="291" t="s">
        <v>592</v>
      </c>
      <c r="BT12" s="290" t="s">
        <v>593</v>
      </c>
      <c r="BU12" s="291" t="s">
        <v>594</v>
      </c>
      <c r="BV12" s="290" t="s">
        <v>595</v>
      </c>
      <c r="BW12" s="291" t="s">
        <v>596</v>
      </c>
      <c r="BX12" s="290" t="s">
        <v>597</v>
      </c>
      <c r="BY12" s="291" t="s">
        <v>598</v>
      </c>
      <c r="BZ12" s="290" t="s">
        <v>599</v>
      </c>
      <c r="CA12" s="291" t="s">
        <v>600</v>
      </c>
      <c r="CB12" s="290" t="s">
        <v>601</v>
      </c>
      <c r="CC12" s="291" t="s">
        <v>602</v>
      </c>
      <c r="CD12" s="290" t="s">
        <v>603</v>
      </c>
      <c r="CE12" s="291" t="s">
        <v>604</v>
      </c>
      <c r="CF12" s="290" t="s">
        <v>605</v>
      </c>
      <c r="CG12" s="288" t="s">
        <v>39</v>
      </c>
      <c r="CH12" s="291" t="s">
        <v>47</v>
      </c>
      <c r="CI12" s="290" t="s">
        <v>48</v>
      </c>
      <c r="CJ12" s="291" t="s">
        <v>49</v>
      </c>
      <c r="CK12" s="290" t="s">
        <v>50</v>
      </c>
      <c r="CL12" s="286" t="s">
        <v>591</v>
      </c>
      <c r="CM12" s="287" t="s">
        <v>606</v>
      </c>
      <c r="CN12" s="285" t="s">
        <v>607</v>
      </c>
      <c r="CO12" s="287" t="s">
        <v>608</v>
      </c>
      <c r="CP12" s="285" t="s">
        <v>609</v>
      </c>
      <c r="CQ12" s="287" t="s">
        <v>610</v>
      </c>
      <c r="CR12" s="285" t="s">
        <v>611</v>
      </c>
      <c r="CS12" s="287" t="s">
        <v>612</v>
      </c>
      <c r="CT12" s="285" t="s">
        <v>613</v>
      </c>
      <c r="CU12" s="287" t="s">
        <v>614</v>
      </c>
      <c r="CV12" s="285" t="s">
        <v>615</v>
      </c>
      <c r="CW12" s="287" t="s">
        <v>592</v>
      </c>
      <c r="CX12" s="285" t="s">
        <v>593</v>
      </c>
      <c r="CY12" s="287" t="s">
        <v>594</v>
      </c>
      <c r="CZ12" s="285" t="s">
        <v>595</v>
      </c>
      <c r="DA12" s="287" t="s">
        <v>596</v>
      </c>
      <c r="DB12" s="285" t="s">
        <v>597</v>
      </c>
      <c r="DC12" s="287" t="s">
        <v>598</v>
      </c>
      <c r="DD12" s="285" t="s">
        <v>599</v>
      </c>
      <c r="DE12" s="287" t="s">
        <v>600</v>
      </c>
      <c r="DF12" s="285" t="s">
        <v>601</v>
      </c>
      <c r="DG12" s="287" t="s">
        <v>602</v>
      </c>
      <c r="DH12" s="285" t="s">
        <v>603</v>
      </c>
      <c r="DI12" s="287" t="s">
        <v>604</v>
      </c>
      <c r="DJ12" s="285" t="s">
        <v>605</v>
      </c>
      <c r="DK12" s="288" t="s">
        <v>39</v>
      </c>
      <c r="DL12" s="289" t="s">
        <v>51</v>
      </c>
      <c r="DM12" s="290" t="s">
        <v>52</v>
      </c>
      <c r="DN12" s="289" t="s">
        <v>53</v>
      </c>
      <c r="DO12" s="290" t="s">
        <v>54</v>
      </c>
      <c r="DP12" s="286" t="s">
        <v>591</v>
      </c>
      <c r="DQ12" s="287" t="s">
        <v>606</v>
      </c>
      <c r="DR12" s="285" t="s">
        <v>607</v>
      </c>
      <c r="DS12" s="287" t="s">
        <v>608</v>
      </c>
      <c r="DT12" s="285" t="s">
        <v>609</v>
      </c>
      <c r="DU12" s="287" t="s">
        <v>610</v>
      </c>
      <c r="DV12" s="285" t="s">
        <v>611</v>
      </c>
      <c r="DW12" s="287" t="s">
        <v>612</v>
      </c>
      <c r="DX12" s="285" t="s">
        <v>613</v>
      </c>
      <c r="DY12" s="287" t="s">
        <v>614</v>
      </c>
      <c r="DZ12" s="285" t="s">
        <v>615</v>
      </c>
      <c r="EA12" s="287" t="s">
        <v>592</v>
      </c>
      <c r="EB12" s="285" t="s">
        <v>593</v>
      </c>
      <c r="EC12" s="287" t="s">
        <v>594</v>
      </c>
      <c r="ED12" s="285" t="s">
        <v>595</v>
      </c>
      <c r="EE12" s="287" t="s">
        <v>596</v>
      </c>
      <c r="EF12" s="285" t="s">
        <v>597</v>
      </c>
      <c r="EG12" s="287" t="s">
        <v>598</v>
      </c>
      <c r="EH12" s="285" t="s">
        <v>599</v>
      </c>
      <c r="EI12" s="287" t="s">
        <v>600</v>
      </c>
      <c r="EJ12" s="285" t="s">
        <v>601</v>
      </c>
      <c r="EK12" s="287" t="s">
        <v>602</v>
      </c>
      <c r="EL12" s="285" t="s">
        <v>603</v>
      </c>
      <c r="EM12" s="287" t="s">
        <v>604</v>
      </c>
      <c r="EN12" s="285" t="s">
        <v>605</v>
      </c>
      <c r="EO12" s="288" t="s">
        <v>39</v>
      </c>
      <c r="EP12" s="289" t="s">
        <v>55</v>
      </c>
      <c r="EQ12" s="290" t="s">
        <v>56</v>
      </c>
      <c r="ER12" s="289" t="s">
        <v>57</v>
      </c>
      <c r="ES12" s="290" t="s">
        <v>58</v>
      </c>
      <c r="ET12" s="721"/>
      <c r="EU12" s="721"/>
      <c r="EV12" s="718"/>
      <c r="EW12" s="701"/>
      <c r="EX12" s="718"/>
      <c r="EY12" s="716"/>
      <c r="EZ12" s="716"/>
      <c r="FA12" s="716"/>
      <c r="FB12" s="716"/>
      <c r="FC12" s="716"/>
    </row>
    <row r="13" spans="1:160" ht="118.5" customHeight="1" x14ac:dyDescent="0.25">
      <c r="A13" s="711">
        <v>2</v>
      </c>
      <c r="B13" s="711">
        <v>28</v>
      </c>
      <c r="C13" s="550">
        <v>202</v>
      </c>
      <c r="D13" s="551" t="s">
        <v>59</v>
      </c>
      <c r="E13" s="550">
        <v>217</v>
      </c>
      <c r="F13" s="551" t="s">
        <v>60</v>
      </c>
      <c r="G13" s="552" t="s">
        <v>61</v>
      </c>
      <c r="H13" s="553" t="s">
        <v>62</v>
      </c>
      <c r="I13" s="554">
        <v>75</v>
      </c>
      <c r="J13" s="555">
        <v>75</v>
      </c>
      <c r="K13" s="554">
        <v>46</v>
      </c>
      <c r="L13" s="556">
        <v>0</v>
      </c>
      <c r="M13" s="554">
        <v>46</v>
      </c>
      <c r="N13" s="556">
        <v>0</v>
      </c>
      <c r="O13" s="554">
        <v>46</v>
      </c>
      <c r="P13" s="557">
        <v>44.02</v>
      </c>
      <c r="Q13" s="554">
        <v>46</v>
      </c>
      <c r="R13" s="557">
        <v>44.39</v>
      </c>
      <c r="S13" s="554">
        <v>46</v>
      </c>
      <c r="T13" s="557">
        <v>44.87</v>
      </c>
      <c r="U13" s="555">
        <v>46</v>
      </c>
      <c r="V13" s="557">
        <v>45.54</v>
      </c>
      <c r="W13" s="555">
        <v>46</v>
      </c>
      <c r="X13" s="462">
        <v>45.92</v>
      </c>
      <c r="Y13" s="462">
        <v>46</v>
      </c>
      <c r="Z13" s="462"/>
      <c r="AA13" s="462"/>
      <c r="AB13" s="462">
        <v>46</v>
      </c>
      <c r="AC13" s="462">
        <v>45.92</v>
      </c>
      <c r="AD13" s="555">
        <v>56</v>
      </c>
      <c r="AE13" s="558">
        <v>0.36</v>
      </c>
      <c r="AF13" s="558">
        <v>0.36</v>
      </c>
      <c r="AG13" s="558">
        <v>0.36</v>
      </c>
      <c r="AH13" s="558">
        <v>0.36</v>
      </c>
      <c r="AI13" s="558">
        <v>0.38</v>
      </c>
      <c r="AJ13" s="558">
        <v>0.38</v>
      </c>
      <c r="AK13" s="558">
        <v>0.08</v>
      </c>
      <c r="AL13" s="558">
        <v>0.08</v>
      </c>
      <c r="AM13" s="558">
        <v>0.3</v>
      </c>
      <c r="AN13" s="558">
        <v>0.2</v>
      </c>
      <c r="AO13" s="462">
        <v>0.85</v>
      </c>
      <c r="AP13" s="462">
        <v>0.51</v>
      </c>
      <c r="AQ13" s="462">
        <v>0.95</v>
      </c>
      <c r="AR13" s="462">
        <v>0.93</v>
      </c>
      <c r="AS13" s="462">
        <v>0.98</v>
      </c>
      <c r="AT13" s="462">
        <v>0.45</v>
      </c>
      <c r="AU13" s="462">
        <v>0.98</v>
      </c>
      <c r="AV13" s="462">
        <v>0.76</v>
      </c>
      <c r="AW13" s="462">
        <v>0.98</v>
      </c>
      <c r="AX13" s="462">
        <v>0.91</v>
      </c>
      <c r="AY13" s="462">
        <v>0.98</v>
      </c>
      <c r="AZ13" s="462">
        <v>0.8</v>
      </c>
      <c r="BA13" s="462">
        <v>2.88</v>
      </c>
      <c r="BB13" s="462">
        <v>0.53</v>
      </c>
      <c r="BC13" s="559">
        <f>BA13+AY13+AW13+AU13+AQ13+AO13+AM13+AK13+AI13+AG13+AE13+AS13</f>
        <v>10.08</v>
      </c>
      <c r="BD13" s="559">
        <f t="shared" ref="BD13:BE17" si="0">AE13+AG13+AI13+AK13+AM13+AO13+AQ13+AS13+AU13+AW13+AY13+BA13</f>
        <v>10.080000000000002</v>
      </c>
      <c r="BE13" s="558">
        <f t="shared" si="0"/>
        <v>6.2700000000000005</v>
      </c>
      <c r="BF13" s="558">
        <f>AC13+BC13</f>
        <v>56</v>
      </c>
      <c r="BG13" s="558">
        <f>BE13+AC13</f>
        <v>52.190000000000005</v>
      </c>
      <c r="BH13" s="555">
        <v>64</v>
      </c>
      <c r="BI13" s="559">
        <v>0</v>
      </c>
      <c r="BJ13" s="560">
        <v>0</v>
      </c>
      <c r="BK13" s="559">
        <v>0.4</v>
      </c>
      <c r="BL13" s="559">
        <v>0.4</v>
      </c>
      <c r="BM13" s="559">
        <v>0.59</v>
      </c>
      <c r="BN13" s="559">
        <v>0.59</v>
      </c>
      <c r="BO13" s="559">
        <v>0.67</v>
      </c>
      <c r="BP13" s="559">
        <v>0.67</v>
      </c>
      <c r="BQ13" s="559">
        <v>0.71</v>
      </c>
      <c r="BR13" s="559">
        <v>0.65</v>
      </c>
      <c r="BS13" s="559">
        <v>1</v>
      </c>
      <c r="BT13" s="559">
        <v>0.95</v>
      </c>
      <c r="BU13" s="559">
        <v>1.39</v>
      </c>
      <c r="BV13" s="559">
        <v>1.28</v>
      </c>
      <c r="BW13" s="559">
        <v>1.51</v>
      </c>
      <c r="BX13" s="559">
        <v>1.1200000000000001</v>
      </c>
      <c r="BY13" s="559">
        <v>1.65</v>
      </c>
      <c r="BZ13" s="559">
        <v>1.21</v>
      </c>
      <c r="CA13" s="559">
        <v>1.65</v>
      </c>
      <c r="CB13" s="560">
        <v>1.18</v>
      </c>
      <c r="CC13" s="559">
        <v>1.57</v>
      </c>
      <c r="CD13" s="559">
        <v>1.0900000000000001</v>
      </c>
      <c r="CE13" s="559">
        <v>0.67</v>
      </c>
      <c r="CF13" s="558">
        <v>1.28</v>
      </c>
      <c r="CG13" s="559">
        <f>CE13+CC13+CA13+BY13+BU13+BS13+BQ13+BO13+BM13+BK13+BI13+BW13</f>
        <v>11.81</v>
      </c>
      <c r="CH13" s="559">
        <f t="shared" ref="CH13:CI17" si="1">BI13+BK13+BM13+BO13+BQ13+BS13+BU13+BW13+BY13+CA13+CC13+CE13</f>
        <v>11.81</v>
      </c>
      <c r="CI13" s="462">
        <f t="shared" si="1"/>
        <v>10.42</v>
      </c>
      <c r="CJ13" s="558">
        <f>BG13+CG13</f>
        <v>64</v>
      </c>
      <c r="CK13" s="558">
        <f>CI13+BG13</f>
        <v>62.610000000000007</v>
      </c>
      <c r="CL13" s="555">
        <f>[1]INVERSIÓN!CJ10</f>
        <v>74</v>
      </c>
      <c r="CM13" s="462">
        <v>0</v>
      </c>
      <c r="CN13" s="462">
        <v>0</v>
      </c>
      <c r="CO13" s="462">
        <v>0.2</v>
      </c>
      <c r="CP13" s="462">
        <v>0.2</v>
      </c>
      <c r="CQ13" s="462">
        <v>0.4</v>
      </c>
      <c r="CR13" s="462">
        <v>0.4</v>
      </c>
      <c r="CS13" s="462">
        <v>0.6</v>
      </c>
      <c r="CT13" s="462">
        <v>0.57999999999999996</v>
      </c>
      <c r="CU13" s="462">
        <v>1</v>
      </c>
      <c r="CV13" s="561">
        <v>1</v>
      </c>
      <c r="CW13" s="462">
        <v>1</v>
      </c>
      <c r="CX13" s="462">
        <v>1</v>
      </c>
      <c r="CY13" s="462">
        <v>1</v>
      </c>
      <c r="CZ13" s="462">
        <v>1</v>
      </c>
      <c r="DA13" s="462">
        <v>1.39</v>
      </c>
      <c r="DB13" s="462">
        <v>0.92</v>
      </c>
      <c r="DC13" s="462">
        <v>1.5</v>
      </c>
      <c r="DD13" s="462">
        <v>0.92</v>
      </c>
      <c r="DE13" s="462">
        <v>1.5</v>
      </c>
      <c r="DF13" s="462"/>
      <c r="DG13" s="462">
        <v>1.5</v>
      </c>
      <c r="DH13" s="462"/>
      <c r="DI13" s="462">
        <v>1.3</v>
      </c>
      <c r="DJ13" s="462"/>
      <c r="DK13" s="559">
        <f>DI13+DG13+DE13+DC13+CY13+CW13+CU13+CS13+CQ13+CO13+CM13+DA13</f>
        <v>11.39</v>
      </c>
      <c r="DL13" s="559">
        <f>CM13+CO13+CQ13+CS13+CU13+CW13+CY13+DA13+DC13</f>
        <v>7.09</v>
      </c>
      <c r="DM13" s="559">
        <f t="shared" ref="DL13:DM17" si="2">CN13+CP13+CR13+CT13+CV13+CX13+CZ13+DB13+DD13</f>
        <v>6.02</v>
      </c>
      <c r="DN13" s="558">
        <f>CK13+DK13</f>
        <v>74</v>
      </c>
      <c r="DO13" s="558">
        <f>DM13+CK13</f>
        <v>68.63000000000001</v>
      </c>
      <c r="DP13" s="554">
        <v>75</v>
      </c>
      <c r="DQ13" s="555"/>
      <c r="DR13" s="555"/>
      <c r="DS13" s="555"/>
      <c r="DT13" s="555"/>
      <c r="DU13" s="555"/>
      <c r="DV13" s="555"/>
      <c r="DW13" s="555"/>
      <c r="DX13" s="555"/>
      <c r="DY13" s="555"/>
      <c r="DZ13" s="555"/>
      <c r="EA13" s="555"/>
      <c r="EB13" s="555"/>
      <c r="EC13" s="555"/>
      <c r="ED13" s="555"/>
      <c r="EE13" s="555"/>
      <c r="EF13" s="555"/>
      <c r="EG13" s="555"/>
      <c r="EH13" s="555"/>
      <c r="EI13" s="555"/>
      <c r="EJ13" s="555"/>
      <c r="EK13" s="555"/>
      <c r="EL13" s="555"/>
      <c r="EM13" s="555"/>
      <c r="EN13" s="555"/>
      <c r="EO13" s="555"/>
      <c r="EP13" s="555"/>
      <c r="EQ13" s="555"/>
      <c r="ER13" s="555"/>
      <c r="ES13" s="555"/>
      <c r="ET13" s="562">
        <f>DD13/DC13</f>
        <v>0.6133333333333334</v>
      </c>
      <c r="EU13" s="562">
        <f>DM13/DL13</f>
        <v>0.84908321579689694</v>
      </c>
      <c r="EV13" s="562">
        <f>DO13/DN13</f>
        <v>0.92743243243243256</v>
      </c>
      <c r="EW13" s="562">
        <f>(CK13++DM13)/(CJ13+DL13)</f>
        <v>0.96539597693065138</v>
      </c>
      <c r="EX13" s="562">
        <f>DO13/I13</f>
        <v>0.91506666666666681</v>
      </c>
      <c r="EY13" s="563" t="s">
        <v>684</v>
      </c>
      <c r="EZ13" s="564" t="s">
        <v>685</v>
      </c>
      <c r="FA13" s="565" t="s">
        <v>686</v>
      </c>
      <c r="FB13" s="566" t="s">
        <v>64</v>
      </c>
      <c r="FC13" s="567" t="s">
        <v>65</v>
      </c>
    </row>
    <row r="14" spans="1:160" ht="118.5" customHeight="1" x14ac:dyDescent="0.25">
      <c r="A14" s="708"/>
      <c r="B14" s="708"/>
      <c r="C14" s="709">
        <v>216</v>
      </c>
      <c r="D14" s="707" t="s">
        <v>66</v>
      </c>
      <c r="E14" s="550">
        <v>231</v>
      </c>
      <c r="F14" s="568" t="s">
        <v>67</v>
      </c>
      <c r="G14" s="569" t="s">
        <v>68</v>
      </c>
      <c r="H14" s="553" t="s">
        <v>69</v>
      </c>
      <c r="I14" s="554">
        <v>370</v>
      </c>
      <c r="J14" s="570">
        <f>Y14+BC14+BH14+CL14+DP14</f>
        <v>524.66</v>
      </c>
      <c r="K14" s="462">
        <v>5</v>
      </c>
      <c r="L14" s="556">
        <v>0</v>
      </c>
      <c r="M14" s="571">
        <v>5</v>
      </c>
      <c r="N14" s="571">
        <v>0</v>
      </c>
      <c r="O14" s="554">
        <v>5</v>
      </c>
      <c r="P14" s="571">
        <v>0</v>
      </c>
      <c r="Q14" s="554">
        <v>5</v>
      </c>
      <c r="R14" s="557">
        <v>0.24</v>
      </c>
      <c r="S14" s="554">
        <v>5</v>
      </c>
      <c r="T14" s="557">
        <v>1.54</v>
      </c>
      <c r="U14" s="555">
        <v>5</v>
      </c>
      <c r="V14" s="572">
        <v>2.5379999999999998</v>
      </c>
      <c r="W14" s="555">
        <v>5</v>
      </c>
      <c r="X14" s="462">
        <v>5.49</v>
      </c>
      <c r="Y14" s="462">
        <v>5</v>
      </c>
      <c r="Z14" s="462"/>
      <c r="AA14" s="462"/>
      <c r="AB14" s="462">
        <v>5</v>
      </c>
      <c r="AC14" s="462">
        <v>5.49</v>
      </c>
      <c r="AD14" s="555">
        <v>50</v>
      </c>
      <c r="AE14" s="557">
        <v>0.12</v>
      </c>
      <c r="AF14" s="557">
        <v>0.12</v>
      </c>
      <c r="AG14" s="462">
        <v>0</v>
      </c>
      <c r="AH14" s="462">
        <v>0</v>
      </c>
      <c r="AI14" s="462">
        <v>0</v>
      </c>
      <c r="AJ14" s="573">
        <v>0</v>
      </c>
      <c r="AK14" s="462">
        <v>0</v>
      </c>
      <c r="AL14" s="462">
        <v>0</v>
      </c>
      <c r="AM14" s="462">
        <v>0</v>
      </c>
      <c r="AN14" s="462">
        <v>0</v>
      </c>
      <c r="AO14" s="462">
        <v>0</v>
      </c>
      <c r="AP14" s="462">
        <v>0.98</v>
      </c>
      <c r="AQ14" s="462">
        <v>0</v>
      </c>
      <c r="AR14" s="462">
        <v>0</v>
      </c>
      <c r="AS14" s="462">
        <v>0</v>
      </c>
      <c r="AT14" s="550">
        <v>0.63</v>
      </c>
      <c r="AU14" s="462">
        <v>0</v>
      </c>
      <c r="AV14" s="550">
        <v>0.51</v>
      </c>
      <c r="AW14" s="462">
        <v>9.8800000000000008</v>
      </c>
      <c r="AX14" s="550">
        <v>4.05</v>
      </c>
      <c r="AY14" s="550">
        <v>20</v>
      </c>
      <c r="AZ14" s="550">
        <v>4.7699999999999996</v>
      </c>
      <c r="BA14" s="550">
        <v>20</v>
      </c>
      <c r="BB14" s="550">
        <v>3.13</v>
      </c>
      <c r="BC14" s="559">
        <f>BA14+AY14+AW14+AU14+AQ14+AO14+AM14+AK14+AI14+AG14+AE14+AS14</f>
        <v>50</v>
      </c>
      <c r="BD14" s="559">
        <f t="shared" si="0"/>
        <v>50</v>
      </c>
      <c r="BE14" s="558">
        <f t="shared" si="0"/>
        <v>14.189999999999998</v>
      </c>
      <c r="BF14" s="558">
        <f>AE14+AG14+AI14+AK14+AM14+AO14+AQ14+AS14+AU14+AW14+AY14+BA14</f>
        <v>50</v>
      </c>
      <c r="BG14" s="558">
        <v>14.19</v>
      </c>
      <c r="BH14" s="558">
        <f>150+35.81</f>
        <v>185.81</v>
      </c>
      <c r="BI14" s="574">
        <v>0</v>
      </c>
      <c r="BJ14" s="462">
        <v>0</v>
      </c>
      <c r="BK14" s="574">
        <v>0</v>
      </c>
      <c r="BL14" s="462">
        <v>0</v>
      </c>
      <c r="BM14" s="574">
        <v>1.84</v>
      </c>
      <c r="BN14" s="574">
        <v>3.2</v>
      </c>
      <c r="BO14" s="574">
        <v>5</v>
      </c>
      <c r="BP14" s="574">
        <v>0.1</v>
      </c>
      <c r="BQ14" s="574">
        <v>15</v>
      </c>
      <c r="BR14" s="574">
        <v>0.97</v>
      </c>
      <c r="BS14" s="574">
        <v>15.81</v>
      </c>
      <c r="BT14" s="574">
        <v>21.87</v>
      </c>
      <c r="BU14" s="574">
        <v>10</v>
      </c>
      <c r="BV14" s="574">
        <v>26.56</v>
      </c>
      <c r="BW14" s="574">
        <v>10.19</v>
      </c>
      <c r="BX14" s="574">
        <v>0.13</v>
      </c>
      <c r="BY14" s="574">
        <v>0.47</v>
      </c>
      <c r="BZ14" s="574">
        <v>7.44</v>
      </c>
      <c r="CA14" s="574">
        <v>0.5</v>
      </c>
      <c r="CB14" s="462">
        <v>2.72</v>
      </c>
      <c r="CC14" s="574">
        <v>60</v>
      </c>
      <c r="CD14" s="574">
        <v>0.97</v>
      </c>
      <c r="CE14" s="574">
        <v>67</v>
      </c>
      <c r="CF14" s="558">
        <v>2.5099999999999998</v>
      </c>
      <c r="CG14" s="560">
        <f>CE14+CC14+CA14+BY14+BU14+BS14+BQ14+BO14+BM14+BK14+BI14+BW14</f>
        <v>185.81</v>
      </c>
      <c r="CH14" s="559">
        <f t="shared" si="1"/>
        <v>185.81</v>
      </c>
      <c r="CI14" s="462">
        <f t="shared" si="1"/>
        <v>66.47</v>
      </c>
      <c r="CJ14" s="462">
        <f>BH14</f>
        <v>185.81</v>
      </c>
      <c r="CK14" s="462">
        <f>CI14</f>
        <v>66.47</v>
      </c>
      <c r="CL14" s="558">
        <f>135+119.34</f>
        <v>254.34</v>
      </c>
      <c r="CM14" s="462">
        <v>0</v>
      </c>
      <c r="CN14" s="462">
        <v>0</v>
      </c>
      <c r="CO14" s="462">
        <v>2.9000000000000001E-2</v>
      </c>
      <c r="CP14" s="462">
        <v>2.9000000000000001E-2</v>
      </c>
      <c r="CQ14" s="575">
        <v>5.0000000000000001E-3</v>
      </c>
      <c r="CR14" s="575">
        <v>5.0000000000000001E-3</v>
      </c>
      <c r="CS14" s="575">
        <v>0</v>
      </c>
      <c r="CT14" s="462">
        <v>4.4800000000000004</v>
      </c>
      <c r="CU14" s="462">
        <v>20</v>
      </c>
      <c r="CV14" s="561">
        <v>0.06</v>
      </c>
      <c r="CW14" s="462">
        <v>30</v>
      </c>
      <c r="CX14" s="462">
        <v>0.73</v>
      </c>
      <c r="CY14" s="462">
        <v>30</v>
      </c>
      <c r="CZ14" s="462">
        <v>0</v>
      </c>
      <c r="DA14" s="462">
        <v>39.340000000000003</v>
      </c>
      <c r="DB14" s="462">
        <v>0.97</v>
      </c>
      <c r="DC14" s="462">
        <v>39.97</v>
      </c>
      <c r="DD14" s="462">
        <v>0.38</v>
      </c>
      <c r="DE14" s="462">
        <v>40</v>
      </c>
      <c r="DF14" s="462"/>
      <c r="DG14" s="462">
        <v>40</v>
      </c>
      <c r="DH14" s="462"/>
      <c r="DI14" s="462">
        <v>15</v>
      </c>
      <c r="DJ14" s="462"/>
      <c r="DK14" s="559">
        <f>DI14+DG14+DE14+DC14+CY14+CW14+CU14+CS14+CQ14+CO14+CM14+DA14</f>
        <v>254.34399999999999</v>
      </c>
      <c r="DL14" s="559">
        <f>CM14+CO14+CQ14+CS14+CU14+CW14+CY14+DA14+DC14</f>
        <v>159.34399999999999</v>
      </c>
      <c r="DM14" s="559">
        <f t="shared" si="2"/>
        <v>6.6539999999999999</v>
      </c>
      <c r="DN14" s="558">
        <f>DK14</f>
        <v>254.34399999999999</v>
      </c>
      <c r="DO14" s="558">
        <f>DM14</f>
        <v>6.6539999999999999</v>
      </c>
      <c r="DP14" s="557">
        <v>29.51</v>
      </c>
      <c r="DQ14" s="555"/>
      <c r="DR14" s="555"/>
      <c r="DS14" s="555"/>
      <c r="DT14" s="555"/>
      <c r="DU14" s="555"/>
      <c r="DV14" s="555"/>
      <c r="DW14" s="555"/>
      <c r="DX14" s="555"/>
      <c r="DY14" s="555"/>
      <c r="DZ14" s="555"/>
      <c r="EA14" s="555"/>
      <c r="EB14" s="555"/>
      <c r="EC14" s="555"/>
      <c r="ED14" s="555"/>
      <c r="EE14" s="555"/>
      <c r="EF14" s="555"/>
      <c r="EG14" s="555"/>
      <c r="EH14" s="555"/>
      <c r="EI14" s="555"/>
      <c r="EJ14" s="555"/>
      <c r="EK14" s="555"/>
      <c r="EL14" s="555"/>
      <c r="EM14" s="555"/>
      <c r="EN14" s="555"/>
      <c r="EO14" s="555"/>
      <c r="EP14" s="555"/>
      <c r="EQ14" s="555"/>
      <c r="ER14" s="555"/>
      <c r="ES14" s="555"/>
      <c r="ET14" s="562">
        <f>DD14/DC14</f>
        <v>9.5071303477608209E-3</v>
      </c>
      <c r="EU14" s="562">
        <f>DM14/DL14</f>
        <v>4.1758710713927102E-2</v>
      </c>
      <c r="EV14" s="562">
        <f>DO14/DN14</f>
        <v>2.6161419180322713E-2</v>
      </c>
      <c r="EW14" s="562">
        <f>(AC14+BG14+CK14+DO14)/(AB14+BF14+CJ14+DN14)</f>
        <v>0.18742451843264923</v>
      </c>
      <c r="EX14" s="562">
        <f>(AC14+BG14+CK14+DO14)/I14</f>
        <v>0.25082162162162164</v>
      </c>
      <c r="EY14" s="576" t="s">
        <v>687</v>
      </c>
      <c r="EZ14" s="567" t="s">
        <v>688</v>
      </c>
      <c r="FA14" s="567" t="s">
        <v>619</v>
      </c>
      <c r="FB14" s="566" t="s">
        <v>70</v>
      </c>
      <c r="FC14" s="566" t="s">
        <v>65</v>
      </c>
      <c r="FD14">
        <f>LEN(EY14)</f>
        <v>1207</v>
      </c>
    </row>
    <row r="15" spans="1:160" ht="118.5" customHeight="1" x14ac:dyDescent="0.25">
      <c r="A15" s="708"/>
      <c r="B15" s="708"/>
      <c r="C15" s="708"/>
      <c r="D15" s="708"/>
      <c r="E15" s="550">
        <v>232</v>
      </c>
      <c r="F15" s="577" t="s">
        <v>71</v>
      </c>
      <c r="G15" s="578" t="s">
        <v>72</v>
      </c>
      <c r="H15" s="579" t="s">
        <v>69</v>
      </c>
      <c r="I15" s="580">
        <v>450000</v>
      </c>
      <c r="J15" s="570">
        <f>AC15+BC15+BH15+CL15+DP15</f>
        <v>645040</v>
      </c>
      <c r="K15" s="581">
        <v>6080</v>
      </c>
      <c r="L15" s="582">
        <v>0</v>
      </c>
      <c r="M15" s="582">
        <v>6080</v>
      </c>
      <c r="N15" s="582">
        <v>0</v>
      </c>
      <c r="O15" s="583">
        <v>6080</v>
      </c>
      <c r="P15" s="582">
        <v>0</v>
      </c>
      <c r="Q15" s="583">
        <v>6080</v>
      </c>
      <c r="R15" s="583">
        <v>204</v>
      </c>
      <c r="S15" s="583">
        <f>+Q15</f>
        <v>6080</v>
      </c>
      <c r="T15" s="583">
        <v>1042</v>
      </c>
      <c r="U15" s="583">
        <f>+S15</f>
        <v>6080</v>
      </c>
      <c r="V15" s="583">
        <v>1729</v>
      </c>
      <c r="W15" s="583">
        <f>+U15</f>
        <v>6080</v>
      </c>
      <c r="X15" s="584">
        <v>2900</v>
      </c>
      <c r="Y15" s="585">
        <f>+W15</f>
        <v>6080</v>
      </c>
      <c r="Z15" s="584"/>
      <c r="AA15" s="584"/>
      <c r="AB15" s="585">
        <f>+Z15</f>
        <v>0</v>
      </c>
      <c r="AC15" s="584">
        <v>2900</v>
      </c>
      <c r="AD15" s="583">
        <f>60800+3180</f>
        <v>63980</v>
      </c>
      <c r="AE15" s="583">
        <v>85</v>
      </c>
      <c r="AF15" s="583">
        <v>85</v>
      </c>
      <c r="AG15" s="586">
        <v>0</v>
      </c>
      <c r="AH15" s="586">
        <v>0</v>
      </c>
      <c r="AI15" s="586">
        <v>0</v>
      </c>
      <c r="AJ15" s="586">
        <v>0</v>
      </c>
      <c r="AK15" s="583">
        <v>2147</v>
      </c>
      <c r="AL15" s="583">
        <v>2147</v>
      </c>
      <c r="AM15" s="583">
        <v>500</v>
      </c>
      <c r="AN15" s="583">
        <v>294</v>
      </c>
      <c r="AO15" s="580">
        <v>500</v>
      </c>
      <c r="AP15" s="580">
        <v>625</v>
      </c>
      <c r="AQ15" s="580">
        <v>500</v>
      </c>
      <c r="AR15" s="580">
        <v>683</v>
      </c>
      <c r="AS15" s="580">
        <v>500</v>
      </c>
      <c r="AT15" s="580">
        <v>1609</v>
      </c>
      <c r="AU15" s="580">
        <v>500</v>
      </c>
      <c r="AV15" s="580">
        <v>2204</v>
      </c>
      <c r="AW15" s="580">
        <v>19000</v>
      </c>
      <c r="AX15" s="580">
        <v>1256</v>
      </c>
      <c r="AY15" s="580">
        <v>19800</v>
      </c>
      <c r="AZ15" s="580">
        <v>13995</v>
      </c>
      <c r="BA15" s="580">
        <v>20448</v>
      </c>
      <c r="BB15" s="580">
        <v>7121</v>
      </c>
      <c r="BC15" s="587">
        <f>BA15+AY15+AW15+AU15+AQ15+AO15+AM15+AK15+AI15+AG15+AE15+AS15</f>
        <v>63980</v>
      </c>
      <c r="BD15" s="587">
        <f t="shared" si="0"/>
        <v>63980</v>
      </c>
      <c r="BE15" s="555">
        <f t="shared" si="0"/>
        <v>30019</v>
      </c>
      <c r="BF15" s="555">
        <f>AE15+AG15+AI15+AK15+AM15+AO15+AQ15+AS15+AU15+AW15+AY15+BA15</f>
        <v>63980</v>
      </c>
      <c r="BG15" s="555">
        <f>BE15</f>
        <v>30019</v>
      </c>
      <c r="BH15" s="583">
        <f>182400+33961</f>
        <v>216361</v>
      </c>
      <c r="BI15" s="586">
        <v>0</v>
      </c>
      <c r="BJ15" s="586">
        <v>0</v>
      </c>
      <c r="BK15" s="586">
        <v>0</v>
      </c>
      <c r="BL15" s="462">
        <v>0</v>
      </c>
      <c r="BM15" s="583">
        <v>1643</v>
      </c>
      <c r="BN15" s="583">
        <v>2760</v>
      </c>
      <c r="BO15" s="583">
        <v>5838</v>
      </c>
      <c r="BP15" s="583">
        <v>123</v>
      </c>
      <c r="BQ15" s="583">
        <v>17420</v>
      </c>
      <c r="BR15" s="583">
        <v>175</v>
      </c>
      <c r="BS15" s="583">
        <v>18459</v>
      </c>
      <c r="BT15" s="583">
        <v>7801</v>
      </c>
      <c r="BU15" s="583">
        <v>11676</v>
      </c>
      <c r="BV15" s="583">
        <v>16811</v>
      </c>
      <c r="BW15" s="583">
        <v>11897</v>
      </c>
      <c r="BX15" s="583">
        <v>11733</v>
      </c>
      <c r="BY15" s="586">
        <v>549</v>
      </c>
      <c r="BZ15" s="588">
        <v>11568</v>
      </c>
      <c r="CA15" s="588">
        <v>584</v>
      </c>
      <c r="CB15" s="584">
        <v>479</v>
      </c>
      <c r="CC15" s="588">
        <v>70054</v>
      </c>
      <c r="CD15" s="588">
        <v>1037</v>
      </c>
      <c r="CE15" s="588">
        <v>78241</v>
      </c>
      <c r="CF15" s="588">
        <v>2795</v>
      </c>
      <c r="CG15" s="589">
        <f>CE15+CC15+CA15+BY15+BU15+BS15+BQ15+BO15+BM15+BK15+BI15+BW15</f>
        <v>216361</v>
      </c>
      <c r="CH15" s="587">
        <f t="shared" si="1"/>
        <v>216361</v>
      </c>
      <c r="CI15" s="590">
        <f t="shared" si="1"/>
        <v>55282</v>
      </c>
      <c r="CJ15" s="590">
        <f>BH15</f>
        <v>216361</v>
      </c>
      <c r="CK15" s="590">
        <f>CI15</f>
        <v>55282</v>
      </c>
      <c r="CL15" s="588">
        <f>164150+161079</f>
        <v>325229</v>
      </c>
      <c r="CM15" s="462">
        <v>0</v>
      </c>
      <c r="CN15" s="586">
        <v>0</v>
      </c>
      <c r="CO15" s="591">
        <v>237</v>
      </c>
      <c r="CP15" s="591">
        <v>237</v>
      </c>
      <c r="CQ15" s="370">
        <v>1245</v>
      </c>
      <c r="CR15" s="370">
        <v>1245</v>
      </c>
      <c r="CS15" s="591">
        <v>0</v>
      </c>
      <c r="CT15" s="591">
        <v>58</v>
      </c>
      <c r="CU15" s="592">
        <v>24092</v>
      </c>
      <c r="CV15" s="593">
        <v>1288</v>
      </c>
      <c r="CW15" s="594">
        <v>38362</v>
      </c>
      <c r="CX15" s="594">
        <v>1578</v>
      </c>
      <c r="CY15" s="594">
        <v>38362</v>
      </c>
      <c r="CZ15" s="594">
        <v>19080</v>
      </c>
      <c r="DA15" s="594">
        <v>50305</v>
      </c>
      <c r="DB15" s="594">
        <v>18239</v>
      </c>
      <c r="DC15" s="594">
        <v>51148</v>
      </c>
      <c r="DD15" s="594">
        <v>8024</v>
      </c>
      <c r="DE15" s="594">
        <v>51148</v>
      </c>
      <c r="DF15" s="594"/>
      <c r="DG15" s="594">
        <v>51149</v>
      </c>
      <c r="DH15" s="594"/>
      <c r="DI15" s="594">
        <v>19181</v>
      </c>
      <c r="DJ15" s="594"/>
      <c r="DK15" s="595">
        <f>DI15+DG15+DE15+DC15+CY15+CW15+CU15+CS15+CQ15+CO15+CM15+DA15</f>
        <v>325229</v>
      </c>
      <c r="DL15" s="559">
        <f t="shared" si="2"/>
        <v>203751</v>
      </c>
      <c r="DM15" s="559">
        <f t="shared" si="2"/>
        <v>49749</v>
      </c>
      <c r="DN15" s="590">
        <f>DK15</f>
        <v>325229</v>
      </c>
      <c r="DO15" s="590">
        <f>DM15</f>
        <v>49749</v>
      </c>
      <c r="DP15" s="596">
        <v>36570</v>
      </c>
      <c r="DQ15" s="583"/>
      <c r="DR15" s="583"/>
      <c r="DS15" s="583"/>
      <c r="DT15" s="583"/>
      <c r="DU15" s="583"/>
      <c r="DV15" s="583"/>
      <c r="DW15" s="583"/>
      <c r="DX15" s="583"/>
      <c r="DY15" s="583"/>
      <c r="DZ15" s="583"/>
      <c r="EA15" s="583"/>
      <c r="EB15" s="583"/>
      <c r="EC15" s="583"/>
      <c r="ED15" s="583"/>
      <c r="EE15" s="583"/>
      <c r="EF15" s="583"/>
      <c r="EG15" s="583"/>
      <c r="EH15" s="583"/>
      <c r="EI15" s="583"/>
      <c r="EJ15" s="583"/>
      <c r="EK15" s="583"/>
      <c r="EL15" s="583"/>
      <c r="EM15" s="583"/>
      <c r="EN15" s="583"/>
      <c r="EO15" s="583"/>
      <c r="EP15" s="583"/>
      <c r="EQ15" s="583"/>
      <c r="ER15" s="583"/>
      <c r="ES15" s="583"/>
      <c r="ET15" s="562">
        <f>DD15/DC15</f>
        <v>0.15687807929928835</v>
      </c>
      <c r="EU15" s="562">
        <f>DM15/DL15</f>
        <v>0.24416567280651383</v>
      </c>
      <c r="EV15" s="562">
        <f>DO15/DN15</f>
        <v>0.15296606391188977</v>
      </c>
      <c r="EW15" s="562">
        <f>(AC15+BG15+CK15+DO15)/(AB15+BF15+CJ15+DN15)</f>
        <v>0.22780190564261771</v>
      </c>
      <c r="EX15" s="562">
        <f>(AC15+BG15+CK15+DO15)/I15</f>
        <v>0.30655555555555558</v>
      </c>
      <c r="EY15" s="576" t="s">
        <v>689</v>
      </c>
      <c r="EZ15" s="567" t="s">
        <v>620</v>
      </c>
      <c r="FA15" s="567" t="s">
        <v>690</v>
      </c>
      <c r="FB15" s="567" t="s">
        <v>70</v>
      </c>
      <c r="FC15" s="567" t="s">
        <v>65</v>
      </c>
    </row>
    <row r="16" spans="1:160" ht="118.5" customHeight="1" x14ac:dyDescent="0.25">
      <c r="A16" s="708"/>
      <c r="B16" s="708"/>
      <c r="C16" s="550">
        <v>214</v>
      </c>
      <c r="D16" s="597" t="s">
        <v>73</v>
      </c>
      <c r="E16" s="550">
        <v>229</v>
      </c>
      <c r="F16" s="551" t="s">
        <v>74</v>
      </c>
      <c r="G16" s="550" t="s">
        <v>68</v>
      </c>
      <c r="H16" s="553" t="s">
        <v>75</v>
      </c>
      <c r="I16" s="555">
        <v>590</v>
      </c>
      <c r="J16" s="555">
        <v>590</v>
      </c>
      <c r="K16" s="555">
        <v>54</v>
      </c>
      <c r="L16" s="556">
        <v>0</v>
      </c>
      <c r="M16" s="555">
        <v>54</v>
      </c>
      <c r="N16" s="556">
        <v>0</v>
      </c>
      <c r="O16" s="555">
        <v>54</v>
      </c>
      <c r="P16" s="556">
        <v>0</v>
      </c>
      <c r="Q16" s="555">
        <v>54</v>
      </c>
      <c r="R16" s="558">
        <v>4.1100000000000003</v>
      </c>
      <c r="S16" s="555">
        <v>54</v>
      </c>
      <c r="T16" s="558">
        <v>4.24</v>
      </c>
      <c r="U16" s="555">
        <f>+S16</f>
        <v>54</v>
      </c>
      <c r="V16" s="598">
        <v>4.8070000000000004</v>
      </c>
      <c r="W16" s="555">
        <f>+U16</f>
        <v>54</v>
      </c>
      <c r="X16" s="462">
        <v>5.24</v>
      </c>
      <c r="Y16" s="462">
        <v>54</v>
      </c>
      <c r="Z16" s="462"/>
      <c r="AA16" s="462"/>
      <c r="AB16" s="462">
        <v>54</v>
      </c>
      <c r="AC16" s="462">
        <v>5.24</v>
      </c>
      <c r="AD16" s="555">
        <v>590</v>
      </c>
      <c r="AE16" s="558">
        <v>1.48</v>
      </c>
      <c r="AF16" s="558">
        <v>1.48</v>
      </c>
      <c r="AG16" s="462">
        <v>0</v>
      </c>
      <c r="AH16" s="462">
        <v>0</v>
      </c>
      <c r="AI16" s="462">
        <v>0</v>
      </c>
      <c r="AJ16" s="462">
        <v>0</v>
      </c>
      <c r="AK16" s="558">
        <v>1.38</v>
      </c>
      <c r="AL16" s="558">
        <v>1.38</v>
      </c>
      <c r="AM16" s="558">
        <v>7.84</v>
      </c>
      <c r="AN16" s="558">
        <v>5.85</v>
      </c>
      <c r="AO16" s="557">
        <v>2.5</v>
      </c>
      <c r="AP16" s="557">
        <v>1.3</v>
      </c>
      <c r="AQ16" s="557">
        <v>3</v>
      </c>
      <c r="AR16" s="557">
        <v>19.72</v>
      </c>
      <c r="AS16" s="557">
        <v>2.81</v>
      </c>
      <c r="AT16" s="557">
        <v>5.75</v>
      </c>
      <c r="AU16" s="557">
        <v>2.99</v>
      </c>
      <c r="AV16" s="557">
        <v>5.24</v>
      </c>
      <c r="AW16" s="557">
        <v>188</v>
      </c>
      <c r="AX16" s="557">
        <v>14.3</v>
      </c>
      <c r="AY16" s="557">
        <v>190</v>
      </c>
      <c r="AZ16" s="557">
        <v>2.12</v>
      </c>
      <c r="BA16" s="557">
        <v>190</v>
      </c>
      <c r="BB16" s="557">
        <v>3.42</v>
      </c>
      <c r="BC16" s="587">
        <f>BA16+AY16+AW16+AU16+AQ16+AO16+AM16+AK16+AI16+AG16+AE16+AS16</f>
        <v>590</v>
      </c>
      <c r="BD16" s="587">
        <f t="shared" si="0"/>
        <v>590</v>
      </c>
      <c r="BE16" s="558">
        <f t="shared" si="0"/>
        <v>60.559999999999995</v>
      </c>
      <c r="BF16" s="555">
        <f>AE16+AG16+AI16+AK16+AM16+AO16+AQ16+AS16+AU16+AW16+AY16+BA16</f>
        <v>590</v>
      </c>
      <c r="BG16" s="558">
        <f>BE16</f>
        <v>60.559999999999995</v>
      </c>
      <c r="BH16" s="555">
        <v>590</v>
      </c>
      <c r="BI16" s="462">
        <v>0</v>
      </c>
      <c r="BJ16" s="462">
        <v>0</v>
      </c>
      <c r="BK16" s="462">
        <v>2.5499999999999998</v>
      </c>
      <c r="BL16" s="462">
        <v>2.5499999999999998</v>
      </c>
      <c r="BM16" s="462">
        <v>2</v>
      </c>
      <c r="BN16" s="462">
        <v>4.57</v>
      </c>
      <c r="BO16" s="462">
        <v>2</v>
      </c>
      <c r="BP16" s="462">
        <v>6.97</v>
      </c>
      <c r="BQ16" s="462">
        <v>2</v>
      </c>
      <c r="BR16" s="462">
        <v>3.46</v>
      </c>
      <c r="BS16" s="462">
        <v>2</v>
      </c>
      <c r="BT16" s="462">
        <v>6.97</v>
      </c>
      <c r="BU16" s="462">
        <v>2</v>
      </c>
      <c r="BV16" s="462">
        <v>3.14</v>
      </c>
      <c r="BW16" s="462">
        <v>2</v>
      </c>
      <c r="BX16" s="462">
        <v>7.5</v>
      </c>
      <c r="BY16" s="462">
        <v>148</v>
      </c>
      <c r="BZ16" s="462">
        <v>8</v>
      </c>
      <c r="CA16" s="462">
        <v>148</v>
      </c>
      <c r="CB16" s="462">
        <v>25.2</v>
      </c>
      <c r="CC16" s="462">
        <v>148</v>
      </c>
      <c r="CD16" s="462">
        <v>3.03</v>
      </c>
      <c r="CE16" s="462">
        <f>146-2.55-12</f>
        <v>131.44999999999999</v>
      </c>
      <c r="CF16" s="558">
        <v>4.34</v>
      </c>
      <c r="CG16" s="599">
        <f>CE16+CC16+CA16+BY16+BU16+BS16+BQ16+BO16+BM16+BK16+BI16+BW16</f>
        <v>590</v>
      </c>
      <c r="CH16" s="559">
        <f t="shared" si="1"/>
        <v>590</v>
      </c>
      <c r="CI16" s="462">
        <f t="shared" si="1"/>
        <v>75.73</v>
      </c>
      <c r="CJ16" s="585">
        <f>BI16+BK16+BM16+BO16+BQ16+BS16+BU16+BW16+BY16+CA16+CC16+CE16</f>
        <v>590</v>
      </c>
      <c r="CK16" s="462">
        <f>CI16</f>
        <v>75.73</v>
      </c>
      <c r="CL16" s="555">
        <v>590</v>
      </c>
      <c r="CM16" s="462">
        <v>0</v>
      </c>
      <c r="CN16" s="462">
        <v>0</v>
      </c>
      <c r="CO16" s="462">
        <v>0</v>
      </c>
      <c r="CP16" s="462">
        <v>0</v>
      </c>
      <c r="CQ16" s="462">
        <v>0</v>
      </c>
      <c r="CR16" s="462">
        <v>0</v>
      </c>
      <c r="CS16" s="462">
        <v>0</v>
      </c>
      <c r="CT16" s="462">
        <v>0</v>
      </c>
      <c r="CU16" s="462">
        <v>0</v>
      </c>
      <c r="CV16" s="561">
        <v>22.36</v>
      </c>
      <c r="CW16" s="462">
        <v>0</v>
      </c>
      <c r="CX16" s="462">
        <v>151.28</v>
      </c>
      <c r="CY16" s="462">
        <v>0</v>
      </c>
      <c r="CZ16" s="462">
        <v>301.27999999999997</v>
      </c>
      <c r="DA16" s="462">
        <v>0</v>
      </c>
      <c r="DB16" s="462">
        <v>2.82</v>
      </c>
      <c r="DC16" s="462">
        <v>148</v>
      </c>
      <c r="DD16" s="462">
        <v>64.83</v>
      </c>
      <c r="DE16" s="462">
        <v>148</v>
      </c>
      <c r="DF16" s="462"/>
      <c r="DG16" s="462">
        <v>148</v>
      </c>
      <c r="DH16" s="462"/>
      <c r="DI16" s="462">
        <v>146</v>
      </c>
      <c r="DJ16" s="462"/>
      <c r="DK16" s="559">
        <f>DI16+DG16+DE16+DC16+CY16+CW16+CU16+CS16+CQ16+CO16+CM16+DA16</f>
        <v>590</v>
      </c>
      <c r="DL16" s="559">
        <f>CM16+CO16+CQ16+CS16+CU16+CW16+CY16+DA16+DC16</f>
        <v>148</v>
      </c>
      <c r="DM16" s="559">
        <f t="shared" si="2"/>
        <v>542.56999999999994</v>
      </c>
      <c r="DN16" s="558">
        <f>DK16</f>
        <v>590</v>
      </c>
      <c r="DO16" s="558">
        <f>DM16</f>
        <v>542.56999999999994</v>
      </c>
      <c r="DP16" s="554">
        <v>590</v>
      </c>
      <c r="DQ16" s="555"/>
      <c r="DR16" s="555"/>
      <c r="DS16" s="555"/>
      <c r="DT16" s="555"/>
      <c r="DU16" s="555"/>
      <c r="DV16" s="555"/>
      <c r="DW16" s="555"/>
      <c r="DX16" s="555"/>
      <c r="DY16" s="555"/>
      <c r="DZ16" s="555"/>
      <c r="EA16" s="555"/>
      <c r="EB16" s="555"/>
      <c r="EC16" s="555"/>
      <c r="ED16" s="555"/>
      <c r="EE16" s="555"/>
      <c r="EF16" s="555"/>
      <c r="EG16" s="555"/>
      <c r="EH16" s="555"/>
      <c r="EI16" s="555"/>
      <c r="EJ16" s="555"/>
      <c r="EK16" s="555"/>
      <c r="EL16" s="555"/>
      <c r="EM16" s="555"/>
      <c r="EN16" s="555"/>
      <c r="EO16" s="555"/>
      <c r="EP16" s="555"/>
      <c r="EQ16" s="555"/>
      <c r="ER16" s="555"/>
      <c r="ES16" s="555"/>
      <c r="ET16" s="562">
        <f>DD16/DC16</f>
        <v>0.43804054054054054</v>
      </c>
      <c r="EU16" s="562">
        <f>IFERROR(DM16/DL16,0)</f>
        <v>3.666013513513513</v>
      </c>
      <c r="EV16" s="562">
        <f>DO16/DN16</f>
        <v>0.9196101694915253</v>
      </c>
      <c r="EW16" s="562">
        <f>(AC16+BG16+CK16+DO16)/(AB16+BF16+CJ16+DN16)</f>
        <v>0.37505482456140343</v>
      </c>
      <c r="EX16" s="562">
        <f>(AC16+BG16+CK16+DO16)/2414</f>
        <v>0.28338856669428331</v>
      </c>
      <c r="EY16" s="600" t="s">
        <v>691</v>
      </c>
      <c r="EZ16" s="567" t="s">
        <v>63</v>
      </c>
      <c r="FA16" s="567" t="s">
        <v>63</v>
      </c>
      <c r="FB16" s="567" t="s">
        <v>76</v>
      </c>
      <c r="FC16" s="567" t="s">
        <v>65</v>
      </c>
    </row>
    <row r="17" spans="1:159" ht="118.5" customHeight="1" x14ac:dyDescent="0.25">
      <c r="A17" s="708"/>
      <c r="B17" s="708"/>
      <c r="C17" s="550">
        <v>211</v>
      </c>
      <c r="D17" s="601" t="s">
        <v>77</v>
      </c>
      <c r="E17" s="602">
        <v>226</v>
      </c>
      <c r="F17" s="551" t="s">
        <v>78</v>
      </c>
      <c r="G17" s="552" t="s">
        <v>72</v>
      </c>
      <c r="H17" s="555" t="s">
        <v>69</v>
      </c>
      <c r="I17" s="550">
        <v>4</v>
      </c>
      <c r="J17" s="550">
        <v>4</v>
      </c>
      <c r="K17" s="550">
        <v>0.27</v>
      </c>
      <c r="L17" s="550">
        <v>0</v>
      </c>
      <c r="M17" s="550">
        <v>0.27</v>
      </c>
      <c r="N17" s="550">
        <v>0</v>
      </c>
      <c r="O17" s="550">
        <v>0.27</v>
      </c>
      <c r="P17" s="550">
        <v>0.02</v>
      </c>
      <c r="Q17" s="550">
        <v>0.27</v>
      </c>
      <c r="R17" s="550">
        <v>0.05</v>
      </c>
      <c r="S17" s="550">
        <f>+Q17</f>
        <v>0.27</v>
      </c>
      <c r="T17" s="550">
        <v>0.14000000000000001</v>
      </c>
      <c r="U17" s="550">
        <f>+S17</f>
        <v>0.27</v>
      </c>
      <c r="V17" s="462">
        <v>0.2</v>
      </c>
      <c r="W17" s="550">
        <f>+U17</f>
        <v>0.27</v>
      </c>
      <c r="X17" s="462">
        <v>0.26</v>
      </c>
      <c r="Y17" s="462">
        <v>0.27</v>
      </c>
      <c r="Z17" s="462"/>
      <c r="AA17" s="462"/>
      <c r="AB17" s="462">
        <v>0.27</v>
      </c>
      <c r="AC17" s="462">
        <v>0.26</v>
      </c>
      <c r="AD17" s="550">
        <v>0.74</v>
      </c>
      <c r="AE17" s="550">
        <v>0.05</v>
      </c>
      <c r="AF17" s="550">
        <v>0.05</v>
      </c>
      <c r="AG17" s="462">
        <v>0.05</v>
      </c>
      <c r="AH17" s="462">
        <v>0.05</v>
      </c>
      <c r="AI17" s="550">
        <v>0.04</v>
      </c>
      <c r="AJ17" s="550">
        <v>0.04</v>
      </c>
      <c r="AK17" s="550">
        <v>0.06</v>
      </c>
      <c r="AL17" s="462">
        <v>0.06</v>
      </c>
      <c r="AM17" s="550">
        <v>7.0000000000000007E-2</v>
      </c>
      <c r="AN17" s="550">
        <v>7.0000000000000007E-2</v>
      </c>
      <c r="AO17" s="550">
        <v>0.06</v>
      </c>
      <c r="AP17" s="550">
        <v>0.06</v>
      </c>
      <c r="AQ17" s="550">
        <v>0.06</v>
      </c>
      <c r="AR17" s="550">
        <v>0.06</v>
      </c>
      <c r="AS17" s="550">
        <v>7.0000000000000007E-2</v>
      </c>
      <c r="AT17" s="550">
        <v>7.0000000000000007E-2</v>
      </c>
      <c r="AU17" s="550">
        <v>7.0000000000000007E-2</v>
      </c>
      <c r="AV17" s="603">
        <v>7.0000000000000007E-2</v>
      </c>
      <c r="AW17" s="550">
        <v>7.0000000000000007E-2</v>
      </c>
      <c r="AX17" s="550">
        <v>7.0000000000000007E-2</v>
      </c>
      <c r="AY17" s="550">
        <v>7.0000000000000007E-2</v>
      </c>
      <c r="AZ17" s="550">
        <v>7.0000000000000007E-2</v>
      </c>
      <c r="BA17" s="550">
        <v>7.0000000000000007E-2</v>
      </c>
      <c r="BB17" s="602">
        <v>7.0000000000000007E-2</v>
      </c>
      <c r="BC17" s="587">
        <f>BA17+AY17+AW17+AU17+AQ17+AO17+AM17+AK17+AI17+AG17+AE17+AS17</f>
        <v>0.74000000000000021</v>
      </c>
      <c r="BD17" s="587">
        <f t="shared" si="0"/>
        <v>0.74000000000000021</v>
      </c>
      <c r="BE17" s="558">
        <f t="shared" si="0"/>
        <v>0.74000000000000021</v>
      </c>
      <c r="BF17" s="558">
        <f>AE17+AG17+AI17+AK17+AM17+AO17+AQ17+AS17+AU17+AW17+AY17+BA17</f>
        <v>0.74000000000000021</v>
      </c>
      <c r="BG17" s="558">
        <f>BE17</f>
        <v>0.74000000000000021</v>
      </c>
      <c r="BH17" s="550">
        <v>1</v>
      </c>
      <c r="BI17" s="550">
        <v>0</v>
      </c>
      <c r="BJ17" s="462">
        <v>0</v>
      </c>
      <c r="BK17" s="550">
        <v>0.09</v>
      </c>
      <c r="BL17" s="550">
        <v>0.09</v>
      </c>
      <c r="BM17" s="550">
        <v>0.09</v>
      </c>
      <c r="BN17" s="550">
        <v>0.09</v>
      </c>
      <c r="BO17" s="550">
        <v>0.09</v>
      </c>
      <c r="BP17" s="550">
        <v>0.09</v>
      </c>
      <c r="BQ17" s="550">
        <v>0.09</v>
      </c>
      <c r="BR17" s="550">
        <v>0.09</v>
      </c>
      <c r="BS17" s="550">
        <v>0.09</v>
      </c>
      <c r="BT17" s="550">
        <v>0.09</v>
      </c>
      <c r="BU17" s="550">
        <v>0.09</v>
      </c>
      <c r="BV17" s="550">
        <v>0.09</v>
      </c>
      <c r="BW17" s="550">
        <v>0.09</v>
      </c>
      <c r="BX17" s="550">
        <v>0.09</v>
      </c>
      <c r="BY17" s="550">
        <v>0.09</v>
      </c>
      <c r="BZ17" s="550">
        <v>0.09</v>
      </c>
      <c r="CA17" s="550">
        <v>0.09</v>
      </c>
      <c r="CB17" s="462">
        <v>0.09</v>
      </c>
      <c r="CC17" s="550">
        <v>0.09</v>
      </c>
      <c r="CD17" s="550">
        <v>0.09</v>
      </c>
      <c r="CE17" s="462">
        <v>0.1</v>
      </c>
      <c r="CF17" s="462">
        <v>0.1</v>
      </c>
      <c r="CG17" s="560">
        <f>CE17+CC17+CA17+BY17+BU17+BS17+BQ17+BO17+BM17+BK17+BI17+BW17</f>
        <v>0.99999999999999978</v>
      </c>
      <c r="CH17" s="559">
        <f t="shared" si="1"/>
        <v>0.99999999999999978</v>
      </c>
      <c r="CI17" s="462">
        <f t="shared" si="1"/>
        <v>0.99999999999999978</v>
      </c>
      <c r="CJ17" s="558">
        <f>BH17</f>
        <v>1</v>
      </c>
      <c r="CK17" s="462">
        <f>CI17</f>
        <v>0.99999999999999978</v>
      </c>
      <c r="CL17" s="550">
        <v>1</v>
      </c>
      <c r="CM17" s="462">
        <v>0</v>
      </c>
      <c r="CN17" s="462">
        <v>0</v>
      </c>
      <c r="CO17" s="550">
        <v>0.09</v>
      </c>
      <c r="CP17" s="462">
        <v>0.09</v>
      </c>
      <c r="CQ17" s="550">
        <v>0.09</v>
      </c>
      <c r="CR17" s="462">
        <v>0.09</v>
      </c>
      <c r="CS17" s="550">
        <v>0.09</v>
      </c>
      <c r="CT17" s="462">
        <v>0.09</v>
      </c>
      <c r="CU17" s="550">
        <v>0.09</v>
      </c>
      <c r="CV17" s="561">
        <v>0.09</v>
      </c>
      <c r="CW17" s="550">
        <v>0.09</v>
      </c>
      <c r="CX17" s="462">
        <v>0.09</v>
      </c>
      <c r="CY17" s="550">
        <v>0.09</v>
      </c>
      <c r="CZ17" s="462">
        <v>0.09</v>
      </c>
      <c r="DA17" s="550">
        <v>0.09</v>
      </c>
      <c r="DB17" s="462">
        <v>0.09</v>
      </c>
      <c r="DC17" s="550">
        <v>0.09</v>
      </c>
      <c r="DD17" s="462">
        <v>0.09</v>
      </c>
      <c r="DE17" s="550">
        <v>0.09</v>
      </c>
      <c r="DF17" s="462"/>
      <c r="DG17" s="550">
        <v>0.09</v>
      </c>
      <c r="DH17" s="462"/>
      <c r="DI17" s="462">
        <v>0.1</v>
      </c>
      <c r="DJ17" s="462"/>
      <c r="DK17" s="559">
        <f>DI17+DG17+DE17+DC17+CY17+CW17+CU17+CS17+CQ17+CO17+CM17+DA17</f>
        <v>0.99999999999999978</v>
      </c>
      <c r="DL17" s="559">
        <f>CM17+CO17+CQ17+CS17+CU17+CW17+CY17+DA17+DC17</f>
        <v>0.71999999999999986</v>
      </c>
      <c r="DM17" s="559">
        <f t="shared" si="2"/>
        <v>0.71999999999999986</v>
      </c>
      <c r="DN17" s="558">
        <f>DK17</f>
        <v>0.99999999999999978</v>
      </c>
      <c r="DO17" s="558">
        <f>DM17</f>
        <v>0.71999999999999986</v>
      </c>
      <c r="DP17" s="550">
        <v>1</v>
      </c>
      <c r="DQ17" s="550"/>
      <c r="DR17" s="550"/>
      <c r="DS17" s="550"/>
      <c r="DT17" s="550"/>
      <c r="DU17" s="550"/>
      <c r="DV17" s="550"/>
      <c r="DW17" s="550"/>
      <c r="DX17" s="550"/>
      <c r="DY17" s="550"/>
      <c r="DZ17" s="550"/>
      <c r="EA17" s="550"/>
      <c r="EB17" s="550"/>
      <c r="EC17" s="550"/>
      <c r="ED17" s="550"/>
      <c r="EE17" s="550"/>
      <c r="EF17" s="550"/>
      <c r="EG17" s="550"/>
      <c r="EH17" s="550"/>
      <c r="EI17" s="550"/>
      <c r="EJ17" s="550"/>
      <c r="EK17" s="550"/>
      <c r="EL17" s="550"/>
      <c r="EM17" s="550"/>
      <c r="EN17" s="550"/>
      <c r="EO17" s="550"/>
      <c r="EP17" s="550"/>
      <c r="EQ17" s="550"/>
      <c r="ER17" s="550"/>
      <c r="ES17" s="550"/>
      <c r="ET17" s="562">
        <f>DD17/DC17</f>
        <v>1</v>
      </c>
      <c r="EU17" s="562">
        <f>DM17/DL17</f>
        <v>1</v>
      </c>
      <c r="EV17" s="562">
        <f>DO17/DN17</f>
        <v>0.72</v>
      </c>
      <c r="EW17" s="562">
        <f>(AC17+BG17+CK17+DO17)/(AB17+BF17+CJ17+DN17)</f>
        <v>0.90365448504983392</v>
      </c>
      <c r="EX17" s="562">
        <f>(AC17+BG17+CK17+DO17)/I17</f>
        <v>0.67999999999999994</v>
      </c>
      <c r="EY17" s="576" t="s">
        <v>692</v>
      </c>
      <c r="EZ17" s="567" t="s">
        <v>63</v>
      </c>
      <c r="FA17" s="567" t="s">
        <v>63</v>
      </c>
      <c r="FB17" s="604" t="s">
        <v>79</v>
      </c>
      <c r="FC17" s="566" t="s">
        <v>65</v>
      </c>
    </row>
    <row r="18" spans="1:159" ht="15.75" x14ac:dyDescent="0.25">
      <c r="I18" s="1"/>
      <c r="J18" s="1"/>
      <c r="K18" s="1"/>
      <c r="L18" s="1"/>
      <c r="M18" s="1"/>
      <c r="N18" s="1"/>
      <c r="O18" s="1"/>
      <c r="P18" s="1"/>
      <c r="Q18" s="1"/>
      <c r="R18" s="1"/>
      <c r="S18" s="1"/>
      <c r="T18" s="1"/>
      <c r="U18" s="1"/>
      <c r="V18" s="1"/>
      <c r="W18" s="1"/>
      <c r="X18" s="1"/>
      <c r="Y18" s="1"/>
      <c r="Z18" s="1"/>
      <c r="AA18" s="1"/>
      <c r="AB18" s="1"/>
      <c r="AC18" s="1"/>
      <c r="AD18" s="1"/>
      <c r="AE18" s="1"/>
      <c r="AF18" s="292"/>
      <c r="AG18" s="1"/>
      <c r="AH18" s="1"/>
      <c r="AI18" s="1"/>
      <c r="AJ18" s="1"/>
      <c r="AK18" s="10"/>
      <c r="AL18" s="1"/>
      <c r="AM18" s="1"/>
      <c r="AN18" s="1"/>
      <c r="BC18" s="293"/>
      <c r="BD18" s="293"/>
      <c r="BE18" s="293"/>
      <c r="BF18" s="293"/>
      <c r="BG18" s="293"/>
      <c r="BH18" s="1"/>
      <c r="BI18" s="1"/>
      <c r="BJ18" s="1"/>
      <c r="BK18" s="294"/>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295"/>
      <c r="CL18" s="295"/>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row>
    <row r="19" spans="1:159" x14ac:dyDescent="0.25">
      <c r="I19" s="1"/>
      <c r="J19" s="1"/>
      <c r="K19" s="1"/>
      <c r="L19" s="1"/>
      <c r="M19" s="1"/>
      <c r="N19" s="1"/>
      <c r="O19" s="1"/>
      <c r="P19" s="1"/>
      <c r="Q19" s="1"/>
      <c r="R19" s="1"/>
      <c r="S19" s="1"/>
      <c r="T19" s="1"/>
      <c r="U19" s="1"/>
      <c r="V19" s="1"/>
      <c r="W19" s="1"/>
      <c r="X19" s="1"/>
      <c r="Y19" s="1"/>
      <c r="Z19" s="1"/>
      <c r="AA19" s="1"/>
      <c r="AB19" s="1"/>
      <c r="AC19" s="1"/>
      <c r="AD19" s="1"/>
      <c r="AE19" s="1"/>
      <c r="AF19" s="1"/>
      <c r="AG19" s="1"/>
      <c r="AH19" s="292"/>
      <c r="AI19" s="1"/>
      <c r="AJ19" s="1"/>
      <c r="AK19" s="1"/>
      <c r="AL19" s="1"/>
      <c r="AM19" s="1"/>
      <c r="AN19" s="1"/>
      <c r="AU19" s="11"/>
      <c r="BC19" s="1"/>
      <c r="BD19" s="296"/>
      <c r="BE19" s="1"/>
      <c r="BF19" s="1"/>
      <c r="BG19" s="1"/>
      <c r="BH19" s="1"/>
      <c r="BI19" s="1"/>
      <c r="BJ19" s="1"/>
      <c r="BK19" s="1"/>
      <c r="BL19" s="295"/>
      <c r="BM19" s="1"/>
      <c r="BN19" s="1"/>
      <c r="BO19" s="1"/>
      <c r="BP19" s="1"/>
      <c r="BQ19" s="296"/>
      <c r="BR19" s="1"/>
      <c r="BS19" s="1"/>
      <c r="BT19" s="1"/>
      <c r="BU19" s="1"/>
      <c r="BV19" s="1"/>
      <c r="BW19" s="1"/>
      <c r="BX19" s="1"/>
      <c r="BY19" s="1"/>
      <c r="BZ19" s="1"/>
      <c r="CA19" s="1"/>
      <c r="CB19" s="1"/>
      <c r="CC19" s="1"/>
      <c r="CD19" s="1"/>
      <c r="CE19" s="1"/>
      <c r="CF19" s="1"/>
      <c r="CG19" s="1"/>
      <c r="CH19" s="1"/>
      <c r="CI19" s="1"/>
      <c r="CJ19" s="1"/>
      <c r="CK19" s="295"/>
      <c r="CL19" s="1"/>
      <c r="CM19" s="1"/>
      <c r="CN19" s="1"/>
      <c r="CO19" s="1"/>
      <c r="CP19" s="1"/>
      <c r="CQ19" s="1"/>
      <c r="CR19" s="1"/>
      <c r="CS19" s="1"/>
      <c r="CT19" s="1"/>
      <c r="CU19" s="1"/>
      <c r="CV19" s="1"/>
      <c r="CW19" s="1"/>
      <c r="CX19" s="1"/>
      <c r="CY19" s="1"/>
      <c r="CZ19" s="1"/>
      <c r="DA19" s="1"/>
      <c r="DB19" s="1"/>
      <c r="DC19" s="1"/>
      <c r="DD19" s="1"/>
      <c r="DE19" s="1"/>
      <c r="DF19" s="1"/>
      <c r="DG19" s="1"/>
      <c r="DH19" s="1"/>
      <c r="DI19" s="1"/>
      <c r="DJ19" s="10"/>
      <c r="DK19" s="1"/>
      <c r="DL19" s="1"/>
      <c r="DM19" s="1"/>
      <c r="DN19" s="1"/>
      <c r="DO19" s="1"/>
      <c r="DP19" s="292"/>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row>
    <row r="20" spans="1:159" ht="18.75" x14ac:dyDescent="0.3">
      <c r="D20" s="297" t="s">
        <v>80</v>
      </c>
      <c r="I20" s="1"/>
      <c r="J20" s="1"/>
      <c r="K20" s="1"/>
      <c r="L20" s="1"/>
      <c r="M20" s="1"/>
      <c r="N20" s="1"/>
      <c r="O20" s="1"/>
      <c r="P20" s="1"/>
      <c r="Q20" s="1"/>
      <c r="R20" s="1"/>
      <c r="S20" s="1"/>
      <c r="T20" s="1"/>
      <c r="U20" s="1"/>
      <c r="V20" s="1"/>
      <c r="W20" s="1"/>
      <c r="X20" s="1"/>
      <c r="Y20" s="1"/>
      <c r="Z20" s="1"/>
      <c r="AA20" s="1"/>
      <c r="AB20" s="1"/>
      <c r="AC20" s="1"/>
      <c r="AD20" s="1"/>
      <c r="AE20" s="1"/>
      <c r="AF20" s="295"/>
      <c r="AG20" s="1"/>
      <c r="AH20" s="1"/>
      <c r="AI20" s="1"/>
      <c r="AJ20" s="292"/>
      <c r="AK20" s="1"/>
      <c r="AL20" s="1"/>
      <c r="AM20" s="1"/>
      <c r="AN20" s="298"/>
      <c r="BC20" s="292"/>
      <c r="BD20" s="298"/>
      <c r="BE20" s="292"/>
      <c r="BF20" s="1"/>
      <c r="BG20" s="292"/>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2"/>
      <c r="CM20" s="1"/>
      <c r="CN20" s="1"/>
      <c r="CO20" s="1"/>
      <c r="CP20" s="1"/>
      <c r="CQ20" s="1"/>
      <c r="CR20" s="1"/>
      <c r="CS20" s="1"/>
      <c r="CT20" s="1"/>
      <c r="CU20" s="1"/>
      <c r="CV20" s="1"/>
      <c r="CW20" s="1"/>
      <c r="CX20" s="1"/>
      <c r="CY20" s="1"/>
      <c r="CZ20" s="299"/>
      <c r="DA20" s="300"/>
      <c r="DB20" s="1"/>
      <c r="DC20" s="1"/>
      <c r="DD20" s="1"/>
      <c r="DE20" s="292"/>
      <c r="DF20" s="1"/>
      <c r="DG20" s="1"/>
      <c r="DH20" s="1"/>
      <c r="DI20" s="1"/>
      <c r="DJ20" s="298"/>
      <c r="DK20" s="1"/>
      <c r="DL20" s="301"/>
      <c r="DM20" s="30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row>
    <row r="21" spans="1:159" ht="15.75" customHeight="1" x14ac:dyDescent="0.3">
      <c r="D21" s="13" t="s">
        <v>81</v>
      </c>
      <c r="E21" s="686" t="s">
        <v>82</v>
      </c>
      <c r="F21" s="683"/>
      <c r="G21" s="683"/>
      <c r="H21" s="683"/>
      <c r="I21" s="683"/>
      <c r="J21" s="684"/>
      <c r="K21" s="687" t="s">
        <v>83</v>
      </c>
      <c r="L21" s="683"/>
      <c r="M21" s="683"/>
      <c r="N21" s="683"/>
      <c r="O21" s="683"/>
      <c r="P21" s="683"/>
      <c r="Q21" s="683"/>
      <c r="R21" s="683"/>
      <c r="S21" s="683"/>
      <c r="T21" s="684"/>
      <c r="U21" s="1"/>
      <c r="V21" s="1"/>
      <c r="W21" s="1"/>
      <c r="X21" s="1"/>
      <c r="Y21" s="1"/>
      <c r="Z21" s="1"/>
      <c r="AA21" s="1"/>
      <c r="AB21" s="1"/>
      <c r="AC21" s="1"/>
      <c r="AD21" s="1"/>
      <c r="AE21" s="1"/>
      <c r="AF21" s="295"/>
      <c r="AG21" s="1"/>
      <c r="AH21" s="1"/>
      <c r="AI21" s="1"/>
      <c r="AJ21" s="1"/>
      <c r="AK21" s="1"/>
      <c r="AL21" s="1"/>
      <c r="AM21" s="1"/>
      <c r="AN21" s="298"/>
      <c r="BC21" s="292"/>
      <c r="BD21" s="292"/>
      <c r="BE21" s="1"/>
      <c r="BF21" s="292"/>
      <c r="BG21" s="292"/>
      <c r="BH21" s="1"/>
      <c r="BI21" s="302"/>
      <c r="BJ21" s="292"/>
      <c r="BK21" s="292"/>
      <c r="BL21" s="302"/>
      <c r="BM21" s="302"/>
      <c r="BN21" s="303"/>
      <c r="BO21" s="302"/>
      <c r="BP21" s="302"/>
      <c r="BQ21" s="302"/>
      <c r="BR21" s="302"/>
      <c r="BS21" s="302"/>
      <c r="BT21" s="302"/>
      <c r="BU21" s="1"/>
      <c r="BV21" s="1"/>
      <c r="BW21" s="1"/>
      <c r="BX21" s="1"/>
      <c r="BY21" s="1"/>
      <c r="BZ21" s="1"/>
      <c r="CA21" s="1"/>
      <c r="CB21" s="1"/>
      <c r="CC21" s="1"/>
      <c r="CD21" s="1"/>
      <c r="CE21" s="1"/>
      <c r="CF21" s="1"/>
      <c r="CG21" s="1"/>
      <c r="CH21" s="1"/>
      <c r="CI21" s="1"/>
      <c r="CJ21" s="1"/>
      <c r="CK21" s="1"/>
      <c r="CL21" s="292"/>
      <c r="CM21" s="1"/>
      <c r="CN21" s="1"/>
      <c r="CO21" s="1"/>
      <c r="CP21" s="1"/>
      <c r="CQ21" s="1"/>
      <c r="CR21" s="1"/>
      <c r="CS21" s="1"/>
      <c r="CT21" s="1"/>
      <c r="CU21" s="1"/>
      <c r="CV21" s="1"/>
      <c r="CW21" s="1"/>
      <c r="CX21" s="1"/>
      <c r="CY21" s="1"/>
      <c r="CZ21" s="299"/>
      <c r="DA21" s="300"/>
      <c r="DB21" s="1"/>
      <c r="DC21" s="1"/>
      <c r="DD21" s="1"/>
      <c r="DE21" s="292"/>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U21" s="14"/>
      <c r="EX21" s="14"/>
    </row>
    <row r="22" spans="1:159" ht="15.75" customHeight="1" x14ac:dyDescent="0.3">
      <c r="D22" s="15">
        <v>13</v>
      </c>
      <c r="E22" s="682" t="s">
        <v>84</v>
      </c>
      <c r="F22" s="683"/>
      <c r="G22" s="683"/>
      <c r="H22" s="683"/>
      <c r="I22" s="683"/>
      <c r="J22" s="684"/>
      <c r="K22" s="685" t="s">
        <v>85</v>
      </c>
      <c r="L22" s="683"/>
      <c r="M22" s="683"/>
      <c r="N22" s="683"/>
      <c r="O22" s="683"/>
      <c r="P22" s="683"/>
      <c r="Q22" s="683"/>
      <c r="R22" s="683"/>
      <c r="S22" s="683"/>
      <c r="T22" s="684"/>
      <c r="U22" s="1"/>
      <c r="V22" s="1"/>
      <c r="W22" s="1"/>
      <c r="X22" s="1"/>
      <c r="Y22" s="1"/>
      <c r="Z22" s="1"/>
      <c r="AA22" s="1"/>
      <c r="AB22" s="1"/>
      <c r="AC22" s="1"/>
      <c r="AD22" s="1"/>
      <c r="AE22" s="1"/>
      <c r="AF22" s="295"/>
      <c r="AG22" s="1"/>
      <c r="AH22" s="1"/>
      <c r="AI22" s="1"/>
      <c r="AJ22" s="1"/>
      <c r="AK22" s="1"/>
      <c r="AL22" s="1"/>
      <c r="AM22" s="1"/>
      <c r="AN22" s="295"/>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295"/>
      <c r="CI22" s="1"/>
      <c r="CJ22" s="1"/>
      <c r="CK22" s="1"/>
      <c r="CL22" s="292"/>
      <c r="CM22" s="1"/>
      <c r="CN22" s="1"/>
      <c r="CO22" s="1"/>
      <c r="CP22" s="1"/>
      <c r="CQ22" s="1"/>
      <c r="CR22" s="1"/>
      <c r="CS22" s="1"/>
      <c r="CT22" s="1"/>
      <c r="CU22" s="1"/>
      <c r="CV22" s="1"/>
      <c r="CW22" s="1"/>
      <c r="CX22" s="1"/>
      <c r="CY22" s="394"/>
      <c r="CZ22" s="299"/>
      <c r="DA22" s="300"/>
      <c r="DB22" s="1"/>
      <c r="DC22" s="1"/>
      <c r="DD22" s="1"/>
      <c r="DE22" s="1"/>
      <c r="DF22" s="1"/>
      <c r="DG22" s="1"/>
      <c r="DH22" s="1"/>
      <c r="DI22" s="1"/>
      <c r="DJ22" s="1"/>
      <c r="DK22" s="1"/>
      <c r="DL22" s="1"/>
      <c r="DM22" s="1"/>
      <c r="DN22" s="396"/>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row>
    <row r="23" spans="1:159" ht="15.75" customHeight="1" x14ac:dyDescent="0.3">
      <c r="D23" s="15">
        <v>14</v>
      </c>
      <c r="E23" s="682" t="s">
        <v>86</v>
      </c>
      <c r="F23" s="683"/>
      <c r="G23" s="683"/>
      <c r="H23" s="683"/>
      <c r="I23" s="683"/>
      <c r="J23" s="684"/>
      <c r="K23" s="685"/>
      <c r="L23" s="683"/>
      <c r="M23" s="683"/>
      <c r="N23" s="683"/>
      <c r="O23" s="683"/>
      <c r="P23" s="683"/>
      <c r="Q23" s="683"/>
      <c r="R23" s="683"/>
      <c r="S23" s="683"/>
      <c r="T23" s="684"/>
      <c r="U23" s="1"/>
      <c r="V23" s="1"/>
      <c r="W23" s="1"/>
      <c r="X23" s="1"/>
      <c r="Y23" s="1"/>
      <c r="Z23" s="1"/>
      <c r="AA23" s="1"/>
      <c r="AB23" s="1"/>
      <c r="AC23" s="1"/>
      <c r="AD23" s="1"/>
      <c r="AE23" s="1"/>
      <c r="AF23" s="1"/>
      <c r="AG23" s="1"/>
      <c r="AH23" s="1"/>
      <c r="AI23" s="1"/>
      <c r="AJ23" s="1"/>
      <c r="AK23" s="1"/>
      <c r="AL23" s="1"/>
      <c r="AM23" s="1"/>
      <c r="AN23" s="1"/>
      <c r="BC23" s="1"/>
      <c r="BD23" s="1"/>
      <c r="BE23" s="1"/>
      <c r="BF23" s="1"/>
      <c r="BG23" s="1"/>
      <c r="BH23" s="1"/>
      <c r="BI23" s="304"/>
      <c r="BJ23" s="292"/>
      <c r="BK23" s="304"/>
      <c r="BL23" s="304"/>
      <c r="BM23" s="304"/>
      <c r="BN23" s="304"/>
      <c r="BO23" s="304"/>
      <c r="BP23" s="304"/>
      <c r="BQ23" s="304"/>
      <c r="BR23" s="304"/>
      <c r="BS23" s="304"/>
      <c r="BT23" s="292"/>
      <c r="BU23" s="1"/>
      <c r="BV23" s="1"/>
      <c r="BW23" s="1"/>
      <c r="BX23" s="1"/>
      <c r="BY23" s="1"/>
      <c r="BZ23" s="1"/>
      <c r="CA23" s="1"/>
      <c r="CB23" s="1"/>
      <c r="CC23" s="1"/>
      <c r="CD23" s="1"/>
      <c r="CE23" s="1"/>
      <c r="CF23" s="1"/>
      <c r="CG23" s="1"/>
      <c r="CH23" s="1"/>
      <c r="CI23" s="1"/>
      <c r="CJ23" s="295"/>
      <c r="CK23" s="292"/>
      <c r="CL23" s="292"/>
      <c r="CM23" s="1"/>
      <c r="CN23" s="10"/>
      <c r="CO23" s="1"/>
      <c r="CP23" s="1"/>
      <c r="CQ23" s="1"/>
      <c r="CR23" s="1"/>
      <c r="CS23" s="1"/>
      <c r="CT23" s="1"/>
      <c r="CU23" s="1"/>
      <c r="CV23" s="1"/>
      <c r="CW23" s="1"/>
      <c r="CX23" s="1"/>
      <c r="CY23" s="1"/>
      <c r="CZ23" s="299"/>
      <c r="DA23" s="300"/>
      <c r="DB23" s="1"/>
      <c r="DC23" s="1"/>
      <c r="DD23" s="1"/>
      <c r="DE23" s="1"/>
      <c r="DF23" s="1"/>
      <c r="DG23" s="1"/>
      <c r="DH23" s="1"/>
      <c r="DI23" s="1"/>
      <c r="DJ23" s="1"/>
      <c r="DK23" s="1"/>
      <c r="DL23" s="305"/>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row>
    <row r="24" spans="1:159" ht="15.75" customHeight="1" x14ac:dyDescent="0.3">
      <c r="I24" s="1"/>
      <c r="J24" s="1"/>
      <c r="K24" s="1"/>
      <c r="L24" s="1"/>
      <c r="M24" s="1"/>
      <c r="N24" s="1"/>
      <c r="O24" s="1"/>
      <c r="P24" s="1"/>
      <c r="Q24" s="1"/>
      <c r="R24" s="1"/>
      <c r="S24" s="1"/>
      <c r="T24" s="1"/>
      <c r="U24" s="1"/>
      <c r="V24" s="1"/>
      <c r="W24" s="1"/>
      <c r="X24" s="1"/>
      <c r="Y24" s="1"/>
      <c r="Z24" s="1"/>
      <c r="AA24" s="1"/>
      <c r="AB24" s="1"/>
      <c r="AC24" s="12"/>
      <c r="AD24" s="1"/>
      <c r="AE24" s="1"/>
      <c r="AF24" s="1"/>
      <c r="AG24" s="1"/>
      <c r="AH24" s="1"/>
      <c r="AI24" s="1"/>
      <c r="AJ24" s="1"/>
      <c r="AK24" s="1"/>
      <c r="AL24" s="1"/>
      <c r="AM24" s="1"/>
      <c r="AN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304"/>
      <c r="CO24" s="1"/>
      <c r="CP24" s="1"/>
      <c r="CQ24" s="1"/>
      <c r="CR24" s="1"/>
      <c r="CS24" s="1"/>
      <c r="CT24" s="1"/>
      <c r="CU24" s="1"/>
      <c r="CV24" s="1"/>
      <c r="CW24" s="1"/>
      <c r="CX24" s="1"/>
      <c r="CY24" s="1"/>
      <c r="CZ24" s="299"/>
      <c r="DA24" s="1"/>
      <c r="DB24" s="1"/>
      <c r="DC24" s="1"/>
      <c r="DD24" s="1"/>
      <c r="DE24" s="1"/>
      <c r="DF24" s="1"/>
      <c r="DG24" s="298"/>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row>
    <row r="25" spans="1:159" ht="15.75" customHeight="1" x14ac:dyDescent="0.3">
      <c r="I25" s="1"/>
      <c r="J25" s="1"/>
      <c r="K25" s="1"/>
      <c r="L25" s="1"/>
      <c r="M25" s="1"/>
      <c r="N25" s="1"/>
      <c r="O25" s="1"/>
      <c r="P25" s="1"/>
      <c r="Q25" s="1"/>
      <c r="R25" s="1"/>
      <c r="S25" s="1"/>
      <c r="T25" s="1"/>
      <c r="U25" s="1"/>
      <c r="V25" s="1"/>
      <c r="W25" s="1"/>
      <c r="X25" s="1"/>
      <c r="Y25" s="1"/>
      <c r="Z25" s="1"/>
      <c r="AA25" s="1"/>
      <c r="AB25" s="1"/>
      <c r="AC25" s="10"/>
      <c r="AD25" s="1"/>
      <c r="AE25" s="1"/>
      <c r="AF25" s="1"/>
      <c r="AG25" s="1"/>
      <c r="AH25" s="1"/>
      <c r="AI25" s="1"/>
      <c r="AJ25" s="1"/>
      <c r="AK25" s="1"/>
      <c r="AL25" s="1"/>
      <c r="AM25" s="1"/>
      <c r="AN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304"/>
      <c r="CO25" s="1"/>
      <c r="CP25" s="1"/>
      <c r="CQ25" s="1"/>
      <c r="CR25" s="1"/>
      <c r="CS25" s="1"/>
      <c r="CT25" s="1"/>
      <c r="CU25" s="1"/>
      <c r="CV25" s="1"/>
      <c r="CW25" s="1"/>
      <c r="CX25" s="1"/>
      <c r="CY25" s="1"/>
      <c r="CZ25" s="299"/>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row>
    <row r="26" spans="1:159" ht="15.75" customHeight="1" x14ac:dyDescent="0.3">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295"/>
      <c r="CK26" s="1"/>
      <c r="CL26" s="1"/>
      <c r="CM26" s="1"/>
      <c r="CN26" s="10"/>
      <c r="CO26" s="1"/>
      <c r="CP26" s="1"/>
      <c r="CQ26" s="1"/>
      <c r="CR26" s="1"/>
      <c r="CS26" s="1"/>
      <c r="CT26" s="1"/>
      <c r="CU26" s="1"/>
      <c r="CV26" s="1"/>
      <c r="CW26" s="1"/>
      <c r="CX26" s="1"/>
      <c r="CY26" s="1"/>
      <c r="CZ26" s="299"/>
      <c r="DA26" s="1"/>
      <c r="DB26" s="1"/>
      <c r="DC26" s="1"/>
      <c r="DD26" s="1"/>
      <c r="DE26" s="1"/>
      <c r="DF26" s="1"/>
      <c r="DG26" s="298"/>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row>
    <row r="27" spans="1:159" ht="15.75" customHeight="1" x14ac:dyDescent="0.25">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295"/>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row>
    <row r="28" spans="1:159" ht="15.75" customHeight="1" x14ac:dyDescent="0.25">
      <c r="I28" s="1"/>
      <c r="J28" s="1"/>
      <c r="K28" s="1"/>
      <c r="L28" s="1"/>
      <c r="M28" s="1"/>
      <c r="N28" s="1"/>
      <c r="O28" s="1"/>
      <c r="P28" s="1"/>
      <c r="Q28" s="1"/>
      <c r="R28" s="1"/>
      <c r="S28" s="1"/>
      <c r="T28" s="1"/>
      <c r="U28" s="1"/>
      <c r="V28" s="1"/>
      <c r="W28" s="1"/>
      <c r="X28" s="1"/>
      <c r="Y28" s="1"/>
      <c r="Z28" s="1"/>
      <c r="AA28" s="1"/>
      <c r="AB28" s="1"/>
      <c r="AC28" s="292"/>
      <c r="AD28" s="1"/>
      <c r="AE28" s="1"/>
      <c r="AF28" s="1"/>
      <c r="AG28" s="1"/>
      <c r="AH28" s="1"/>
      <c r="AI28" s="1"/>
      <c r="AJ28" s="1"/>
      <c r="AK28" s="1"/>
      <c r="AL28" s="1"/>
      <c r="AM28" s="1"/>
      <c r="AN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row>
    <row r="29" spans="1:159" ht="15.75" customHeight="1" x14ac:dyDescent="0.25">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row>
    <row r="30" spans="1:159" ht="15.75" customHeight="1" x14ac:dyDescent="0.25">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4"/>
    </row>
    <row r="31" spans="1:159" ht="15.75" customHeight="1" x14ac:dyDescent="0.25">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row>
    <row r="32" spans="1:159" ht="15.75" customHeight="1" x14ac:dyDescent="0.25">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4"/>
    </row>
    <row r="33" spans="9:150" ht="15.75" customHeight="1" x14ac:dyDescent="0.25">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row>
    <row r="34" spans="9:150" ht="15.75" customHeight="1" x14ac:dyDescent="0.25">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4"/>
    </row>
    <row r="35" spans="9:150" ht="15.75" customHeight="1" x14ac:dyDescent="0.25">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4"/>
    </row>
    <row r="36" spans="9:150" ht="15.75" customHeight="1" x14ac:dyDescent="0.25">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row>
    <row r="37" spans="9:150" ht="15.75" customHeight="1" x14ac:dyDescent="0.25">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row>
    <row r="38" spans="9:150" ht="15.75" customHeight="1" x14ac:dyDescent="0.25">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row>
    <row r="39" spans="9:150" ht="15.75" customHeight="1" x14ac:dyDescent="0.25">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row>
    <row r="40" spans="9:150" ht="15.75" customHeight="1" x14ac:dyDescent="0.25">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row>
    <row r="41" spans="9:150" ht="15.75" customHeight="1" x14ac:dyDescent="0.25">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row>
    <row r="42" spans="9:150" ht="15.75" customHeight="1" x14ac:dyDescent="0.25">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row>
    <row r="43" spans="9:150" ht="15.75" customHeight="1" x14ac:dyDescent="0.25">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row>
    <row r="44" spans="9:150" ht="15.75" customHeight="1" x14ac:dyDescent="0.25">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row>
    <row r="45" spans="9:150" ht="15.75" customHeight="1" x14ac:dyDescent="0.25">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row>
    <row r="46" spans="9:150" ht="15.75" customHeight="1" x14ac:dyDescent="0.25">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row>
    <row r="47" spans="9:150" ht="15.75" customHeight="1" x14ac:dyDescent="0.25">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row>
    <row r="48" spans="9:150" ht="15.75" customHeight="1" x14ac:dyDescent="0.25">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row>
    <row r="49" spans="9:149" ht="15.75" customHeight="1" x14ac:dyDescent="0.25">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row>
    <row r="50" spans="9:149" ht="15.75" customHeight="1" x14ac:dyDescent="0.25">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row>
    <row r="51" spans="9:149" ht="15.75" customHeight="1" x14ac:dyDescent="0.25">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row>
    <row r="52" spans="9:149" ht="15.75" customHeight="1" x14ac:dyDescent="0.25">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row>
    <row r="53" spans="9:149" ht="15.75" customHeight="1" x14ac:dyDescent="0.25">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row>
    <row r="54" spans="9:149" ht="15.75" customHeight="1" x14ac:dyDescent="0.25">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row>
    <row r="55" spans="9:149" ht="15.75" customHeight="1" x14ac:dyDescent="0.25">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row>
    <row r="56" spans="9:149" ht="15.75" customHeight="1" x14ac:dyDescent="0.25">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row>
    <row r="57" spans="9:149" ht="15.75" customHeight="1" x14ac:dyDescent="0.25">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row>
    <row r="58" spans="9:149" ht="15.75" customHeight="1" x14ac:dyDescent="0.25">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row>
    <row r="59" spans="9:149" ht="15.75" customHeight="1" x14ac:dyDescent="0.25">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row>
    <row r="60" spans="9:149" ht="15.75" customHeight="1" x14ac:dyDescent="0.25">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row>
    <row r="61" spans="9:149" ht="15.75" customHeight="1" x14ac:dyDescent="0.25">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row>
    <row r="62" spans="9:149" ht="15.75" customHeight="1" x14ac:dyDescent="0.25">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row>
    <row r="63" spans="9:149" ht="15.75" customHeight="1" x14ac:dyDescent="0.25">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row>
    <row r="64" spans="9:149" ht="15.75" customHeight="1" x14ac:dyDescent="0.25">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row>
    <row r="65" spans="9:149" ht="15.75" customHeight="1" x14ac:dyDescent="0.25">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row>
    <row r="66" spans="9:149" ht="15.75" customHeight="1" x14ac:dyDescent="0.25">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row>
    <row r="67" spans="9:149" ht="15.75" customHeight="1" x14ac:dyDescent="0.25">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row>
    <row r="68" spans="9:149" ht="15.75" customHeight="1" x14ac:dyDescent="0.25">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row>
    <row r="69" spans="9:149" ht="15.75" customHeight="1" x14ac:dyDescent="0.25">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row>
    <row r="70" spans="9:149" ht="15.75" customHeight="1" x14ac:dyDescent="0.25">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row>
    <row r="71" spans="9:149" ht="15.75" customHeight="1" x14ac:dyDescent="0.25">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row>
    <row r="72" spans="9:149" ht="15.75" customHeight="1" x14ac:dyDescent="0.25">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row>
    <row r="73" spans="9:149" ht="15.75" customHeight="1" x14ac:dyDescent="0.25">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row>
    <row r="74" spans="9:149" ht="15.75" customHeight="1" x14ac:dyDescent="0.25">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row>
    <row r="75" spans="9:149" ht="15.75" customHeight="1" x14ac:dyDescent="0.25">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row>
    <row r="76" spans="9:149" ht="15.75" customHeight="1" x14ac:dyDescent="0.25">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row>
    <row r="77" spans="9:149" ht="15.75" customHeight="1" x14ac:dyDescent="0.25">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row>
    <row r="78" spans="9:149" ht="15.75" customHeight="1" x14ac:dyDescent="0.25">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row>
    <row r="79" spans="9:149" ht="15.75" customHeight="1" x14ac:dyDescent="0.25">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row>
    <row r="80" spans="9:149" ht="15.75" customHeight="1" x14ac:dyDescent="0.25">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row>
    <row r="81" spans="9:149" ht="15.75" customHeight="1" x14ac:dyDescent="0.25">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row>
    <row r="82" spans="9:149" ht="15.75" customHeight="1" x14ac:dyDescent="0.25">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row>
    <row r="83" spans="9:149" ht="15.75" customHeight="1" x14ac:dyDescent="0.25">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row>
    <row r="84" spans="9:149" ht="15.75" customHeight="1" x14ac:dyDescent="0.25">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row>
    <row r="85" spans="9:149" ht="15.75" customHeight="1" x14ac:dyDescent="0.25">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row>
    <row r="86" spans="9:149" ht="15.75" customHeight="1" x14ac:dyDescent="0.25">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row>
    <row r="87" spans="9:149" ht="15.75" customHeight="1" x14ac:dyDescent="0.25">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row>
    <row r="88" spans="9:149" ht="15.75" customHeight="1" x14ac:dyDescent="0.25">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row>
    <row r="89" spans="9:149" ht="15.75" customHeight="1" x14ac:dyDescent="0.25">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row>
    <row r="90" spans="9:149" ht="15.75" customHeight="1" x14ac:dyDescent="0.25">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row>
    <row r="91" spans="9:149" ht="15.75" customHeight="1" x14ac:dyDescent="0.25">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row>
    <row r="92" spans="9:149" ht="15.75" customHeight="1" x14ac:dyDescent="0.25">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row>
    <row r="93" spans="9:149" ht="15.75" customHeight="1" x14ac:dyDescent="0.25">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row>
    <row r="94" spans="9:149" ht="15.75" customHeight="1" x14ac:dyDescent="0.25">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row>
    <row r="95" spans="9:149" ht="15.75" customHeight="1" x14ac:dyDescent="0.25">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row>
    <row r="96" spans="9:149" ht="15.75" customHeight="1" x14ac:dyDescent="0.25">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row>
    <row r="97" spans="9:149" ht="15.75" customHeight="1" x14ac:dyDescent="0.25">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row>
    <row r="98" spans="9:149" ht="15.75" customHeight="1" x14ac:dyDescent="0.25">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row>
    <row r="99" spans="9:149" ht="15.75" customHeight="1" x14ac:dyDescent="0.25">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row>
    <row r="100" spans="9:149" ht="15.75" customHeight="1" x14ac:dyDescent="0.25">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row>
  </sheetData>
  <mergeCells count="41">
    <mergeCell ref="EZ10:EZ12"/>
    <mergeCell ref="EV10:EV12"/>
    <mergeCell ref="J11:AC11"/>
    <mergeCell ref="A10:I10"/>
    <mergeCell ref="A11:I11"/>
    <mergeCell ref="J10:ES10"/>
    <mergeCell ref="ET10:ET12"/>
    <mergeCell ref="EU10:EU12"/>
    <mergeCell ref="DP11:ES11"/>
    <mergeCell ref="K22:T22"/>
    <mergeCell ref="A5:F5"/>
    <mergeCell ref="A6:F6"/>
    <mergeCell ref="A7:F7"/>
    <mergeCell ref="A8:F8"/>
    <mergeCell ref="A13:A17"/>
    <mergeCell ref="B13:B17"/>
    <mergeCell ref="G5:FC5"/>
    <mergeCell ref="G6:FC6"/>
    <mergeCell ref="G7:FC7"/>
    <mergeCell ref="G8:FC8"/>
    <mergeCell ref="FB10:FB12"/>
    <mergeCell ref="FC10:FC12"/>
    <mergeCell ref="EY10:EY12"/>
    <mergeCell ref="EX10:EX12"/>
    <mergeCell ref="FA10:FA12"/>
    <mergeCell ref="E23:J23"/>
    <mergeCell ref="K23:T23"/>
    <mergeCell ref="E21:J21"/>
    <mergeCell ref="K21:T21"/>
    <mergeCell ref="G2:FC2"/>
    <mergeCell ref="G3:FC3"/>
    <mergeCell ref="G4:ET4"/>
    <mergeCell ref="EU4:FC4"/>
    <mergeCell ref="AD11:BG11"/>
    <mergeCell ref="BH11:CK11"/>
    <mergeCell ref="EW10:EW12"/>
    <mergeCell ref="CL11:DO11"/>
    <mergeCell ref="A2:F4"/>
    <mergeCell ref="D14:D15"/>
    <mergeCell ref="C14:C15"/>
    <mergeCell ref="E22:J22"/>
  </mergeCells>
  <printOptions horizontalCentered="1" verticalCentered="1"/>
  <pageMargins left="0" right="0" top="0.55118110236220474" bottom="0" header="0" footer="0"/>
  <pageSetup scale="2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55"/>
  <sheetViews>
    <sheetView zoomScale="48" zoomScaleNormal="48" workbookViewId="0">
      <selection activeCell="G9" sqref="G9"/>
    </sheetView>
  </sheetViews>
  <sheetFormatPr baseColWidth="10" defaultColWidth="14.42578125" defaultRowHeight="15" customHeight="1" x14ac:dyDescent="0.25"/>
  <cols>
    <col min="1" max="1" width="9" customWidth="1"/>
    <col min="2" max="2" width="8.140625" customWidth="1"/>
    <col min="3" max="3" width="18.85546875" customWidth="1"/>
    <col min="4" max="4" width="10" customWidth="1"/>
    <col min="5" max="5" width="12" customWidth="1"/>
    <col min="6" max="6" width="15.85546875" customWidth="1"/>
    <col min="7" max="7" width="27.7109375" customWidth="1"/>
    <col min="8" max="25" width="27.42578125" hidden="1" customWidth="1"/>
    <col min="26" max="27" width="23.28515625" customWidth="1"/>
    <col min="28" max="42" width="27.42578125" hidden="1" customWidth="1"/>
    <col min="43" max="43" width="24.28515625" hidden="1" customWidth="1"/>
    <col min="44" max="44" width="22.140625" hidden="1" customWidth="1"/>
    <col min="45" max="45" width="24.42578125" hidden="1" customWidth="1"/>
    <col min="46" max="46" width="22" hidden="1" customWidth="1"/>
    <col min="47" max="47" width="22.28515625" hidden="1" customWidth="1"/>
    <col min="48" max="48" width="22.140625" hidden="1" customWidth="1"/>
    <col min="49" max="49" width="19.42578125" hidden="1" customWidth="1"/>
    <col min="50" max="50" width="20.28515625" hidden="1" customWidth="1"/>
    <col min="51" max="51" width="24.42578125" hidden="1" customWidth="1"/>
    <col min="52" max="52" width="21.85546875" hidden="1" customWidth="1"/>
    <col min="53" max="53" width="27.28515625" hidden="1" customWidth="1"/>
    <col min="54" max="54" width="23.7109375" hidden="1" customWidth="1"/>
    <col min="55" max="55" width="24.28515625" hidden="1" customWidth="1"/>
    <col min="56" max="57" width="20" customWidth="1"/>
    <col min="58" max="58" width="16.42578125" hidden="1" customWidth="1"/>
    <col min="59" max="62" width="20.140625" hidden="1" customWidth="1"/>
    <col min="63" max="63" width="22.85546875" hidden="1" customWidth="1"/>
    <col min="64" max="65" width="20.140625" hidden="1" customWidth="1"/>
    <col min="66" max="66" width="22.85546875" hidden="1" customWidth="1"/>
    <col min="67" max="67" width="19" hidden="1" customWidth="1"/>
    <col min="68" max="68" width="20.42578125" hidden="1" customWidth="1"/>
    <col min="69" max="72" width="22.42578125" hidden="1" customWidth="1"/>
    <col min="73" max="73" width="26.28515625" hidden="1" customWidth="1"/>
    <col min="74" max="74" width="20.42578125" hidden="1" customWidth="1"/>
    <col min="75" max="75" width="26.28515625" hidden="1" customWidth="1"/>
    <col min="76" max="76" width="25.140625" hidden="1" customWidth="1"/>
    <col min="77" max="77" width="26.28515625" hidden="1" customWidth="1"/>
    <col min="78" max="78" width="19.140625" hidden="1" customWidth="1"/>
    <col min="79" max="79" width="23.42578125" hidden="1" customWidth="1"/>
    <col min="80" max="80" width="22.85546875" hidden="1" customWidth="1"/>
    <col min="81" max="81" width="23.42578125" hidden="1" customWidth="1"/>
    <col min="82" max="82" width="22.28515625" hidden="1" customWidth="1"/>
    <col min="83" max="83" width="24" hidden="1" customWidth="1"/>
    <col min="84" max="84" width="24.85546875" hidden="1" customWidth="1"/>
    <col min="85" max="85" width="23.42578125" hidden="1" customWidth="1"/>
    <col min="86" max="87" width="25.140625" customWidth="1"/>
    <col min="88" max="103" width="25.28515625" customWidth="1"/>
    <col min="104" max="106" width="21.7109375" customWidth="1"/>
    <col min="107" max="108" width="21.7109375" hidden="1" customWidth="1"/>
    <col min="109" max="109" width="26.28515625" hidden="1" customWidth="1"/>
    <col min="110" max="110" width="30.28515625" hidden="1" customWidth="1"/>
    <col min="111" max="111" width="21.7109375" hidden="1" customWidth="1"/>
    <col min="112" max="112" width="23.85546875" hidden="1" customWidth="1"/>
    <col min="113" max="113" width="22.5703125" customWidth="1"/>
    <col min="114" max="114" width="23.42578125" customWidth="1"/>
    <col min="115" max="117" width="21.5703125" customWidth="1"/>
    <col min="118" max="118" width="20.140625" customWidth="1"/>
    <col min="119" max="147" width="27.42578125" hidden="1" customWidth="1"/>
    <col min="148" max="152" width="22" customWidth="1"/>
    <col min="153" max="153" width="84.42578125" customWidth="1"/>
    <col min="154" max="154" width="33.5703125" customWidth="1"/>
    <col min="155" max="155" width="26.7109375" customWidth="1"/>
    <col min="156" max="156" width="41.85546875" customWidth="1"/>
    <col min="157" max="157" width="19.28515625" customWidth="1"/>
  </cols>
  <sheetData>
    <row r="1" spans="1:157" ht="30.75" customHeight="1" x14ac:dyDescent="0.25">
      <c r="A1" s="764"/>
      <c r="B1" s="702"/>
      <c r="C1" s="702"/>
      <c r="D1" s="702"/>
      <c r="E1" s="731"/>
      <c r="F1" s="765" t="s">
        <v>0</v>
      </c>
      <c r="G1" s="688"/>
      <c r="H1" s="688"/>
      <c r="I1" s="688"/>
      <c r="J1" s="688"/>
      <c r="K1" s="688"/>
      <c r="L1" s="688"/>
      <c r="M1" s="688"/>
      <c r="N1" s="688"/>
      <c r="O1" s="688"/>
      <c r="P1" s="688"/>
      <c r="Q1" s="688"/>
      <c r="R1" s="688"/>
      <c r="S1" s="688"/>
      <c r="T1" s="688"/>
      <c r="U1" s="688"/>
      <c r="V1" s="688"/>
      <c r="W1" s="688"/>
      <c r="X1" s="688"/>
      <c r="Y1" s="688"/>
      <c r="Z1" s="688"/>
      <c r="AA1" s="688"/>
      <c r="AB1" s="688"/>
      <c r="AC1" s="688"/>
      <c r="AD1" s="688"/>
      <c r="AE1" s="688"/>
      <c r="AF1" s="688"/>
      <c r="AG1" s="688"/>
      <c r="AH1" s="688"/>
      <c r="AI1" s="688"/>
      <c r="AJ1" s="688"/>
      <c r="AK1" s="688"/>
      <c r="AL1" s="688"/>
      <c r="AM1" s="688"/>
      <c r="AN1" s="688"/>
      <c r="AO1" s="688"/>
      <c r="AP1" s="688"/>
      <c r="AQ1" s="688"/>
      <c r="AR1" s="688"/>
      <c r="AS1" s="688"/>
      <c r="AT1" s="688"/>
      <c r="AU1" s="688"/>
      <c r="AV1" s="688"/>
      <c r="AW1" s="688"/>
      <c r="AX1" s="688"/>
      <c r="AY1" s="688"/>
      <c r="AZ1" s="688"/>
      <c r="BA1" s="688"/>
      <c r="BB1" s="688"/>
      <c r="BC1" s="688"/>
      <c r="BD1" s="688"/>
      <c r="BE1" s="688"/>
      <c r="BF1" s="688"/>
      <c r="BG1" s="688"/>
      <c r="BH1" s="688"/>
      <c r="BI1" s="688"/>
      <c r="BJ1" s="688"/>
      <c r="BK1" s="688"/>
      <c r="BL1" s="688"/>
      <c r="BM1" s="688"/>
      <c r="BN1" s="688"/>
      <c r="BO1" s="688"/>
      <c r="BP1" s="688"/>
      <c r="BQ1" s="688"/>
      <c r="BR1" s="688"/>
      <c r="BS1" s="688"/>
      <c r="BT1" s="688"/>
      <c r="BU1" s="688"/>
      <c r="BV1" s="688"/>
      <c r="BW1" s="688"/>
      <c r="BX1" s="688"/>
      <c r="BY1" s="688"/>
      <c r="BZ1" s="688"/>
      <c r="CA1" s="688"/>
      <c r="CB1" s="688"/>
      <c r="CC1" s="688"/>
      <c r="CD1" s="688"/>
      <c r="CE1" s="688"/>
      <c r="CF1" s="688"/>
      <c r="CG1" s="688"/>
      <c r="CH1" s="688"/>
      <c r="CI1" s="688"/>
      <c r="CJ1" s="688"/>
      <c r="CK1" s="688"/>
      <c r="CL1" s="688"/>
      <c r="CM1" s="688"/>
      <c r="CN1" s="688"/>
      <c r="CO1" s="688"/>
      <c r="CP1" s="688"/>
      <c r="CQ1" s="688"/>
      <c r="CR1" s="688"/>
      <c r="CS1" s="688"/>
      <c r="CT1" s="688"/>
      <c r="CU1" s="688"/>
      <c r="CV1" s="688"/>
      <c r="CW1" s="688"/>
      <c r="CX1" s="688"/>
      <c r="CY1" s="688"/>
      <c r="CZ1" s="688"/>
      <c r="DA1" s="688"/>
      <c r="DB1" s="688"/>
      <c r="DC1" s="688"/>
      <c r="DD1" s="688"/>
      <c r="DE1" s="688"/>
      <c r="DF1" s="688"/>
      <c r="DG1" s="688"/>
      <c r="DH1" s="688"/>
      <c r="DI1" s="688"/>
      <c r="DJ1" s="688"/>
      <c r="DK1" s="688"/>
      <c r="DL1" s="688"/>
      <c r="DM1" s="688"/>
      <c r="DN1" s="688"/>
      <c r="DO1" s="688"/>
      <c r="DP1" s="688"/>
      <c r="DQ1" s="688"/>
      <c r="DR1" s="688"/>
      <c r="DS1" s="688"/>
      <c r="DT1" s="688"/>
      <c r="DU1" s="688"/>
      <c r="DV1" s="688"/>
      <c r="DW1" s="688"/>
      <c r="DX1" s="688"/>
      <c r="DY1" s="688"/>
      <c r="DZ1" s="688"/>
      <c r="EA1" s="688"/>
      <c r="EB1" s="688"/>
      <c r="EC1" s="688"/>
      <c r="ED1" s="688"/>
      <c r="EE1" s="688"/>
      <c r="EF1" s="688"/>
      <c r="EG1" s="688"/>
      <c r="EH1" s="688"/>
      <c r="EI1" s="688"/>
      <c r="EJ1" s="688"/>
      <c r="EK1" s="688"/>
      <c r="EL1" s="688"/>
      <c r="EM1" s="688"/>
      <c r="EN1" s="688"/>
      <c r="EO1" s="688"/>
      <c r="EP1" s="688"/>
      <c r="EQ1" s="688"/>
      <c r="ER1" s="688"/>
      <c r="ES1" s="688"/>
      <c r="ET1" s="688"/>
      <c r="EU1" s="688"/>
      <c r="EV1" s="688"/>
      <c r="EW1" s="688"/>
      <c r="EX1" s="688"/>
      <c r="EY1" s="688"/>
      <c r="EZ1" s="688"/>
      <c r="FA1" s="766"/>
    </row>
    <row r="2" spans="1:157" ht="30.75" customHeight="1" thickBot="1" x14ac:dyDescent="0.3">
      <c r="A2" s="703"/>
      <c r="B2" s="704"/>
      <c r="C2" s="704"/>
      <c r="D2" s="704"/>
      <c r="E2" s="732"/>
      <c r="F2" s="767" t="s">
        <v>87</v>
      </c>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8"/>
      <c r="AK2" s="768"/>
      <c r="AL2" s="768"/>
      <c r="AM2" s="768"/>
      <c r="AN2" s="768"/>
      <c r="AO2" s="768"/>
      <c r="AP2" s="768"/>
      <c r="AQ2" s="768"/>
      <c r="AR2" s="768"/>
      <c r="AS2" s="768"/>
      <c r="AT2" s="768"/>
      <c r="AU2" s="768"/>
      <c r="AV2" s="768"/>
      <c r="AW2" s="768"/>
      <c r="AX2" s="768"/>
      <c r="AY2" s="768"/>
      <c r="AZ2" s="768"/>
      <c r="BA2" s="768"/>
      <c r="BB2" s="768"/>
      <c r="BC2" s="768"/>
      <c r="BD2" s="768"/>
      <c r="BE2" s="768"/>
      <c r="BF2" s="768"/>
      <c r="BG2" s="768"/>
      <c r="BH2" s="768"/>
      <c r="BI2" s="768"/>
      <c r="BJ2" s="768"/>
      <c r="BK2" s="768"/>
      <c r="BL2" s="768"/>
      <c r="BM2" s="768"/>
      <c r="BN2" s="768"/>
      <c r="BO2" s="768"/>
      <c r="BP2" s="768"/>
      <c r="BQ2" s="768"/>
      <c r="BR2" s="768"/>
      <c r="BS2" s="768"/>
      <c r="BT2" s="768"/>
      <c r="BU2" s="768"/>
      <c r="BV2" s="768"/>
      <c r="BW2" s="768"/>
      <c r="BX2" s="768"/>
      <c r="BY2" s="768"/>
      <c r="BZ2" s="768"/>
      <c r="CA2" s="768"/>
      <c r="CB2" s="768"/>
      <c r="CC2" s="768"/>
      <c r="CD2" s="768"/>
      <c r="CE2" s="768"/>
      <c r="CF2" s="768"/>
      <c r="CG2" s="768"/>
      <c r="CH2" s="768"/>
      <c r="CI2" s="768"/>
      <c r="CJ2" s="768"/>
      <c r="CK2" s="768"/>
      <c r="CL2" s="768"/>
      <c r="CM2" s="768"/>
      <c r="CN2" s="768"/>
      <c r="CO2" s="768"/>
      <c r="CP2" s="768"/>
      <c r="CQ2" s="768"/>
      <c r="CR2" s="768"/>
      <c r="CS2" s="768"/>
      <c r="CT2" s="768"/>
      <c r="CU2" s="768"/>
      <c r="CV2" s="768"/>
      <c r="CW2" s="768"/>
      <c r="CX2" s="768"/>
      <c r="CY2" s="768"/>
      <c r="CZ2" s="768"/>
      <c r="DA2" s="768"/>
      <c r="DB2" s="768"/>
      <c r="DC2" s="768"/>
      <c r="DD2" s="768"/>
      <c r="DE2" s="768"/>
      <c r="DF2" s="768"/>
      <c r="DG2" s="768"/>
      <c r="DH2" s="768"/>
      <c r="DI2" s="768"/>
      <c r="DJ2" s="768"/>
      <c r="DK2" s="768"/>
      <c r="DL2" s="768"/>
      <c r="DM2" s="768"/>
      <c r="DN2" s="768"/>
      <c r="DO2" s="768"/>
      <c r="DP2" s="768"/>
      <c r="DQ2" s="768"/>
      <c r="DR2" s="768"/>
      <c r="DS2" s="768"/>
      <c r="DT2" s="768"/>
      <c r="DU2" s="768"/>
      <c r="DV2" s="768"/>
      <c r="DW2" s="768"/>
      <c r="DX2" s="768"/>
      <c r="DY2" s="768"/>
      <c r="DZ2" s="768"/>
      <c r="EA2" s="768"/>
      <c r="EB2" s="768"/>
      <c r="EC2" s="768"/>
      <c r="ED2" s="768"/>
      <c r="EE2" s="768"/>
      <c r="EF2" s="768"/>
      <c r="EG2" s="768"/>
      <c r="EH2" s="768"/>
      <c r="EI2" s="768"/>
      <c r="EJ2" s="768"/>
      <c r="EK2" s="768"/>
      <c r="EL2" s="768"/>
      <c r="EM2" s="768"/>
      <c r="EN2" s="768"/>
      <c r="EO2" s="768"/>
      <c r="EP2" s="768"/>
      <c r="EQ2" s="768"/>
      <c r="ER2" s="768"/>
      <c r="ES2" s="768"/>
      <c r="ET2" s="768"/>
      <c r="EU2" s="768"/>
      <c r="EV2" s="768"/>
      <c r="EW2" s="768"/>
      <c r="EX2" s="768"/>
      <c r="EY2" s="768"/>
      <c r="EZ2" s="768"/>
      <c r="FA2" s="769"/>
    </row>
    <row r="3" spans="1:157" ht="27" customHeight="1" thickBot="1" x14ac:dyDescent="0.4">
      <c r="A3" s="705"/>
      <c r="B3" s="706"/>
      <c r="C3" s="706"/>
      <c r="D3" s="706"/>
      <c r="E3" s="714"/>
      <c r="F3" s="770" t="s">
        <v>2</v>
      </c>
      <c r="G3" s="771"/>
      <c r="H3" s="771"/>
      <c r="I3" s="771"/>
      <c r="J3" s="771"/>
      <c r="K3" s="771"/>
      <c r="L3" s="771"/>
      <c r="M3" s="771"/>
      <c r="N3" s="771"/>
      <c r="O3" s="771"/>
      <c r="P3" s="771"/>
      <c r="Q3" s="771"/>
      <c r="R3" s="771"/>
      <c r="S3" s="771"/>
      <c r="T3" s="771"/>
      <c r="U3" s="771"/>
      <c r="V3" s="771"/>
      <c r="W3" s="771"/>
      <c r="X3" s="771"/>
      <c r="Y3" s="771"/>
      <c r="Z3" s="771"/>
      <c r="AA3" s="771"/>
      <c r="AB3" s="771"/>
      <c r="AC3" s="771"/>
      <c r="AD3" s="771"/>
      <c r="AE3" s="771"/>
      <c r="AF3" s="771"/>
      <c r="AG3" s="771"/>
      <c r="AH3" s="771"/>
      <c r="AI3" s="771"/>
      <c r="AJ3" s="771"/>
      <c r="AK3" s="771"/>
      <c r="AL3" s="771"/>
      <c r="AM3" s="771"/>
      <c r="AN3" s="771"/>
      <c r="AO3" s="771"/>
      <c r="AP3" s="771"/>
      <c r="AQ3" s="771"/>
      <c r="AR3" s="771"/>
      <c r="AS3" s="771"/>
      <c r="AT3" s="771"/>
      <c r="AU3" s="771"/>
      <c r="AV3" s="771"/>
      <c r="AW3" s="771"/>
      <c r="AX3" s="771"/>
      <c r="AY3" s="771"/>
      <c r="AZ3" s="771"/>
      <c r="BA3" s="771"/>
      <c r="BB3" s="771"/>
      <c r="BC3" s="771"/>
      <c r="BD3" s="771"/>
      <c r="BE3" s="771"/>
      <c r="BF3" s="771"/>
      <c r="BG3" s="771"/>
      <c r="BH3" s="771"/>
      <c r="BI3" s="771"/>
      <c r="BJ3" s="771"/>
      <c r="BK3" s="771"/>
      <c r="BL3" s="771"/>
      <c r="BM3" s="771"/>
      <c r="BN3" s="771"/>
      <c r="BO3" s="771"/>
      <c r="BP3" s="771"/>
      <c r="BQ3" s="771"/>
      <c r="BR3" s="771"/>
      <c r="BS3" s="771"/>
      <c r="BT3" s="771"/>
      <c r="BU3" s="771"/>
      <c r="BV3" s="771"/>
      <c r="BW3" s="771"/>
      <c r="BX3" s="771"/>
      <c r="BY3" s="771"/>
      <c r="BZ3" s="771"/>
      <c r="CA3" s="771"/>
      <c r="CB3" s="771"/>
      <c r="CC3" s="771"/>
      <c r="CD3" s="771"/>
      <c r="CE3" s="771"/>
      <c r="CF3" s="771"/>
      <c r="CG3" s="771"/>
      <c r="CH3" s="771"/>
      <c r="CI3" s="771"/>
      <c r="CJ3" s="771"/>
      <c r="CK3" s="771"/>
      <c r="CL3" s="771"/>
      <c r="CM3" s="771"/>
      <c r="CN3" s="771"/>
      <c r="CO3" s="771"/>
      <c r="CP3" s="771"/>
      <c r="CQ3" s="771"/>
      <c r="CR3" s="771"/>
      <c r="CS3" s="771"/>
      <c r="CT3" s="771"/>
      <c r="CU3" s="771"/>
      <c r="CV3" s="771"/>
      <c r="CW3" s="771"/>
      <c r="CX3" s="771"/>
      <c r="CY3" s="771"/>
      <c r="CZ3" s="771"/>
      <c r="DA3" s="771"/>
      <c r="DB3" s="771"/>
      <c r="DC3" s="771"/>
      <c r="DD3" s="771"/>
      <c r="DE3" s="771"/>
      <c r="DF3" s="771"/>
      <c r="DG3" s="771"/>
      <c r="DH3" s="771"/>
      <c r="DI3" s="771"/>
      <c r="DJ3" s="771"/>
      <c r="DK3" s="771"/>
      <c r="DL3" s="771"/>
      <c r="DM3" s="771"/>
      <c r="DN3" s="771"/>
      <c r="DO3" s="771"/>
      <c r="DP3" s="771"/>
      <c r="DQ3" s="771"/>
      <c r="DR3" s="771"/>
      <c r="DS3" s="771"/>
      <c r="DT3" s="771"/>
      <c r="DU3" s="771"/>
      <c r="DV3" s="771"/>
      <c r="DW3" s="771"/>
      <c r="DX3" s="771"/>
      <c r="DY3" s="771"/>
      <c r="DZ3" s="771"/>
      <c r="EA3" s="771"/>
      <c r="EB3" s="771"/>
      <c r="EC3" s="771"/>
      <c r="ED3" s="771"/>
      <c r="EE3" s="771"/>
      <c r="EF3" s="771"/>
      <c r="EG3" s="771"/>
      <c r="EH3" s="771"/>
      <c r="EI3" s="771"/>
      <c r="EJ3" s="771"/>
      <c r="EK3" s="771"/>
      <c r="EL3" s="771"/>
      <c r="EM3" s="771"/>
      <c r="EN3" s="771"/>
      <c r="EO3" s="771"/>
      <c r="EP3" s="771"/>
      <c r="EQ3" s="772"/>
      <c r="ER3" s="773" t="s">
        <v>3</v>
      </c>
      <c r="ES3" s="693"/>
      <c r="ET3" s="693"/>
      <c r="EU3" s="693"/>
      <c r="EV3" s="693"/>
      <c r="EW3" s="693"/>
      <c r="EX3" s="693"/>
      <c r="EY3" s="693"/>
      <c r="EZ3" s="693"/>
      <c r="FA3" s="695"/>
    </row>
    <row r="4" spans="1:157" ht="22.5" customHeight="1" thickBot="1" x14ac:dyDescent="0.3">
      <c r="A4" s="775" t="s">
        <v>4</v>
      </c>
      <c r="B4" s="693"/>
      <c r="C4" s="693"/>
      <c r="D4" s="693"/>
      <c r="E4" s="695"/>
      <c r="F4" s="712" t="s">
        <v>5</v>
      </c>
      <c r="G4" s="693"/>
      <c r="H4" s="693"/>
      <c r="I4" s="693"/>
      <c r="J4" s="693"/>
      <c r="K4" s="693"/>
      <c r="L4" s="693"/>
      <c r="M4" s="693"/>
      <c r="N4" s="693"/>
      <c r="O4" s="693"/>
      <c r="P4" s="693"/>
      <c r="Q4" s="693"/>
      <c r="R4" s="693"/>
      <c r="S4" s="693"/>
      <c r="T4" s="693"/>
      <c r="U4" s="693"/>
      <c r="V4" s="693"/>
      <c r="W4" s="693"/>
      <c r="X4" s="693"/>
      <c r="Y4" s="693"/>
      <c r="Z4" s="693"/>
      <c r="AA4" s="693"/>
      <c r="AB4" s="693"/>
      <c r="AC4" s="693"/>
      <c r="AD4" s="693"/>
      <c r="AE4" s="693"/>
      <c r="AF4" s="693"/>
      <c r="AG4" s="693"/>
      <c r="AH4" s="693"/>
      <c r="AI4" s="693"/>
      <c r="AJ4" s="693"/>
      <c r="AK4" s="693"/>
      <c r="AL4" s="693"/>
      <c r="AM4" s="693"/>
      <c r="AN4" s="693"/>
      <c r="AO4" s="693"/>
      <c r="AP4" s="693"/>
      <c r="AQ4" s="693"/>
      <c r="AR4" s="693"/>
      <c r="AS4" s="693"/>
      <c r="AT4" s="693"/>
      <c r="AU4" s="693"/>
      <c r="AV4" s="693"/>
      <c r="AW4" s="693"/>
      <c r="AX4" s="693"/>
      <c r="AY4" s="693"/>
      <c r="AZ4" s="693"/>
      <c r="BA4" s="693"/>
      <c r="BB4" s="693"/>
      <c r="BC4" s="693"/>
      <c r="BD4" s="693"/>
      <c r="BE4" s="693"/>
      <c r="BF4" s="693"/>
      <c r="BG4" s="693"/>
      <c r="BH4" s="693"/>
      <c r="BI4" s="693"/>
      <c r="BJ4" s="693"/>
      <c r="BK4" s="693"/>
      <c r="BL4" s="693"/>
      <c r="BM4" s="693"/>
      <c r="BN4" s="693"/>
      <c r="BO4" s="693"/>
      <c r="BP4" s="693"/>
      <c r="BQ4" s="693"/>
      <c r="BR4" s="693"/>
      <c r="BS4" s="693"/>
      <c r="BT4" s="693"/>
      <c r="BU4" s="693"/>
      <c r="BV4" s="693"/>
      <c r="BW4" s="693"/>
      <c r="BX4" s="693"/>
      <c r="BY4" s="693"/>
      <c r="BZ4" s="693"/>
      <c r="CA4" s="693"/>
      <c r="CB4" s="693"/>
      <c r="CC4" s="693"/>
      <c r="CD4" s="693"/>
      <c r="CE4" s="693"/>
      <c r="CF4" s="693"/>
      <c r="CG4" s="693"/>
      <c r="CH4" s="693"/>
      <c r="CI4" s="693"/>
      <c r="CJ4" s="693"/>
      <c r="CK4" s="693"/>
      <c r="CL4" s="693"/>
      <c r="CM4" s="693"/>
      <c r="CN4" s="693"/>
      <c r="CO4" s="693"/>
      <c r="CP4" s="693"/>
      <c r="CQ4" s="693"/>
      <c r="CR4" s="693"/>
      <c r="CS4" s="693"/>
      <c r="CT4" s="693"/>
      <c r="CU4" s="693"/>
      <c r="CV4" s="693"/>
      <c r="CW4" s="693"/>
      <c r="CX4" s="693"/>
      <c r="CY4" s="693"/>
      <c r="CZ4" s="693"/>
      <c r="DA4" s="693"/>
      <c r="DB4" s="693"/>
      <c r="DC4" s="693"/>
      <c r="DD4" s="693"/>
      <c r="DE4" s="693"/>
      <c r="DF4" s="693"/>
      <c r="DG4" s="693"/>
      <c r="DH4" s="693"/>
      <c r="DI4" s="693"/>
      <c r="DJ4" s="693"/>
      <c r="DK4" s="693"/>
      <c r="DL4" s="693"/>
      <c r="DM4" s="693"/>
      <c r="DN4" s="693"/>
      <c r="DO4" s="693"/>
      <c r="DP4" s="693"/>
      <c r="DQ4" s="693"/>
      <c r="DR4" s="693"/>
      <c r="DS4" s="693"/>
      <c r="DT4" s="693"/>
      <c r="DU4" s="693"/>
      <c r="DV4" s="693"/>
      <c r="DW4" s="693"/>
      <c r="DX4" s="693"/>
      <c r="DY4" s="693"/>
      <c r="DZ4" s="693"/>
      <c r="EA4" s="693"/>
      <c r="EB4" s="693"/>
      <c r="EC4" s="693"/>
      <c r="ED4" s="693"/>
      <c r="EE4" s="693"/>
      <c r="EF4" s="693"/>
      <c r="EG4" s="693"/>
      <c r="EH4" s="693"/>
      <c r="EI4" s="693"/>
      <c r="EJ4" s="693"/>
      <c r="EK4" s="693"/>
      <c r="EL4" s="693"/>
      <c r="EM4" s="693"/>
      <c r="EN4" s="693"/>
      <c r="EO4" s="693"/>
      <c r="EP4" s="693"/>
      <c r="EQ4" s="693"/>
      <c r="ER4" s="693"/>
      <c r="ES4" s="693"/>
      <c r="ET4" s="693"/>
      <c r="EU4" s="693"/>
      <c r="EV4" s="693"/>
      <c r="EW4" s="693"/>
      <c r="EX4" s="693"/>
      <c r="EY4" s="693"/>
      <c r="EZ4" s="693"/>
      <c r="FA4" s="695"/>
    </row>
    <row r="5" spans="1:157" ht="38.25" customHeight="1" thickBot="1" x14ac:dyDescent="0.3">
      <c r="A5" s="775" t="s">
        <v>6</v>
      </c>
      <c r="B5" s="693"/>
      <c r="C5" s="693"/>
      <c r="D5" s="693"/>
      <c r="E5" s="695"/>
      <c r="F5" s="712" t="s">
        <v>7</v>
      </c>
      <c r="G5" s="693"/>
      <c r="H5" s="693"/>
      <c r="I5" s="693"/>
      <c r="J5" s="693"/>
      <c r="K5" s="693"/>
      <c r="L5" s="693"/>
      <c r="M5" s="693"/>
      <c r="N5" s="693"/>
      <c r="O5" s="693"/>
      <c r="P5" s="693"/>
      <c r="Q5" s="693"/>
      <c r="R5" s="693"/>
      <c r="S5" s="693"/>
      <c r="T5" s="693"/>
      <c r="U5" s="693"/>
      <c r="V5" s="693"/>
      <c r="W5" s="693"/>
      <c r="X5" s="693"/>
      <c r="Y5" s="693"/>
      <c r="Z5" s="693"/>
      <c r="AA5" s="693"/>
      <c r="AB5" s="693"/>
      <c r="AC5" s="693"/>
      <c r="AD5" s="693"/>
      <c r="AE5" s="693"/>
      <c r="AF5" s="693"/>
      <c r="AG5" s="693"/>
      <c r="AH5" s="693"/>
      <c r="AI5" s="693"/>
      <c r="AJ5" s="693"/>
      <c r="AK5" s="693"/>
      <c r="AL5" s="693"/>
      <c r="AM5" s="693"/>
      <c r="AN5" s="693"/>
      <c r="AO5" s="693"/>
      <c r="AP5" s="693"/>
      <c r="AQ5" s="693"/>
      <c r="AR5" s="693"/>
      <c r="AS5" s="693"/>
      <c r="AT5" s="693"/>
      <c r="AU5" s="693"/>
      <c r="AV5" s="693"/>
      <c r="AW5" s="693"/>
      <c r="AX5" s="693"/>
      <c r="AY5" s="693"/>
      <c r="AZ5" s="693"/>
      <c r="BA5" s="693"/>
      <c r="BB5" s="693"/>
      <c r="BC5" s="693"/>
      <c r="BD5" s="693"/>
      <c r="BE5" s="693"/>
      <c r="BF5" s="693"/>
      <c r="BG5" s="693"/>
      <c r="BH5" s="693"/>
      <c r="BI5" s="693"/>
      <c r="BJ5" s="693"/>
      <c r="BK5" s="693"/>
      <c r="BL5" s="693"/>
      <c r="BM5" s="693"/>
      <c r="BN5" s="693"/>
      <c r="BO5" s="693"/>
      <c r="BP5" s="693"/>
      <c r="BQ5" s="693"/>
      <c r="BR5" s="693"/>
      <c r="BS5" s="693"/>
      <c r="BT5" s="693"/>
      <c r="BU5" s="693"/>
      <c r="BV5" s="693"/>
      <c r="BW5" s="693"/>
      <c r="BX5" s="693"/>
      <c r="BY5" s="693"/>
      <c r="BZ5" s="693"/>
      <c r="CA5" s="693"/>
      <c r="CB5" s="693"/>
      <c r="CC5" s="693"/>
      <c r="CD5" s="693"/>
      <c r="CE5" s="693"/>
      <c r="CF5" s="693"/>
      <c r="CG5" s="693"/>
      <c r="CH5" s="693"/>
      <c r="CI5" s="693"/>
      <c r="CJ5" s="693"/>
      <c r="CK5" s="693"/>
      <c r="CL5" s="693"/>
      <c r="CM5" s="693"/>
      <c r="CN5" s="693"/>
      <c r="CO5" s="693"/>
      <c r="CP5" s="693"/>
      <c r="CQ5" s="693"/>
      <c r="CR5" s="693"/>
      <c r="CS5" s="693"/>
      <c r="CT5" s="693"/>
      <c r="CU5" s="693"/>
      <c r="CV5" s="693"/>
      <c r="CW5" s="693"/>
      <c r="CX5" s="693"/>
      <c r="CY5" s="693"/>
      <c r="CZ5" s="693"/>
      <c r="DA5" s="693"/>
      <c r="DB5" s="693"/>
      <c r="DC5" s="693"/>
      <c r="DD5" s="693"/>
      <c r="DE5" s="693"/>
      <c r="DF5" s="693"/>
      <c r="DG5" s="693"/>
      <c r="DH5" s="693"/>
      <c r="DI5" s="693"/>
      <c r="DJ5" s="693"/>
      <c r="DK5" s="693"/>
      <c r="DL5" s="693"/>
      <c r="DM5" s="693"/>
      <c r="DN5" s="693"/>
      <c r="DO5" s="693"/>
      <c r="DP5" s="693"/>
      <c r="DQ5" s="693"/>
      <c r="DR5" s="693"/>
      <c r="DS5" s="693"/>
      <c r="DT5" s="693"/>
      <c r="DU5" s="693"/>
      <c r="DV5" s="693"/>
      <c r="DW5" s="693"/>
      <c r="DX5" s="693"/>
      <c r="DY5" s="693"/>
      <c r="DZ5" s="693"/>
      <c r="EA5" s="693"/>
      <c r="EB5" s="693"/>
      <c r="EC5" s="693"/>
      <c r="ED5" s="693"/>
      <c r="EE5" s="693"/>
      <c r="EF5" s="693"/>
      <c r="EG5" s="693"/>
      <c r="EH5" s="693"/>
      <c r="EI5" s="693"/>
      <c r="EJ5" s="693"/>
      <c r="EK5" s="693"/>
      <c r="EL5" s="693"/>
      <c r="EM5" s="693"/>
      <c r="EN5" s="693"/>
      <c r="EO5" s="693"/>
      <c r="EP5" s="693"/>
      <c r="EQ5" s="693"/>
      <c r="ER5" s="693"/>
      <c r="ES5" s="693"/>
      <c r="ET5" s="693"/>
      <c r="EU5" s="693"/>
      <c r="EV5" s="693"/>
      <c r="EW5" s="693"/>
      <c r="EX5" s="693"/>
      <c r="EY5" s="693"/>
      <c r="EZ5" s="693"/>
      <c r="FA5" s="695"/>
    </row>
    <row r="6" spans="1:157" ht="15.75" customHeight="1" thickBot="1" x14ac:dyDescent="0.3">
      <c r="A6" s="774"/>
      <c r="B6" s="774"/>
      <c r="C6" s="774"/>
      <c r="D6" s="774"/>
      <c r="E6" s="774"/>
      <c r="F6" s="774"/>
      <c r="G6" s="774"/>
      <c r="H6" s="774"/>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4"/>
      <c r="AM6" s="774"/>
      <c r="AN6" s="774"/>
      <c r="AO6" s="774"/>
      <c r="AP6" s="774"/>
      <c r="AQ6" s="774"/>
      <c r="AR6" s="774"/>
      <c r="AS6" s="774"/>
      <c r="AT6" s="774"/>
      <c r="AU6" s="774"/>
      <c r="AV6" s="774"/>
      <c r="AW6" s="774"/>
      <c r="AX6" s="774"/>
      <c r="AY6" s="774"/>
      <c r="AZ6" s="774"/>
      <c r="BA6" s="774"/>
      <c r="BB6" s="774"/>
      <c r="BC6" s="774"/>
      <c r="BD6" s="774"/>
      <c r="BE6" s="774"/>
      <c r="BF6" s="774"/>
      <c r="BG6" s="774"/>
      <c r="BH6" s="774"/>
      <c r="BI6" s="774"/>
      <c r="BJ6" s="774"/>
      <c r="BK6" s="774"/>
      <c r="BL6" s="774"/>
      <c r="BM6" s="774"/>
      <c r="BN6" s="774"/>
      <c r="BO6" s="774"/>
      <c r="BP6" s="774"/>
      <c r="BQ6" s="774"/>
      <c r="BR6" s="774"/>
      <c r="BS6" s="774"/>
      <c r="BT6" s="774"/>
      <c r="BU6" s="774"/>
      <c r="BV6" s="774"/>
      <c r="BW6" s="774"/>
      <c r="BX6" s="774"/>
      <c r="BY6" s="774"/>
      <c r="BZ6" s="774"/>
      <c r="CA6" s="774"/>
      <c r="CB6" s="774"/>
      <c r="CC6" s="774"/>
      <c r="CD6" s="774"/>
      <c r="CE6" s="774"/>
      <c r="CF6" s="774"/>
      <c r="CG6" s="774"/>
      <c r="CH6" s="774"/>
      <c r="CI6" s="774"/>
      <c r="CJ6" s="774"/>
      <c r="CK6" s="774"/>
      <c r="CL6" s="774"/>
      <c r="CM6" s="774"/>
      <c r="CN6" s="774"/>
      <c r="CO6" s="774"/>
      <c r="CP6" s="774"/>
      <c r="CQ6" s="774"/>
      <c r="CR6" s="774"/>
      <c r="CS6" s="774"/>
      <c r="CT6" s="774"/>
      <c r="CU6" s="774"/>
      <c r="CV6" s="774"/>
      <c r="CW6" s="774"/>
      <c r="CX6" s="774"/>
      <c r="CY6" s="774"/>
      <c r="CZ6" s="774"/>
      <c r="DA6" s="774"/>
      <c r="DB6" s="774"/>
      <c r="DC6" s="774"/>
      <c r="DD6" s="774"/>
      <c r="DE6" s="774"/>
      <c r="DF6" s="774"/>
      <c r="DG6" s="774"/>
      <c r="DH6" s="774"/>
      <c r="DI6" s="774"/>
      <c r="DJ6" s="774"/>
      <c r="DK6" s="774"/>
      <c r="DL6" s="774"/>
      <c r="DM6" s="774"/>
      <c r="DN6" s="774"/>
      <c r="DO6" s="774"/>
      <c r="DP6" s="774"/>
      <c r="DQ6" s="774"/>
      <c r="DR6" s="774"/>
      <c r="DS6" s="774"/>
      <c r="DT6" s="774"/>
      <c r="DU6" s="774"/>
      <c r="DV6" s="774"/>
      <c r="DW6" s="774"/>
      <c r="DX6" s="774"/>
      <c r="DY6" s="774"/>
      <c r="DZ6" s="774"/>
      <c r="EA6" s="774"/>
      <c r="EB6" s="774"/>
      <c r="EC6" s="774"/>
      <c r="ED6" s="774"/>
      <c r="EE6" s="774"/>
      <c r="EF6" s="774"/>
      <c r="EG6" s="774"/>
      <c r="EH6" s="774"/>
      <c r="EI6" s="774"/>
      <c r="EJ6" s="774"/>
      <c r="EK6" s="774"/>
      <c r="EL6" s="774"/>
      <c r="EM6" s="774"/>
      <c r="EN6" s="774"/>
      <c r="EO6" s="774"/>
      <c r="EP6" s="774"/>
      <c r="EQ6" s="774"/>
      <c r="ER6" s="774"/>
      <c r="ES6" s="774"/>
      <c r="ET6" s="774"/>
      <c r="EU6" s="774"/>
      <c r="EV6" s="774"/>
      <c r="EW6" s="774"/>
      <c r="EX6" s="774"/>
      <c r="EY6" s="774"/>
      <c r="EZ6" s="774"/>
      <c r="FA6" s="774"/>
    </row>
    <row r="7" spans="1:157" s="306" customFormat="1" ht="24.75" customHeight="1" x14ac:dyDescent="0.25">
      <c r="A7" s="777" t="s">
        <v>88</v>
      </c>
      <c r="B7" s="741"/>
      <c r="C7" s="741"/>
      <c r="D7" s="741"/>
      <c r="E7" s="741"/>
      <c r="F7" s="741"/>
      <c r="G7" s="741"/>
      <c r="H7" s="736" t="s">
        <v>559</v>
      </c>
      <c r="I7" s="736"/>
      <c r="J7" s="736"/>
      <c r="K7" s="736"/>
      <c r="L7" s="736"/>
      <c r="M7" s="736"/>
      <c r="N7" s="736"/>
      <c r="O7" s="736"/>
      <c r="P7" s="736"/>
      <c r="Q7" s="736"/>
      <c r="R7" s="736"/>
      <c r="S7" s="736"/>
      <c r="T7" s="736"/>
      <c r="U7" s="736"/>
      <c r="V7" s="736"/>
      <c r="W7" s="736"/>
      <c r="X7" s="736"/>
      <c r="Y7" s="736"/>
      <c r="Z7" s="736"/>
      <c r="AA7" s="736"/>
      <c r="AB7" s="736"/>
      <c r="AC7" s="736"/>
      <c r="AD7" s="736"/>
      <c r="AE7" s="736"/>
      <c r="AF7" s="736"/>
      <c r="AG7" s="736"/>
      <c r="AH7" s="736"/>
      <c r="AI7" s="736"/>
      <c r="AJ7" s="736"/>
      <c r="AK7" s="736"/>
      <c r="AL7" s="736"/>
      <c r="AM7" s="736"/>
      <c r="AN7" s="736"/>
      <c r="AO7" s="736"/>
      <c r="AP7" s="736"/>
      <c r="AQ7" s="736"/>
      <c r="AR7" s="736"/>
      <c r="AS7" s="736"/>
      <c r="AT7" s="736"/>
      <c r="AU7" s="736"/>
      <c r="AV7" s="736"/>
      <c r="AW7" s="736"/>
      <c r="AX7" s="736"/>
      <c r="AY7" s="736"/>
      <c r="AZ7" s="736"/>
      <c r="BA7" s="736"/>
      <c r="BB7" s="736"/>
      <c r="BC7" s="736"/>
      <c r="BD7" s="736"/>
      <c r="BE7" s="736"/>
      <c r="BF7" s="736"/>
      <c r="BG7" s="736"/>
      <c r="BH7" s="736"/>
      <c r="BI7" s="736"/>
      <c r="BJ7" s="736"/>
      <c r="BK7" s="736"/>
      <c r="BL7" s="736"/>
      <c r="BM7" s="736"/>
      <c r="BN7" s="736"/>
      <c r="BO7" s="736"/>
      <c r="BP7" s="736"/>
      <c r="BQ7" s="736"/>
      <c r="BR7" s="736"/>
      <c r="BS7" s="736"/>
      <c r="BT7" s="736"/>
      <c r="BU7" s="736"/>
      <c r="BV7" s="736"/>
      <c r="BW7" s="736"/>
      <c r="BX7" s="736"/>
      <c r="BY7" s="736"/>
      <c r="BZ7" s="736"/>
      <c r="CA7" s="736"/>
      <c r="CB7" s="736"/>
      <c r="CC7" s="736"/>
      <c r="CD7" s="736"/>
      <c r="CE7" s="736"/>
      <c r="CF7" s="736"/>
      <c r="CG7" s="736"/>
      <c r="CH7" s="736"/>
      <c r="CI7" s="736"/>
      <c r="CJ7" s="736"/>
      <c r="CK7" s="736"/>
      <c r="CL7" s="736"/>
      <c r="CM7" s="736"/>
      <c r="CN7" s="736"/>
      <c r="CO7" s="736"/>
      <c r="CP7" s="736"/>
      <c r="CQ7" s="736"/>
      <c r="CR7" s="736"/>
      <c r="CS7" s="736"/>
      <c r="CT7" s="736"/>
      <c r="CU7" s="736"/>
      <c r="CV7" s="736"/>
      <c r="CW7" s="736"/>
      <c r="CX7" s="736"/>
      <c r="CY7" s="736"/>
      <c r="CZ7" s="736"/>
      <c r="DA7" s="736"/>
      <c r="DB7" s="736"/>
      <c r="DC7" s="736"/>
      <c r="DD7" s="736"/>
      <c r="DE7" s="736"/>
      <c r="DF7" s="736"/>
      <c r="DG7" s="736"/>
      <c r="DH7" s="736"/>
      <c r="DI7" s="736"/>
      <c r="DJ7" s="736"/>
      <c r="DK7" s="736"/>
      <c r="DL7" s="736"/>
      <c r="DM7" s="736"/>
      <c r="DN7" s="736"/>
      <c r="DO7" s="736"/>
      <c r="DP7" s="736"/>
      <c r="DQ7" s="736"/>
      <c r="DR7" s="736"/>
      <c r="DS7" s="736"/>
      <c r="DT7" s="736"/>
      <c r="DU7" s="736"/>
      <c r="DV7" s="736"/>
      <c r="DW7" s="736"/>
      <c r="DX7" s="736"/>
      <c r="DY7" s="736"/>
      <c r="DZ7" s="736"/>
      <c r="EA7" s="736"/>
      <c r="EB7" s="736"/>
      <c r="EC7" s="736"/>
      <c r="ED7" s="736"/>
      <c r="EE7" s="736"/>
      <c r="EF7" s="736"/>
      <c r="EG7" s="736"/>
      <c r="EH7" s="736"/>
      <c r="EI7" s="736"/>
      <c r="EJ7" s="736"/>
      <c r="EK7" s="736"/>
      <c r="EL7" s="736"/>
      <c r="EM7" s="736"/>
      <c r="EN7" s="736"/>
      <c r="EO7" s="736"/>
      <c r="EP7" s="736"/>
      <c r="EQ7" s="736"/>
      <c r="ER7" s="720" t="s">
        <v>14</v>
      </c>
      <c r="ES7" s="720" t="s">
        <v>15</v>
      </c>
      <c r="ET7" s="738" t="s">
        <v>16</v>
      </c>
      <c r="EU7" s="700" t="s">
        <v>560</v>
      </c>
      <c r="EV7" s="745" t="s">
        <v>18</v>
      </c>
      <c r="EW7" s="741" t="s">
        <v>19</v>
      </c>
      <c r="EX7" s="741" t="s">
        <v>20</v>
      </c>
      <c r="EY7" s="741" t="s">
        <v>21</v>
      </c>
      <c r="EZ7" s="741" t="s">
        <v>22</v>
      </c>
      <c r="FA7" s="779" t="s">
        <v>23</v>
      </c>
    </row>
    <row r="8" spans="1:157" s="306" customFormat="1" ht="42.75" customHeight="1" thickBot="1" x14ac:dyDescent="0.3">
      <c r="A8" s="778"/>
      <c r="B8" s="742"/>
      <c r="C8" s="742"/>
      <c r="D8" s="742"/>
      <c r="E8" s="742"/>
      <c r="F8" s="742"/>
      <c r="G8" s="742"/>
      <c r="H8" s="776" t="s">
        <v>89</v>
      </c>
      <c r="I8" s="776"/>
      <c r="J8" s="776"/>
      <c r="K8" s="776"/>
      <c r="L8" s="776"/>
      <c r="M8" s="776"/>
      <c r="N8" s="776"/>
      <c r="O8" s="776"/>
      <c r="P8" s="776"/>
      <c r="Q8" s="776"/>
      <c r="R8" s="776"/>
      <c r="S8" s="776"/>
      <c r="T8" s="776"/>
      <c r="U8" s="776"/>
      <c r="V8" s="776"/>
      <c r="W8" s="776"/>
      <c r="X8" s="776"/>
      <c r="Y8" s="776"/>
      <c r="Z8" s="776"/>
      <c r="AA8" s="776"/>
      <c r="AB8" s="776" t="s">
        <v>561</v>
      </c>
      <c r="AC8" s="776"/>
      <c r="AD8" s="776"/>
      <c r="AE8" s="776"/>
      <c r="AF8" s="776"/>
      <c r="AG8" s="776"/>
      <c r="AH8" s="776"/>
      <c r="AI8" s="776"/>
      <c r="AJ8" s="776"/>
      <c r="AK8" s="776"/>
      <c r="AL8" s="776"/>
      <c r="AM8" s="776"/>
      <c r="AN8" s="776"/>
      <c r="AO8" s="776"/>
      <c r="AP8" s="776"/>
      <c r="AQ8" s="776"/>
      <c r="AR8" s="776"/>
      <c r="AS8" s="776"/>
      <c r="AT8" s="776"/>
      <c r="AU8" s="776"/>
      <c r="AV8" s="776"/>
      <c r="AW8" s="776"/>
      <c r="AX8" s="776"/>
      <c r="AY8" s="776"/>
      <c r="AZ8" s="776"/>
      <c r="BA8" s="776"/>
      <c r="BB8" s="776"/>
      <c r="BC8" s="776"/>
      <c r="BD8" s="776"/>
      <c r="BE8" s="776"/>
      <c r="BF8" s="776" t="s">
        <v>27</v>
      </c>
      <c r="BG8" s="776"/>
      <c r="BH8" s="776"/>
      <c r="BI8" s="776"/>
      <c r="BJ8" s="776"/>
      <c r="BK8" s="776"/>
      <c r="BL8" s="776"/>
      <c r="BM8" s="776"/>
      <c r="BN8" s="776"/>
      <c r="BO8" s="776"/>
      <c r="BP8" s="776"/>
      <c r="BQ8" s="776"/>
      <c r="BR8" s="776"/>
      <c r="BS8" s="776"/>
      <c r="BT8" s="776"/>
      <c r="BU8" s="776"/>
      <c r="BV8" s="776"/>
      <c r="BW8" s="776"/>
      <c r="BX8" s="776"/>
      <c r="BY8" s="776"/>
      <c r="BZ8" s="776"/>
      <c r="CA8" s="776"/>
      <c r="CB8" s="776"/>
      <c r="CC8" s="776"/>
      <c r="CD8" s="776"/>
      <c r="CE8" s="776"/>
      <c r="CF8" s="776"/>
      <c r="CG8" s="776"/>
      <c r="CH8" s="776"/>
      <c r="CI8" s="776"/>
      <c r="CJ8" s="776" t="s">
        <v>28</v>
      </c>
      <c r="CK8" s="776"/>
      <c r="CL8" s="776"/>
      <c r="CM8" s="776"/>
      <c r="CN8" s="776"/>
      <c r="CO8" s="776"/>
      <c r="CP8" s="776"/>
      <c r="CQ8" s="776"/>
      <c r="CR8" s="776"/>
      <c r="CS8" s="776"/>
      <c r="CT8" s="776"/>
      <c r="CU8" s="776"/>
      <c r="CV8" s="776"/>
      <c r="CW8" s="776"/>
      <c r="CX8" s="776"/>
      <c r="CY8" s="776"/>
      <c r="CZ8" s="776"/>
      <c r="DA8" s="776"/>
      <c r="DB8" s="776"/>
      <c r="DC8" s="776"/>
      <c r="DD8" s="776"/>
      <c r="DE8" s="776"/>
      <c r="DF8" s="776"/>
      <c r="DG8" s="776"/>
      <c r="DH8" s="776"/>
      <c r="DI8" s="776"/>
      <c r="DJ8" s="776"/>
      <c r="DK8" s="776"/>
      <c r="DL8" s="776"/>
      <c r="DM8" s="776"/>
      <c r="DN8" s="776" t="s">
        <v>29</v>
      </c>
      <c r="DO8" s="776"/>
      <c r="DP8" s="776"/>
      <c r="DQ8" s="776"/>
      <c r="DR8" s="776"/>
      <c r="DS8" s="776"/>
      <c r="DT8" s="776"/>
      <c r="DU8" s="776"/>
      <c r="DV8" s="776"/>
      <c r="DW8" s="776"/>
      <c r="DX8" s="776"/>
      <c r="DY8" s="776"/>
      <c r="DZ8" s="776"/>
      <c r="EA8" s="776"/>
      <c r="EB8" s="776"/>
      <c r="EC8" s="776"/>
      <c r="ED8" s="776"/>
      <c r="EE8" s="776"/>
      <c r="EF8" s="776"/>
      <c r="EG8" s="776"/>
      <c r="EH8" s="776"/>
      <c r="EI8" s="776"/>
      <c r="EJ8" s="776"/>
      <c r="EK8" s="776"/>
      <c r="EL8" s="776"/>
      <c r="EM8" s="776"/>
      <c r="EN8" s="776"/>
      <c r="EO8" s="776"/>
      <c r="EP8" s="776"/>
      <c r="EQ8" s="776"/>
      <c r="ER8" s="721"/>
      <c r="ES8" s="721"/>
      <c r="ET8" s="739"/>
      <c r="EU8" s="701"/>
      <c r="EV8" s="746"/>
      <c r="EW8" s="742"/>
      <c r="EX8" s="742"/>
      <c r="EY8" s="742"/>
      <c r="EZ8" s="742"/>
      <c r="FA8" s="780"/>
    </row>
    <row r="9" spans="1:157" s="306" customFormat="1" ht="92.25" customHeight="1" thickBot="1" x14ac:dyDescent="0.3">
      <c r="A9" s="307" t="s">
        <v>90</v>
      </c>
      <c r="B9" s="308" t="s">
        <v>91</v>
      </c>
      <c r="C9" s="308" t="s">
        <v>92</v>
      </c>
      <c r="D9" s="308" t="s">
        <v>93</v>
      </c>
      <c r="E9" s="308" t="s">
        <v>94</v>
      </c>
      <c r="F9" s="309" t="s">
        <v>95</v>
      </c>
      <c r="G9" s="310" t="s">
        <v>96</v>
      </c>
      <c r="H9" s="311" t="s">
        <v>562</v>
      </c>
      <c r="I9" s="312" t="s">
        <v>563</v>
      </c>
      <c r="J9" s="309" t="s">
        <v>564</v>
      </c>
      <c r="K9" s="312" t="s">
        <v>565</v>
      </c>
      <c r="L9" s="309" t="s">
        <v>566</v>
      </c>
      <c r="M9" s="312" t="s">
        <v>567</v>
      </c>
      <c r="N9" s="309" t="s">
        <v>568</v>
      </c>
      <c r="O9" s="312" t="s">
        <v>569</v>
      </c>
      <c r="P9" s="309" t="s">
        <v>570</v>
      </c>
      <c r="Q9" s="312" t="s">
        <v>571</v>
      </c>
      <c r="R9" s="309" t="s">
        <v>572</v>
      </c>
      <c r="S9" s="312" t="s">
        <v>573</v>
      </c>
      <c r="T9" s="309" t="s">
        <v>574</v>
      </c>
      <c r="U9" s="312" t="s">
        <v>575</v>
      </c>
      <c r="V9" s="309" t="s">
        <v>576</v>
      </c>
      <c r="W9" s="310" t="s">
        <v>39</v>
      </c>
      <c r="X9" s="313" t="s">
        <v>40</v>
      </c>
      <c r="Y9" s="309" t="s">
        <v>41</v>
      </c>
      <c r="Z9" s="312" t="s">
        <v>42</v>
      </c>
      <c r="AA9" s="309" t="s">
        <v>43</v>
      </c>
      <c r="AB9" s="311" t="s">
        <v>562</v>
      </c>
      <c r="AC9" s="312" t="s">
        <v>577</v>
      </c>
      <c r="AD9" s="309" t="s">
        <v>578</v>
      </c>
      <c r="AE9" s="312" t="s">
        <v>579</v>
      </c>
      <c r="AF9" s="309" t="s">
        <v>580</v>
      </c>
      <c r="AG9" s="312" t="s">
        <v>581</v>
      </c>
      <c r="AH9" s="309" t="s">
        <v>582</v>
      </c>
      <c r="AI9" s="312" t="s">
        <v>583</v>
      </c>
      <c r="AJ9" s="309" t="s">
        <v>584</v>
      </c>
      <c r="AK9" s="312" t="s">
        <v>585</v>
      </c>
      <c r="AL9" s="309" t="s">
        <v>586</v>
      </c>
      <c r="AM9" s="312" t="s">
        <v>563</v>
      </c>
      <c r="AN9" s="309" t="s">
        <v>564</v>
      </c>
      <c r="AO9" s="312" t="s">
        <v>565</v>
      </c>
      <c r="AP9" s="309" t="s">
        <v>566</v>
      </c>
      <c r="AQ9" s="312" t="s">
        <v>567</v>
      </c>
      <c r="AR9" s="309" t="s">
        <v>568</v>
      </c>
      <c r="AS9" s="312" t="s">
        <v>569</v>
      </c>
      <c r="AT9" s="309" t="s">
        <v>570</v>
      </c>
      <c r="AU9" s="312" t="s">
        <v>571</v>
      </c>
      <c r="AV9" s="309" t="s">
        <v>572</v>
      </c>
      <c r="AW9" s="312" t="s">
        <v>573</v>
      </c>
      <c r="AX9" s="309" t="s">
        <v>574</v>
      </c>
      <c r="AY9" s="312" t="s">
        <v>575</v>
      </c>
      <c r="AZ9" s="309" t="s">
        <v>576</v>
      </c>
      <c r="BA9" s="310" t="s">
        <v>39</v>
      </c>
      <c r="BB9" s="313" t="s">
        <v>587</v>
      </c>
      <c r="BC9" s="309" t="s">
        <v>588</v>
      </c>
      <c r="BD9" s="312" t="s">
        <v>589</v>
      </c>
      <c r="BE9" s="309" t="s">
        <v>590</v>
      </c>
      <c r="BF9" s="311" t="s">
        <v>562</v>
      </c>
      <c r="BG9" s="312" t="s">
        <v>577</v>
      </c>
      <c r="BH9" s="309" t="s">
        <v>578</v>
      </c>
      <c r="BI9" s="312" t="s">
        <v>579</v>
      </c>
      <c r="BJ9" s="309" t="s">
        <v>580</v>
      </c>
      <c r="BK9" s="312" t="s">
        <v>581</v>
      </c>
      <c r="BL9" s="309" t="s">
        <v>582</v>
      </c>
      <c r="BM9" s="312" t="s">
        <v>583</v>
      </c>
      <c r="BN9" s="309" t="s">
        <v>584</v>
      </c>
      <c r="BO9" s="312" t="s">
        <v>585</v>
      </c>
      <c r="BP9" s="309" t="s">
        <v>586</v>
      </c>
      <c r="BQ9" s="312" t="s">
        <v>563</v>
      </c>
      <c r="BR9" s="309" t="s">
        <v>564</v>
      </c>
      <c r="BS9" s="312" t="s">
        <v>565</v>
      </c>
      <c r="BT9" s="309" t="s">
        <v>566</v>
      </c>
      <c r="BU9" s="312" t="s">
        <v>567</v>
      </c>
      <c r="BV9" s="309" t="s">
        <v>568</v>
      </c>
      <c r="BW9" s="312" t="s">
        <v>569</v>
      </c>
      <c r="BX9" s="309" t="s">
        <v>570</v>
      </c>
      <c r="BY9" s="312" t="s">
        <v>571</v>
      </c>
      <c r="BZ9" s="309" t="s">
        <v>572</v>
      </c>
      <c r="CA9" s="312" t="s">
        <v>573</v>
      </c>
      <c r="CB9" s="309" t="s">
        <v>574</v>
      </c>
      <c r="CC9" s="312" t="s">
        <v>575</v>
      </c>
      <c r="CD9" s="309" t="s">
        <v>576</v>
      </c>
      <c r="CE9" s="314" t="s">
        <v>39</v>
      </c>
      <c r="CF9" s="315" t="s">
        <v>47</v>
      </c>
      <c r="CG9" s="316" t="s">
        <v>48</v>
      </c>
      <c r="CH9" s="317" t="s">
        <v>49</v>
      </c>
      <c r="CI9" s="316" t="s">
        <v>50</v>
      </c>
      <c r="CJ9" s="311" t="s">
        <v>562</v>
      </c>
      <c r="CK9" s="312" t="s">
        <v>577</v>
      </c>
      <c r="CL9" s="309" t="s">
        <v>578</v>
      </c>
      <c r="CM9" s="312" t="s">
        <v>579</v>
      </c>
      <c r="CN9" s="309" t="s">
        <v>580</v>
      </c>
      <c r="CO9" s="312" t="s">
        <v>581</v>
      </c>
      <c r="CP9" s="309" t="s">
        <v>582</v>
      </c>
      <c r="CQ9" s="312" t="s">
        <v>583</v>
      </c>
      <c r="CR9" s="309" t="s">
        <v>584</v>
      </c>
      <c r="CS9" s="312" t="s">
        <v>585</v>
      </c>
      <c r="CT9" s="309" t="s">
        <v>586</v>
      </c>
      <c r="CU9" s="312" t="s">
        <v>563</v>
      </c>
      <c r="CV9" s="309" t="s">
        <v>564</v>
      </c>
      <c r="CW9" s="312" t="s">
        <v>565</v>
      </c>
      <c r="CX9" s="309" t="s">
        <v>566</v>
      </c>
      <c r="CY9" s="312" t="s">
        <v>567</v>
      </c>
      <c r="CZ9" s="309" t="s">
        <v>568</v>
      </c>
      <c r="DA9" s="312" t="s">
        <v>569</v>
      </c>
      <c r="DB9" s="309" t="s">
        <v>570</v>
      </c>
      <c r="DC9" s="312" t="s">
        <v>571</v>
      </c>
      <c r="DD9" s="309" t="s">
        <v>572</v>
      </c>
      <c r="DE9" s="312" t="s">
        <v>573</v>
      </c>
      <c r="DF9" s="309" t="s">
        <v>574</v>
      </c>
      <c r="DG9" s="312" t="s">
        <v>575</v>
      </c>
      <c r="DH9" s="309" t="s">
        <v>576</v>
      </c>
      <c r="DI9" s="310" t="s">
        <v>39</v>
      </c>
      <c r="DJ9" s="313" t="s">
        <v>51</v>
      </c>
      <c r="DK9" s="309" t="s">
        <v>52</v>
      </c>
      <c r="DL9" s="313" t="s">
        <v>53</v>
      </c>
      <c r="DM9" s="309" t="s">
        <v>54</v>
      </c>
      <c r="DN9" s="311" t="s">
        <v>562</v>
      </c>
      <c r="DO9" s="312" t="s">
        <v>577</v>
      </c>
      <c r="DP9" s="309" t="s">
        <v>578</v>
      </c>
      <c r="DQ9" s="312" t="s">
        <v>579</v>
      </c>
      <c r="DR9" s="309" t="s">
        <v>580</v>
      </c>
      <c r="DS9" s="312" t="s">
        <v>581</v>
      </c>
      <c r="DT9" s="309" t="s">
        <v>582</v>
      </c>
      <c r="DU9" s="312" t="s">
        <v>583</v>
      </c>
      <c r="DV9" s="309" t="s">
        <v>584</v>
      </c>
      <c r="DW9" s="312" t="s">
        <v>585</v>
      </c>
      <c r="DX9" s="309" t="s">
        <v>586</v>
      </c>
      <c r="DY9" s="312" t="s">
        <v>563</v>
      </c>
      <c r="DZ9" s="309" t="s">
        <v>564</v>
      </c>
      <c r="EA9" s="312" t="s">
        <v>565</v>
      </c>
      <c r="EB9" s="309" t="s">
        <v>566</v>
      </c>
      <c r="EC9" s="312" t="s">
        <v>567</v>
      </c>
      <c r="ED9" s="309" t="s">
        <v>568</v>
      </c>
      <c r="EE9" s="312" t="s">
        <v>569</v>
      </c>
      <c r="EF9" s="309" t="s">
        <v>570</v>
      </c>
      <c r="EG9" s="312" t="s">
        <v>571</v>
      </c>
      <c r="EH9" s="309" t="s">
        <v>572</v>
      </c>
      <c r="EI9" s="312" t="s">
        <v>573</v>
      </c>
      <c r="EJ9" s="309" t="s">
        <v>574</v>
      </c>
      <c r="EK9" s="312" t="s">
        <v>575</v>
      </c>
      <c r="EL9" s="309" t="s">
        <v>576</v>
      </c>
      <c r="EM9" s="310" t="s">
        <v>39</v>
      </c>
      <c r="EN9" s="313" t="s">
        <v>55</v>
      </c>
      <c r="EO9" s="309" t="s">
        <v>56</v>
      </c>
      <c r="EP9" s="313" t="s">
        <v>57</v>
      </c>
      <c r="EQ9" s="309" t="s">
        <v>58</v>
      </c>
      <c r="ER9" s="737"/>
      <c r="ES9" s="737"/>
      <c r="ET9" s="740"/>
      <c r="EU9" s="744"/>
      <c r="EV9" s="747"/>
      <c r="EW9" s="743"/>
      <c r="EX9" s="743"/>
      <c r="EY9" s="743"/>
      <c r="EZ9" s="743"/>
      <c r="FA9" s="781"/>
    </row>
    <row r="10" spans="1:157" ht="27" customHeight="1" x14ac:dyDescent="0.25">
      <c r="A10" s="748" t="s">
        <v>97</v>
      </c>
      <c r="B10" s="755">
        <v>1</v>
      </c>
      <c r="C10" s="758" t="s">
        <v>98</v>
      </c>
      <c r="D10" s="754" t="s">
        <v>99</v>
      </c>
      <c r="E10" s="759">
        <v>202</v>
      </c>
      <c r="F10" s="318" t="s">
        <v>100</v>
      </c>
      <c r="G10" s="463">
        <v>75</v>
      </c>
      <c r="H10" s="464">
        <v>46</v>
      </c>
      <c r="I10" s="464">
        <v>46</v>
      </c>
      <c r="J10" s="464">
        <v>0</v>
      </c>
      <c r="K10" s="464">
        <v>46</v>
      </c>
      <c r="L10" s="464">
        <v>0</v>
      </c>
      <c r="M10" s="464">
        <v>46</v>
      </c>
      <c r="N10" s="463">
        <v>44.02</v>
      </c>
      <c r="O10" s="464">
        <v>46</v>
      </c>
      <c r="P10" s="463">
        <v>44.39</v>
      </c>
      <c r="Q10" s="464">
        <v>46</v>
      </c>
      <c r="R10" s="463">
        <f>+[1]GESTIÓN!T13</f>
        <v>44.87</v>
      </c>
      <c r="S10" s="464">
        <v>46</v>
      </c>
      <c r="T10" s="463">
        <f>+[1]GESTIÓN!V13</f>
        <v>45.54</v>
      </c>
      <c r="U10" s="463">
        <v>46</v>
      </c>
      <c r="V10" s="463">
        <v>45.92</v>
      </c>
      <c r="W10" s="463"/>
      <c r="X10" s="463"/>
      <c r="Y10" s="463"/>
      <c r="Z10" s="463">
        <v>46</v>
      </c>
      <c r="AA10" s="463">
        <v>45.92</v>
      </c>
      <c r="AB10" s="463">
        <v>56</v>
      </c>
      <c r="AC10" s="464">
        <v>0.36</v>
      </c>
      <c r="AD10" s="464">
        <v>0.36</v>
      </c>
      <c r="AE10" s="464">
        <v>0.36</v>
      </c>
      <c r="AF10" s="464">
        <v>0.36</v>
      </c>
      <c r="AG10" s="464">
        <v>0.38</v>
      </c>
      <c r="AH10" s="464">
        <v>0.38</v>
      </c>
      <c r="AI10" s="464">
        <v>0.08</v>
      </c>
      <c r="AJ10" s="464">
        <v>0.08</v>
      </c>
      <c r="AK10" s="464">
        <v>0.3</v>
      </c>
      <c r="AL10" s="464">
        <v>0.2</v>
      </c>
      <c r="AM10" s="464">
        <v>0.85</v>
      </c>
      <c r="AN10" s="464">
        <v>0.51</v>
      </c>
      <c r="AO10" s="464">
        <v>0.95</v>
      </c>
      <c r="AP10" s="464">
        <v>0.93</v>
      </c>
      <c r="AQ10" s="464">
        <v>0.98</v>
      </c>
      <c r="AR10" s="464">
        <v>0.45</v>
      </c>
      <c r="AS10" s="464">
        <v>0.98</v>
      </c>
      <c r="AT10" s="464">
        <v>0.76</v>
      </c>
      <c r="AU10" s="464">
        <v>0.98</v>
      </c>
      <c r="AV10" s="464">
        <v>0.91</v>
      </c>
      <c r="AW10" s="464">
        <v>0.98</v>
      </c>
      <c r="AX10" s="464">
        <v>0.8</v>
      </c>
      <c r="AY10" s="464">
        <v>2.88</v>
      </c>
      <c r="AZ10" s="465">
        <v>0.53</v>
      </c>
      <c r="BA10" s="463">
        <f>AC10+AE10+AG10+AI10+AK10+AM10+AO10+AQ10+AS10+AU10+AW10+AY10</f>
        <v>10.080000000000002</v>
      </c>
      <c r="BB10" s="463">
        <f t="shared" ref="BB10:BC12" si="0">AC10+AE10+AG10+AI10+AK10+AM10+AO10+AQ10+AS10+AU10+AW10+AY10</f>
        <v>10.080000000000002</v>
      </c>
      <c r="BC10" s="463">
        <f t="shared" si="0"/>
        <v>6.2700000000000005</v>
      </c>
      <c r="BD10" s="463">
        <f>BA10+AA10</f>
        <v>56</v>
      </c>
      <c r="BE10" s="463">
        <f>BC10+AA10</f>
        <v>52.190000000000005</v>
      </c>
      <c r="BF10" s="463">
        <v>64</v>
      </c>
      <c r="BG10" s="463">
        <v>0</v>
      </c>
      <c r="BH10" s="463">
        <v>0</v>
      </c>
      <c r="BI10" s="463">
        <v>0.4</v>
      </c>
      <c r="BJ10" s="463">
        <v>0.4</v>
      </c>
      <c r="BK10" s="463">
        <v>0.59</v>
      </c>
      <c r="BL10" s="463">
        <v>0.59</v>
      </c>
      <c r="BM10" s="463">
        <v>0.67</v>
      </c>
      <c r="BN10" s="463">
        <v>0.67</v>
      </c>
      <c r="BO10" s="463">
        <v>0.71</v>
      </c>
      <c r="BP10" s="463">
        <v>0.65</v>
      </c>
      <c r="BQ10" s="463">
        <v>1</v>
      </c>
      <c r="BR10" s="463">
        <v>0.95</v>
      </c>
      <c r="BS10" s="463">
        <v>1.39</v>
      </c>
      <c r="BT10" s="463">
        <v>1.28</v>
      </c>
      <c r="BU10" s="463">
        <v>1.51</v>
      </c>
      <c r="BV10" s="463">
        <v>1.1200000000000001</v>
      </c>
      <c r="BW10" s="463">
        <v>1.65</v>
      </c>
      <c r="BX10" s="463">
        <v>1.21</v>
      </c>
      <c r="BY10" s="463">
        <v>1.65</v>
      </c>
      <c r="BZ10" s="463">
        <v>1.18</v>
      </c>
      <c r="CA10" s="463">
        <v>1.57</v>
      </c>
      <c r="CB10" s="463">
        <v>1.0900000000000001</v>
      </c>
      <c r="CC10" s="463">
        <v>0.67</v>
      </c>
      <c r="CD10" s="463">
        <v>1.28</v>
      </c>
      <c r="CE10" s="463">
        <f>CC10+CA10+BY10+BW10+BS10+BQ10+BO10+BM10+BK10+BI10+BG10+BU10</f>
        <v>11.81</v>
      </c>
      <c r="CF10" s="463">
        <f t="shared" ref="CF10:CG12" si="1">BG10+BI10+BK10+BM10+BO10+BQ10+BS10+BU10+BW10+BY10+CA10+CC10</f>
        <v>11.81</v>
      </c>
      <c r="CG10" s="463">
        <f t="shared" si="1"/>
        <v>10.42</v>
      </c>
      <c r="CH10" s="463">
        <f>BE10+CE10</f>
        <v>64</v>
      </c>
      <c r="CI10" s="463">
        <f>CG10+BE10</f>
        <v>62.610000000000007</v>
      </c>
      <c r="CJ10" s="463">
        <v>74</v>
      </c>
      <c r="CK10" s="464">
        <v>0</v>
      </c>
      <c r="CL10" s="464">
        <v>0</v>
      </c>
      <c r="CM10" s="464">
        <v>0.2</v>
      </c>
      <c r="CN10" s="464">
        <v>0.2</v>
      </c>
      <c r="CO10" s="464">
        <v>0.4</v>
      </c>
      <c r="CP10" s="464">
        <v>0.4</v>
      </c>
      <c r="CQ10" s="464">
        <v>0.6</v>
      </c>
      <c r="CR10" s="464">
        <v>0.57999999999999996</v>
      </c>
      <c r="CS10" s="464">
        <v>1</v>
      </c>
      <c r="CT10" s="466">
        <v>1</v>
      </c>
      <c r="CU10" s="464">
        <v>1</v>
      </c>
      <c r="CV10" s="464">
        <v>1</v>
      </c>
      <c r="CW10" s="464">
        <v>1</v>
      </c>
      <c r="CX10" s="464">
        <v>1</v>
      </c>
      <c r="CY10" s="464">
        <v>1.39</v>
      </c>
      <c r="CZ10" s="464">
        <v>0.92</v>
      </c>
      <c r="DA10" s="464">
        <v>1.5</v>
      </c>
      <c r="DB10" s="464">
        <v>0.92</v>
      </c>
      <c r="DC10" s="464">
        <v>1.5</v>
      </c>
      <c r="DD10" s="464"/>
      <c r="DE10" s="464">
        <v>1.5</v>
      </c>
      <c r="DF10" s="464"/>
      <c r="DG10" s="464">
        <v>1.3</v>
      </c>
      <c r="DH10" s="464"/>
      <c r="DI10" s="463">
        <f t="shared" ref="DI10:DI15" si="2">DG10+DE10+DC10+DA10+CW10+CU10+CS10+CQ10+CO10+CM10+CK10+CY10</f>
        <v>11.39</v>
      </c>
      <c r="DJ10" s="463">
        <f t="shared" ref="DJ10:DK15" si="3">CK10+CM10+CO10+CQ10+CS10+CU10+CW10+CY10+DA10</f>
        <v>7.09</v>
      </c>
      <c r="DK10" s="463">
        <f t="shared" si="3"/>
        <v>6.02</v>
      </c>
      <c r="DL10" s="464">
        <f>CI10+DI10</f>
        <v>74</v>
      </c>
      <c r="DM10" s="464">
        <v>68.63000000000001</v>
      </c>
      <c r="DN10" s="463">
        <v>75</v>
      </c>
      <c r="DO10" s="467"/>
      <c r="DP10" s="467"/>
      <c r="DQ10" s="467"/>
      <c r="DR10" s="467"/>
      <c r="DS10" s="467"/>
      <c r="DT10" s="467"/>
      <c r="DU10" s="467"/>
      <c r="DV10" s="467"/>
      <c r="DW10" s="467"/>
      <c r="DX10" s="467"/>
      <c r="DY10" s="467"/>
      <c r="DZ10" s="467"/>
      <c r="EA10" s="467"/>
      <c r="EB10" s="467"/>
      <c r="EC10" s="467"/>
      <c r="ED10" s="467"/>
      <c r="EE10" s="467"/>
      <c r="EF10" s="467"/>
      <c r="EG10" s="467"/>
      <c r="EH10" s="467"/>
      <c r="EI10" s="467"/>
      <c r="EJ10" s="467"/>
      <c r="EK10" s="467"/>
      <c r="EL10" s="467"/>
      <c r="EM10" s="467"/>
      <c r="EN10" s="467"/>
      <c r="EO10" s="467"/>
      <c r="EP10" s="467"/>
      <c r="EQ10" s="467"/>
      <c r="ER10" s="468">
        <f>DB10/DA10</f>
        <v>0.6133333333333334</v>
      </c>
      <c r="ES10" s="469">
        <f>DK10/DJ10</f>
        <v>0.84908321579689694</v>
      </c>
      <c r="ET10" s="468">
        <f>DM10/DL10</f>
        <v>0.92743243243243256</v>
      </c>
      <c r="EU10" s="468">
        <f>(CI10+DK10)/(CH10+DJ10)</f>
        <v>0.96539597693065138</v>
      </c>
      <c r="EV10" s="468">
        <f>DM10/G10</f>
        <v>0.91506666666666681</v>
      </c>
      <c r="EW10" s="782" t="s">
        <v>694</v>
      </c>
      <c r="EX10" s="735" t="s">
        <v>648</v>
      </c>
      <c r="EY10" s="735" t="s">
        <v>618</v>
      </c>
      <c r="EZ10" s="735" t="s">
        <v>101</v>
      </c>
      <c r="FA10" s="735" t="s">
        <v>65</v>
      </c>
    </row>
    <row r="11" spans="1:157" ht="27" customHeight="1" x14ac:dyDescent="0.25">
      <c r="A11" s="749"/>
      <c r="B11" s="756"/>
      <c r="C11" s="752"/>
      <c r="D11" s="752"/>
      <c r="E11" s="749"/>
      <c r="F11" s="319" t="s">
        <v>102</v>
      </c>
      <c r="G11" s="470">
        <f>AA11+BE11+CI11+DL11+DN11</f>
        <v>22257737491</v>
      </c>
      <c r="H11" s="470">
        <v>2239274028</v>
      </c>
      <c r="I11" s="470">
        <v>2239274028</v>
      </c>
      <c r="J11" s="470">
        <v>15250000</v>
      </c>
      <c r="K11" s="470">
        <v>2239274028</v>
      </c>
      <c r="L11" s="470">
        <v>15250000</v>
      </c>
      <c r="M11" s="470">
        <v>2239274028</v>
      </c>
      <c r="N11" s="470">
        <f>171484000+15250000</f>
        <v>186734000</v>
      </c>
      <c r="O11" s="470">
        <v>2239274028</v>
      </c>
      <c r="P11" s="470">
        <f>N11+21801000</f>
        <v>208535000</v>
      </c>
      <c r="Q11" s="470">
        <v>2239274028</v>
      </c>
      <c r="R11" s="470">
        <f>+P11</f>
        <v>208535000</v>
      </c>
      <c r="S11" s="470">
        <v>2239274028</v>
      </c>
      <c r="T11" s="470">
        <f>53437893+R11</f>
        <v>261972893</v>
      </c>
      <c r="U11" s="470">
        <v>1985716202</v>
      </c>
      <c r="V11" s="470">
        <v>835562923</v>
      </c>
      <c r="W11" s="470"/>
      <c r="X11" s="470"/>
      <c r="Y11" s="470"/>
      <c r="Z11" s="470">
        <v>1985716202</v>
      </c>
      <c r="AA11" s="471">
        <v>835562923</v>
      </c>
      <c r="AB11" s="470">
        <v>11297816000</v>
      </c>
      <c r="AC11" s="470">
        <v>0</v>
      </c>
      <c r="AD11" s="470">
        <v>0</v>
      </c>
      <c r="AE11" s="470">
        <v>252325000</v>
      </c>
      <c r="AF11" s="470">
        <v>252325000</v>
      </c>
      <c r="AG11" s="470">
        <v>322128000</v>
      </c>
      <c r="AH11" s="470">
        <v>322128000</v>
      </c>
      <c r="AI11" s="470">
        <v>0</v>
      </c>
      <c r="AJ11" s="470">
        <v>0</v>
      </c>
      <c r="AK11" s="470">
        <v>0</v>
      </c>
      <c r="AL11" s="470">
        <v>0</v>
      </c>
      <c r="AM11" s="470">
        <v>0</v>
      </c>
      <c r="AN11" s="470">
        <v>177646000</v>
      </c>
      <c r="AO11" s="470">
        <v>467000000</v>
      </c>
      <c r="AP11" s="470">
        <v>0</v>
      </c>
      <c r="AQ11" s="470">
        <f>5778976000-55036000-5500000000</f>
        <v>223940000</v>
      </c>
      <c r="AR11" s="470">
        <v>0</v>
      </c>
      <c r="AS11" s="470">
        <f>1854902643-1333411357</f>
        <v>521491286</v>
      </c>
      <c r="AT11" s="470">
        <v>18089500</v>
      </c>
      <c r="AU11" s="470">
        <f>602882000+5500000000</f>
        <v>6102882000</v>
      </c>
      <c r="AV11" s="470">
        <v>250254791</v>
      </c>
      <c r="AW11" s="470">
        <v>502548000</v>
      </c>
      <c r="AX11" s="470">
        <v>278976000</v>
      </c>
      <c r="AY11" s="470">
        <v>1453262744</v>
      </c>
      <c r="AZ11" s="470">
        <v>2683988234</v>
      </c>
      <c r="BA11" s="471">
        <f>AC11+AE11+AG11+AI11+AK11+AM11+AO11+AQ11+AS11+AU11+AW11+AY11</f>
        <v>9845577030</v>
      </c>
      <c r="BB11" s="471">
        <f t="shared" si="0"/>
        <v>9845577030</v>
      </c>
      <c r="BC11" s="471">
        <f t="shared" si="0"/>
        <v>3983407525</v>
      </c>
      <c r="BD11" s="471">
        <f>AC11+AE11+AG11+AI11+AK11+AM11+AO11+AQ11+AS11+AU11+AW11+AY11</f>
        <v>9845577030</v>
      </c>
      <c r="BE11" s="471">
        <f>AD11+AF11+AH11+AJ11+AL11+AN11+AP11+AR11+AT11+AV11+AX11+AZ11</f>
        <v>3983407525</v>
      </c>
      <c r="BF11" s="470">
        <v>8723281000</v>
      </c>
      <c r="BG11" s="470">
        <v>1023165000</v>
      </c>
      <c r="BH11" s="470">
        <v>1023165000</v>
      </c>
      <c r="BI11" s="470">
        <v>0</v>
      </c>
      <c r="BJ11" s="470">
        <v>0</v>
      </c>
      <c r="BK11" s="470">
        <v>0</v>
      </c>
      <c r="BL11" s="470">
        <v>0</v>
      </c>
      <c r="BM11" s="470">
        <v>0</v>
      </c>
      <c r="BN11" s="470">
        <v>0</v>
      </c>
      <c r="BO11" s="470">
        <v>0</v>
      </c>
      <c r="BP11" s="470">
        <v>0</v>
      </c>
      <c r="BQ11" s="470">
        <v>0</v>
      </c>
      <c r="BR11" s="470">
        <v>30000000</v>
      </c>
      <c r="BS11" s="470">
        <f>275000000+4924000-9000000-12630000</f>
        <v>258294000</v>
      </c>
      <c r="BT11" s="470">
        <v>5086900</v>
      </c>
      <c r="BU11" s="470">
        <v>0</v>
      </c>
      <c r="BV11" s="470">
        <v>0</v>
      </c>
      <c r="BW11" s="470">
        <v>0</v>
      </c>
      <c r="BX11" s="470">
        <v>0</v>
      </c>
      <c r="BY11" s="470">
        <f>7310379000-16030000</f>
        <v>7294349000</v>
      </c>
      <c r="BZ11" s="470">
        <v>0</v>
      </c>
      <c r="CA11" s="470">
        <f>84737000+4806000</f>
        <v>89543000</v>
      </c>
      <c r="CB11" s="470">
        <v>5834986133</v>
      </c>
      <c r="CC11" s="470">
        <f>271887887+45608400</f>
        <v>317496287</v>
      </c>
      <c r="CD11" s="470">
        <v>1561906567</v>
      </c>
      <c r="CE11" s="470">
        <f>CC11+CA11+BY11+BW11+BS11+BQ11+BO11+BM11+BK11+BI11+BG11+BU11</f>
        <v>8982847287</v>
      </c>
      <c r="CF11" s="470">
        <f t="shared" si="1"/>
        <v>8982847287</v>
      </c>
      <c r="CG11" s="470">
        <f t="shared" si="1"/>
        <v>8455144600</v>
      </c>
      <c r="CH11" s="470">
        <f>CE11</f>
        <v>8982847287</v>
      </c>
      <c r="CI11" s="470">
        <f>CG11</f>
        <v>8455144600</v>
      </c>
      <c r="CJ11" s="471">
        <v>7311395000</v>
      </c>
      <c r="CK11" s="472">
        <v>6599815016</v>
      </c>
      <c r="CL11" s="470">
        <v>6599815016</v>
      </c>
      <c r="CM11" s="472">
        <v>399115000</v>
      </c>
      <c r="CN11" s="472">
        <v>399115000</v>
      </c>
      <c r="CO11" s="472">
        <v>109040000</v>
      </c>
      <c r="CP11" s="472">
        <v>109040000</v>
      </c>
      <c r="CQ11" s="470">
        <v>106885000</v>
      </c>
      <c r="CR11" s="470">
        <v>21424000</v>
      </c>
      <c r="CS11" s="470">
        <v>108160984</v>
      </c>
      <c r="CT11" s="473">
        <v>0</v>
      </c>
      <c r="CU11" s="470">
        <v>0</v>
      </c>
      <c r="CV11" s="470">
        <v>0</v>
      </c>
      <c r="CW11" s="470">
        <v>0</v>
      </c>
      <c r="CX11" s="470">
        <v>20936000</v>
      </c>
      <c r="CY11" s="470">
        <v>0</v>
      </c>
      <c r="CZ11" s="470">
        <v>0</v>
      </c>
      <c r="DA11" s="470">
        <v>-70393557</v>
      </c>
      <c r="DB11" s="470">
        <v>0</v>
      </c>
      <c r="DC11" s="470">
        <v>0</v>
      </c>
      <c r="DD11" s="470"/>
      <c r="DE11" s="470">
        <v>0</v>
      </c>
      <c r="DF11" s="470"/>
      <c r="DG11" s="470">
        <v>0</v>
      </c>
      <c r="DH11" s="470"/>
      <c r="DI11" s="471">
        <f t="shared" si="2"/>
        <v>7252622443</v>
      </c>
      <c r="DJ11" s="471">
        <f t="shared" si="3"/>
        <v>7252622443</v>
      </c>
      <c r="DK11" s="471">
        <f t="shared" si="3"/>
        <v>7150330016</v>
      </c>
      <c r="DL11" s="470">
        <f>DI11</f>
        <v>7252622443</v>
      </c>
      <c r="DM11" s="470">
        <f>DK11</f>
        <v>7150330016</v>
      </c>
      <c r="DN11" s="470">
        <v>1731000000</v>
      </c>
      <c r="DO11" s="470"/>
      <c r="DP11" s="470"/>
      <c r="DQ11" s="470"/>
      <c r="DR11" s="470"/>
      <c r="DS11" s="470"/>
      <c r="DT11" s="470"/>
      <c r="DU11" s="470"/>
      <c r="DV11" s="470"/>
      <c r="DW11" s="470"/>
      <c r="DX11" s="470"/>
      <c r="DY11" s="470"/>
      <c r="DZ11" s="470"/>
      <c r="EA11" s="470"/>
      <c r="EB11" s="470"/>
      <c r="EC11" s="470"/>
      <c r="ED11" s="470"/>
      <c r="EE11" s="470"/>
      <c r="EF11" s="470"/>
      <c r="EG11" s="470"/>
      <c r="EH11" s="470"/>
      <c r="EI11" s="470"/>
      <c r="EJ11" s="470"/>
      <c r="EK11" s="470"/>
      <c r="EL11" s="470"/>
      <c r="EM11" s="470"/>
      <c r="EN11" s="470"/>
      <c r="EO11" s="470"/>
      <c r="EP11" s="470"/>
      <c r="EQ11" s="470"/>
      <c r="ER11" s="468">
        <f>DB11/DA11</f>
        <v>0</v>
      </c>
      <c r="ES11" s="469">
        <f>DK11/DJ11</f>
        <v>0.98589580144231426</v>
      </c>
      <c r="ET11" s="468">
        <f>DM11/DL11</f>
        <v>0.98589580144231426</v>
      </c>
      <c r="EU11" s="468">
        <f>(AA11+BE11+CI11+DK11)/(Z11+BD11+CH11+DJ11)</f>
        <v>0.72770932264803578</v>
      </c>
      <c r="EV11" s="468">
        <f>(AA11+BE11+CI11+DM11)/G11</f>
        <v>0.9176334778976839</v>
      </c>
      <c r="EW11" s="783"/>
      <c r="EX11" s="734"/>
      <c r="EY11" s="734"/>
      <c r="EZ11" s="734"/>
      <c r="FA11" s="734"/>
    </row>
    <row r="12" spans="1:157" ht="23.25" customHeight="1" x14ac:dyDescent="0.25">
      <c r="A12" s="749"/>
      <c r="B12" s="756"/>
      <c r="C12" s="752"/>
      <c r="D12" s="752"/>
      <c r="E12" s="749"/>
      <c r="F12" s="320" t="s">
        <v>103</v>
      </c>
      <c r="G12" s="470"/>
      <c r="H12" s="470"/>
      <c r="I12" s="470"/>
      <c r="J12" s="470"/>
      <c r="K12" s="470"/>
      <c r="L12" s="470"/>
      <c r="M12" s="470"/>
      <c r="N12" s="470"/>
      <c r="O12" s="470"/>
      <c r="P12" s="470"/>
      <c r="Q12" s="470"/>
      <c r="R12" s="470"/>
      <c r="S12" s="470"/>
      <c r="T12" s="470"/>
      <c r="U12" s="470"/>
      <c r="V12" s="470"/>
      <c r="W12" s="470"/>
      <c r="X12" s="470"/>
      <c r="Y12" s="470"/>
      <c r="Z12" s="470"/>
      <c r="AA12" s="471"/>
      <c r="AB12" s="470"/>
      <c r="AC12" s="470">
        <v>0</v>
      </c>
      <c r="AD12" s="470">
        <v>0</v>
      </c>
      <c r="AE12" s="470">
        <v>0</v>
      </c>
      <c r="AF12" s="470">
        <v>0</v>
      </c>
      <c r="AG12" s="470">
        <v>6924333</v>
      </c>
      <c r="AH12" s="470">
        <v>6924333</v>
      </c>
      <c r="AI12" s="470">
        <v>27084233</v>
      </c>
      <c r="AJ12" s="470">
        <v>27084233</v>
      </c>
      <c r="AK12" s="470">
        <v>58379067</v>
      </c>
      <c r="AL12" s="470">
        <v>58379067</v>
      </c>
      <c r="AM12" s="470">
        <v>58131000</v>
      </c>
      <c r="AN12" s="470">
        <v>73779000</v>
      </c>
      <c r="AO12" s="470">
        <v>58131000</v>
      </c>
      <c r="AP12" s="470">
        <v>59955000</v>
      </c>
      <c r="AQ12" s="470">
        <v>467000000</v>
      </c>
      <c r="AR12" s="470">
        <v>214803331</v>
      </c>
      <c r="AS12" s="470">
        <f>3854902643-55036000-1333411357</f>
        <v>2466455286</v>
      </c>
      <c r="AT12" s="470">
        <v>82752669</v>
      </c>
      <c r="AU12" s="470">
        <f>1602882000</f>
        <v>1602882000</v>
      </c>
      <c r="AV12" s="470">
        <v>310209791</v>
      </c>
      <c r="AW12" s="470">
        <v>1502548000</v>
      </c>
      <c r="AX12" s="470">
        <v>53342000</v>
      </c>
      <c r="AY12" s="470">
        <f>3728446224-30404113</f>
        <v>3698042111</v>
      </c>
      <c r="AZ12" s="470">
        <v>2111534115</v>
      </c>
      <c r="BA12" s="471">
        <f>AC12+AE12+AG12+AI12+AK12+AM12+AO12+AQ12+AS12+AU12+AW12+AY12</f>
        <v>9945577030</v>
      </c>
      <c r="BB12" s="471">
        <f t="shared" si="0"/>
        <v>9945577030</v>
      </c>
      <c r="BC12" s="471">
        <f t="shared" si="0"/>
        <v>2998763539</v>
      </c>
      <c r="BD12" s="471">
        <f>AC12+AE12+AG12+AI12+AK12+AM12+AO12+AQ12+AS12+AU12+AW12+AY12</f>
        <v>9945577030</v>
      </c>
      <c r="BE12" s="471">
        <f>BC12</f>
        <v>2998763539</v>
      </c>
      <c r="BF12" s="470">
        <v>8723281000</v>
      </c>
      <c r="BG12" s="470">
        <v>0</v>
      </c>
      <c r="BH12" s="470">
        <v>0</v>
      </c>
      <c r="BI12" s="470">
        <v>22883636</v>
      </c>
      <c r="BJ12" s="470">
        <v>759000</v>
      </c>
      <c r="BK12" s="470">
        <v>97420636</v>
      </c>
      <c r="BL12" s="470">
        <v>100548765</v>
      </c>
      <c r="BM12" s="470">
        <v>97420636</v>
      </c>
      <c r="BN12" s="470">
        <v>109354362</v>
      </c>
      <c r="BO12" s="470">
        <f>97420636-25076000</f>
        <v>72344636</v>
      </c>
      <c r="BP12" s="470">
        <v>82839600</v>
      </c>
      <c r="BQ12" s="470">
        <f>112420636</f>
        <v>112420636</v>
      </c>
      <c r="BR12" s="470">
        <v>56990000</v>
      </c>
      <c r="BS12" s="470">
        <v>249920636</v>
      </c>
      <c r="BT12" s="470">
        <v>96082240</v>
      </c>
      <c r="BU12" s="470">
        <v>99920636</v>
      </c>
      <c r="BV12" s="470">
        <v>73134305</v>
      </c>
      <c r="BW12" s="470">
        <v>97420636</v>
      </c>
      <c r="BX12" s="470">
        <v>87737882</v>
      </c>
      <c r="BY12" s="470">
        <f>2534213636-16030000</f>
        <v>2518183636</v>
      </c>
      <c r="BZ12" s="470">
        <v>88575486</v>
      </c>
      <c r="CA12" s="470">
        <f>2618950636+4806000</f>
        <v>2623756636</v>
      </c>
      <c r="CB12" s="470">
        <v>132613827</v>
      </c>
      <c r="CC12" s="470">
        <f>2695288640+250257887+45608400</f>
        <v>2991154927</v>
      </c>
      <c r="CD12" s="470">
        <v>4486985105</v>
      </c>
      <c r="CE12" s="470">
        <f>CC12+CA12+BY12+BW12+BS12+BQ12+BO12+BM12+BK12+BI12+BG12+BU12</f>
        <v>8982847287</v>
      </c>
      <c r="CF12" s="470">
        <f t="shared" si="1"/>
        <v>8982847287</v>
      </c>
      <c r="CG12" s="470">
        <f t="shared" si="1"/>
        <v>5315620572</v>
      </c>
      <c r="CH12" s="470">
        <f>CE12</f>
        <v>8982847287</v>
      </c>
      <c r="CI12" s="470">
        <f>CG12</f>
        <v>5315620572</v>
      </c>
      <c r="CJ12" s="471">
        <v>7311395000</v>
      </c>
      <c r="CK12" s="470">
        <v>0</v>
      </c>
      <c r="CL12" s="470">
        <v>0</v>
      </c>
      <c r="CM12" s="472">
        <v>0</v>
      </c>
      <c r="CN12" s="470">
        <v>0</v>
      </c>
      <c r="CO12" s="472">
        <v>36360200</v>
      </c>
      <c r="CP12" s="472">
        <v>36360200</v>
      </c>
      <c r="CQ12" s="472">
        <v>70433566</v>
      </c>
      <c r="CR12" s="470">
        <v>72687233</v>
      </c>
      <c r="CS12" s="472">
        <v>540375001</v>
      </c>
      <c r="CT12" s="473">
        <v>77537200</v>
      </c>
      <c r="CU12" s="472">
        <v>396738628</v>
      </c>
      <c r="CV12" s="470">
        <v>108034888</v>
      </c>
      <c r="CW12" s="472">
        <v>309354090</v>
      </c>
      <c r="CX12" s="470">
        <v>117314657</v>
      </c>
      <c r="CY12" s="472">
        <v>309354090</v>
      </c>
      <c r="CZ12" s="470">
        <v>243597788</v>
      </c>
      <c r="DA12" s="472">
        <f>3305354090-70393557</f>
        <v>3234960533</v>
      </c>
      <c r="DB12" s="470">
        <v>313301313</v>
      </c>
      <c r="DC12" s="472">
        <v>609354090</v>
      </c>
      <c r="DD12" s="470"/>
      <c r="DE12" s="472">
        <v>609354090</v>
      </c>
      <c r="DF12" s="470"/>
      <c r="DG12" s="472">
        <v>1136338155</v>
      </c>
      <c r="DH12" s="470"/>
      <c r="DI12" s="471">
        <f t="shared" si="2"/>
        <v>7252622443</v>
      </c>
      <c r="DJ12" s="471">
        <f t="shared" si="3"/>
        <v>4897576108</v>
      </c>
      <c r="DK12" s="471">
        <f t="shared" si="3"/>
        <v>968833279</v>
      </c>
      <c r="DL12" s="470">
        <f>DI12</f>
        <v>7252622443</v>
      </c>
      <c r="DM12" s="470">
        <f>DK12</f>
        <v>968833279</v>
      </c>
      <c r="DN12" s="470">
        <v>0</v>
      </c>
      <c r="DO12" s="470"/>
      <c r="DP12" s="470"/>
      <c r="DQ12" s="470"/>
      <c r="DR12" s="470"/>
      <c r="DS12" s="470"/>
      <c r="DT12" s="470"/>
      <c r="DU12" s="470"/>
      <c r="DV12" s="470"/>
      <c r="DW12" s="470"/>
      <c r="DX12" s="470"/>
      <c r="DY12" s="470"/>
      <c r="DZ12" s="470"/>
      <c r="EA12" s="470"/>
      <c r="EB12" s="470"/>
      <c r="EC12" s="470"/>
      <c r="ED12" s="470"/>
      <c r="EE12" s="470"/>
      <c r="EF12" s="470"/>
      <c r="EG12" s="470"/>
      <c r="EH12" s="470"/>
      <c r="EI12" s="470"/>
      <c r="EJ12" s="470"/>
      <c r="EK12" s="470"/>
      <c r="EL12" s="470"/>
      <c r="EM12" s="470"/>
      <c r="EN12" s="470"/>
      <c r="EO12" s="470"/>
      <c r="EP12" s="470"/>
      <c r="EQ12" s="470"/>
      <c r="ER12" s="468">
        <f t="shared" ref="ER12" si="4">DB12/DA12</f>
        <v>9.6848573515502606E-2</v>
      </c>
      <c r="ES12" s="469">
        <f>DK12/DJ12</f>
        <v>0.19781893280176871</v>
      </c>
      <c r="ET12" s="468">
        <f>DM12/DL12</f>
        <v>0.13358385695853878</v>
      </c>
      <c r="EU12" s="468">
        <f>(AA12+BE12+CI12+DK12)/(Z12+BD12+CH12+DJ12)</f>
        <v>0.38962550257740119</v>
      </c>
      <c r="EV12" s="468">
        <f>IFERROR((AA12+BE12+CI12+DM12)/G12,0)</f>
        <v>0</v>
      </c>
      <c r="EW12" s="783"/>
      <c r="EX12" s="734"/>
      <c r="EY12" s="734"/>
      <c r="EZ12" s="734"/>
      <c r="FA12" s="734"/>
    </row>
    <row r="13" spans="1:157" ht="30.75" customHeight="1" x14ac:dyDescent="0.25">
      <c r="A13" s="749"/>
      <c r="B13" s="756"/>
      <c r="C13" s="752"/>
      <c r="D13" s="752"/>
      <c r="E13" s="749"/>
      <c r="F13" s="321" t="s">
        <v>104</v>
      </c>
      <c r="G13" s="464">
        <v>0</v>
      </c>
      <c r="H13" s="474">
        <v>0</v>
      </c>
      <c r="I13" s="474">
        <v>0</v>
      </c>
      <c r="J13" s="474">
        <v>0</v>
      </c>
      <c r="K13" s="474">
        <v>0</v>
      </c>
      <c r="L13" s="474">
        <v>0</v>
      </c>
      <c r="M13" s="474">
        <v>0</v>
      </c>
      <c r="N13" s="474">
        <v>0</v>
      </c>
      <c r="O13" s="474">
        <v>0</v>
      </c>
      <c r="P13" s="474">
        <v>0</v>
      </c>
      <c r="Q13" s="474">
        <v>0</v>
      </c>
      <c r="R13" s="474">
        <v>0</v>
      </c>
      <c r="S13" s="474">
        <v>0</v>
      </c>
      <c r="T13" s="467">
        <f>+R13</f>
        <v>0</v>
      </c>
      <c r="U13" s="474">
        <v>0</v>
      </c>
      <c r="V13" s="474">
        <v>0</v>
      </c>
      <c r="W13" s="474"/>
      <c r="X13" s="474"/>
      <c r="Y13" s="474"/>
      <c r="Z13" s="464">
        <v>0</v>
      </c>
      <c r="AA13" s="464">
        <v>0</v>
      </c>
      <c r="AB13" s="474">
        <v>0</v>
      </c>
      <c r="AC13" s="464">
        <v>0</v>
      </c>
      <c r="AD13" s="474">
        <v>0</v>
      </c>
      <c r="AE13" s="475">
        <v>0</v>
      </c>
      <c r="AF13" s="474">
        <v>0</v>
      </c>
      <c r="AG13" s="475">
        <v>0</v>
      </c>
      <c r="AH13" s="474">
        <v>0</v>
      </c>
      <c r="AI13" s="475">
        <v>0</v>
      </c>
      <c r="AJ13" s="474">
        <v>0</v>
      </c>
      <c r="AK13" s="474">
        <v>0</v>
      </c>
      <c r="AL13" s="474">
        <v>0</v>
      </c>
      <c r="AM13" s="474">
        <v>0</v>
      </c>
      <c r="AN13" s="474">
        <v>0</v>
      </c>
      <c r="AO13" s="474">
        <v>0</v>
      </c>
      <c r="AP13" s="474">
        <v>0</v>
      </c>
      <c r="AQ13" s="474">
        <v>0</v>
      </c>
      <c r="AR13" s="474">
        <v>0</v>
      </c>
      <c r="AS13" s="470">
        <v>0</v>
      </c>
      <c r="AT13" s="474">
        <v>0</v>
      </c>
      <c r="AU13" s="474">
        <v>0</v>
      </c>
      <c r="AV13" s="474">
        <v>0</v>
      </c>
      <c r="AW13" s="474">
        <v>0</v>
      </c>
      <c r="AX13" s="474">
        <v>0</v>
      </c>
      <c r="AY13" s="474">
        <v>0</v>
      </c>
      <c r="AZ13" s="474">
        <v>0</v>
      </c>
      <c r="BA13" s="476">
        <f>AC13+AE13+AG13+AI13+AK13+AM13+AO13+AQ13+AS13+AU13+AW13+AY13</f>
        <v>0</v>
      </c>
      <c r="BB13" s="476">
        <f>AC13+AE13+AG13+AI13+AK13</f>
        <v>0</v>
      </c>
      <c r="BC13" s="471">
        <f>AD13+AF13+AH13+AJ13+AL13+AN13+AP13+AR13</f>
        <v>0</v>
      </c>
      <c r="BD13" s="463">
        <f>BA13+AA13</f>
        <v>0</v>
      </c>
      <c r="BE13" s="463">
        <f>BC13+AA13</f>
        <v>0</v>
      </c>
      <c r="BF13" s="464">
        <v>0</v>
      </c>
      <c r="BG13" s="464">
        <v>0</v>
      </c>
      <c r="BH13" s="464">
        <v>0</v>
      </c>
      <c r="BI13" s="464">
        <v>0</v>
      </c>
      <c r="BJ13" s="464">
        <v>0</v>
      </c>
      <c r="BK13" s="464">
        <v>0</v>
      </c>
      <c r="BL13" s="464">
        <v>0</v>
      </c>
      <c r="BM13" s="464">
        <v>0</v>
      </c>
      <c r="BN13" s="464">
        <v>0</v>
      </c>
      <c r="BO13" s="464">
        <v>0</v>
      </c>
      <c r="BP13" s="464">
        <v>0</v>
      </c>
      <c r="BQ13" s="464">
        <v>0</v>
      </c>
      <c r="BR13" s="464">
        <v>0</v>
      </c>
      <c r="BS13" s="464">
        <v>0</v>
      </c>
      <c r="BT13" s="464">
        <v>0</v>
      </c>
      <c r="BU13" s="464">
        <v>0</v>
      </c>
      <c r="BV13" s="464">
        <v>0</v>
      </c>
      <c r="BW13" s="464">
        <v>0</v>
      </c>
      <c r="BX13" s="464">
        <v>0</v>
      </c>
      <c r="BY13" s="464">
        <v>0</v>
      </c>
      <c r="BZ13" s="464">
        <v>0</v>
      </c>
      <c r="CA13" s="464">
        <v>0</v>
      </c>
      <c r="CB13" s="464">
        <v>0</v>
      </c>
      <c r="CC13" s="464">
        <v>0</v>
      </c>
      <c r="CD13" s="464">
        <v>0</v>
      </c>
      <c r="CE13" s="464">
        <v>0</v>
      </c>
      <c r="CF13" s="464">
        <f>BG13</f>
        <v>0</v>
      </c>
      <c r="CG13" s="464">
        <f>BH13+BJ13+BL13+BN13+BP13+BR13+BT13+BV13+BX13+BZ13+CB13+CD13</f>
        <v>0</v>
      </c>
      <c r="CH13" s="464">
        <f>CE13</f>
        <v>0</v>
      </c>
      <c r="CI13" s="464">
        <v>0</v>
      </c>
      <c r="CJ13" s="464">
        <v>0</v>
      </c>
      <c r="CK13" s="464">
        <v>0</v>
      </c>
      <c r="CL13" s="464">
        <v>0</v>
      </c>
      <c r="CM13" s="464">
        <v>0</v>
      </c>
      <c r="CN13" s="464">
        <v>0</v>
      </c>
      <c r="CO13" s="477">
        <v>0</v>
      </c>
      <c r="CP13" s="477">
        <v>0</v>
      </c>
      <c r="CQ13" s="464">
        <v>0</v>
      </c>
      <c r="CR13" s="464">
        <v>0</v>
      </c>
      <c r="CS13" s="464">
        <v>0</v>
      </c>
      <c r="CT13" s="466">
        <v>0</v>
      </c>
      <c r="CU13" s="464">
        <v>0</v>
      </c>
      <c r="CV13" s="464">
        <v>0</v>
      </c>
      <c r="CW13" s="464">
        <v>0</v>
      </c>
      <c r="CX13" s="464">
        <v>0</v>
      </c>
      <c r="CY13" s="464">
        <v>0</v>
      </c>
      <c r="CZ13" s="464">
        <v>0</v>
      </c>
      <c r="DA13" s="464">
        <v>0</v>
      </c>
      <c r="DB13" s="464">
        <v>0</v>
      </c>
      <c r="DC13" s="464">
        <v>0</v>
      </c>
      <c r="DD13" s="464"/>
      <c r="DE13" s="464">
        <v>0</v>
      </c>
      <c r="DF13" s="464"/>
      <c r="DG13" s="464">
        <v>0</v>
      </c>
      <c r="DH13" s="464"/>
      <c r="DI13" s="463">
        <f t="shared" si="2"/>
        <v>0</v>
      </c>
      <c r="DJ13" s="463">
        <f t="shared" si="3"/>
        <v>0</v>
      </c>
      <c r="DK13" s="463">
        <f t="shared" si="3"/>
        <v>0</v>
      </c>
      <c r="DL13" s="464">
        <f>CI13+DI13</f>
        <v>0</v>
      </c>
      <c r="DM13" s="464">
        <f>DK13</f>
        <v>0</v>
      </c>
      <c r="DN13" s="464">
        <v>0</v>
      </c>
      <c r="DO13" s="474">
        <v>0</v>
      </c>
      <c r="DP13" s="475">
        <v>0</v>
      </c>
      <c r="DQ13" s="474">
        <v>0</v>
      </c>
      <c r="DR13" s="475">
        <v>0</v>
      </c>
      <c r="DS13" s="474">
        <v>0</v>
      </c>
      <c r="DT13" s="475">
        <v>0</v>
      </c>
      <c r="DU13" s="474">
        <v>0</v>
      </c>
      <c r="DV13" s="475">
        <v>0</v>
      </c>
      <c r="DW13" s="474">
        <v>0</v>
      </c>
      <c r="DX13" s="475">
        <v>0</v>
      </c>
      <c r="DY13" s="474">
        <v>0</v>
      </c>
      <c r="DZ13" s="475">
        <v>0</v>
      </c>
      <c r="EA13" s="474">
        <v>0</v>
      </c>
      <c r="EB13" s="475">
        <v>0</v>
      </c>
      <c r="EC13" s="474">
        <v>0</v>
      </c>
      <c r="ED13" s="475">
        <v>0</v>
      </c>
      <c r="EE13" s="474">
        <v>0</v>
      </c>
      <c r="EF13" s="475">
        <v>0</v>
      </c>
      <c r="EG13" s="474">
        <v>0</v>
      </c>
      <c r="EH13" s="475">
        <v>0</v>
      </c>
      <c r="EI13" s="474">
        <v>0</v>
      </c>
      <c r="EJ13" s="475">
        <v>0</v>
      </c>
      <c r="EK13" s="475"/>
      <c r="EL13" s="474">
        <v>0</v>
      </c>
      <c r="EM13" s="474"/>
      <c r="EN13" s="474"/>
      <c r="EO13" s="474"/>
      <c r="EP13" s="474"/>
      <c r="EQ13" s="475">
        <v>0</v>
      </c>
      <c r="ER13" s="468">
        <f>IFERROR(DB13/DA13,0)</f>
        <v>0</v>
      </c>
      <c r="ES13" s="469">
        <f>IFERROR(DK13/DJ13,0)</f>
        <v>0</v>
      </c>
      <c r="ET13" s="468">
        <f>IFERROR(DM13/DL13,0)</f>
        <v>0</v>
      </c>
      <c r="EU13" s="468">
        <f>IFERROR((CI13+DK13)/(CH13+DJ13),0)</f>
        <v>0</v>
      </c>
      <c r="EV13" s="468">
        <f>IFERROR((AA13+BE13+CI13+DM13)/G13,0)</f>
        <v>0</v>
      </c>
      <c r="EW13" s="783"/>
      <c r="EX13" s="734"/>
      <c r="EY13" s="734"/>
      <c r="EZ13" s="734"/>
      <c r="FA13" s="734"/>
    </row>
    <row r="14" spans="1:157" ht="33.75" customHeight="1" x14ac:dyDescent="0.25">
      <c r="A14" s="749"/>
      <c r="B14" s="756"/>
      <c r="C14" s="752"/>
      <c r="D14" s="752"/>
      <c r="E14" s="749"/>
      <c r="F14" s="319" t="s">
        <v>105</v>
      </c>
      <c r="G14" s="470">
        <f>AA14+BE14+CI14+DL14+DN14</f>
        <v>4763217437</v>
      </c>
      <c r="H14" s="470">
        <v>0</v>
      </c>
      <c r="I14" s="470">
        <v>0</v>
      </c>
      <c r="J14" s="470">
        <v>0</v>
      </c>
      <c r="K14" s="470">
        <v>0</v>
      </c>
      <c r="L14" s="470">
        <v>0</v>
      </c>
      <c r="M14" s="470">
        <v>0</v>
      </c>
      <c r="N14" s="470">
        <v>0</v>
      </c>
      <c r="O14" s="470">
        <v>0</v>
      </c>
      <c r="P14" s="470">
        <v>0</v>
      </c>
      <c r="Q14" s="470">
        <v>0</v>
      </c>
      <c r="R14" s="470">
        <v>0</v>
      </c>
      <c r="S14" s="470">
        <v>0</v>
      </c>
      <c r="T14" s="471">
        <f>+R14</f>
        <v>0</v>
      </c>
      <c r="U14" s="470">
        <v>0</v>
      </c>
      <c r="V14" s="470">
        <v>0</v>
      </c>
      <c r="W14" s="470"/>
      <c r="X14" s="470"/>
      <c r="Y14" s="470"/>
      <c r="Z14" s="470">
        <v>0</v>
      </c>
      <c r="AA14" s="470">
        <v>0</v>
      </c>
      <c r="AB14" s="470">
        <v>644531002</v>
      </c>
      <c r="AC14" s="470">
        <v>17458000</v>
      </c>
      <c r="AD14" s="470">
        <v>17458000</v>
      </c>
      <c r="AE14" s="478">
        <v>36330787</v>
      </c>
      <c r="AF14" s="478">
        <v>36330787</v>
      </c>
      <c r="AG14" s="478">
        <v>86184069</v>
      </c>
      <c r="AH14" s="478">
        <v>86184069</v>
      </c>
      <c r="AI14" s="478">
        <v>435138273</v>
      </c>
      <c r="AJ14" s="478">
        <v>435138273</v>
      </c>
      <c r="AK14" s="478">
        <v>38151620</v>
      </c>
      <c r="AL14" s="478">
        <v>38151620</v>
      </c>
      <c r="AM14" s="474">
        <v>0</v>
      </c>
      <c r="AN14" s="474">
        <v>0</v>
      </c>
      <c r="AO14" s="470">
        <v>31268253</v>
      </c>
      <c r="AP14" s="470">
        <v>0</v>
      </c>
      <c r="AQ14" s="470">
        <v>0</v>
      </c>
      <c r="AR14" s="470">
        <v>26018008</v>
      </c>
      <c r="AS14" s="470">
        <v>0</v>
      </c>
      <c r="AT14" s="470">
        <v>0</v>
      </c>
      <c r="AU14" s="470">
        <v>-163345</v>
      </c>
      <c r="AV14" s="470">
        <v>0</v>
      </c>
      <c r="AW14" s="470">
        <v>0</v>
      </c>
      <c r="AX14" s="470">
        <v>0</v>
      </c>
      <c r="AY14" s="470">
        <v>0</v>
      </c>
      <c r="AZ14" s="470">
        <v>0</v>
      </c>
      <c r="BA14" s="476">
        <f>AC14+AE14+AG14+AI14+AK14+AM14+AO14+AQ14+AS14+AU14+AW14+AY14</f>
        <v>644367657</v>
      </c>
      <c r="BB14" s="476">
        <f>AC14+AE14+AG14+AI14+AK14+AM14+AO14+AQ14+AS14+AU14+AW14+AY14</f>
        <v>644367657</v>
      </c>
      <c r="BC14" s="476">
        <f>AD14+AF14+AH14+AJ14+AL14+AN14+AP14+AR14+AT14+AV14+AX14+AZ14</f>
        <v>639280757</v>
      </c>
      <c r="BD14" s="471">
        <f>BA14+AA14</f>
        <v>644367657</v>
      </c>
      <c r="BE14" s="471">
        <f>BC14+AA14</f>
        <v>639280757</v>
      </c>
      <c r="BF14" s="472">
        <v>984643986</v>
      </c>
      <c r="BG14" s="472">
        <v>312524934</v>
      </c>
      <c r="BH14" s="472">
        <v>312524934</v>
      </c>
      <c r="BI14" s="472">
        <v>22140266</v>
      </c>
      <c r="BJ14" s="470">
        <v>18438933</v>
      </c>
      <c r="BK14" s="472">
        <f>498524940+12321950-215546170-231332-1</f>
        <v>295069387</v>
      </c>
      <c r="BL14" s="470">
        <f>3489254-1</f>
        <v>3489253</v>
      </c>
      <c r="BM14" s="472">
        <f>215546170</f>
        <v>215546170</v>
      </c>
      <c r="BN14" s="470">
        <v>0</v>
      </c>
      <c r="BO14" s="472">
        <v>0</v>
      </c>
      <c r="BP14" s="470">
        <v>13760441</v>
      </c>
      <c r="BQ14" s="472">
        <v>0</v>
      </c>
      <c r="BR14" s="470">
        <v>0</v>
      </c>
      <c r="BS14" s="472">
        <f>139131895-47320176</f>
        <v>91811719</v>
      </c>
      <c r="BT14" s="472">
        <v>542396297</v>
      </c>
      <c r="BU14" s="472">
        <v>0</v>
      </c>
      <c r="BV14" s="470">
        <v>4700201</v>
      </c>
      <c r="BW14" s="472">
        <v>0</v>
      </c>
      <c r="BX14" s="470">
        <v>0</v>
      </c>
      <c r="BY14" s="472">
        <v>0</v>
      </c>
      <c r="BZ14" s="470">
        <v>0</v>
      </c>
      <c r="CA14" s="472">
        <v>0</v>
      </c>
      <c r="CB14" s="470">
        <v>0</v>
      </c>
      <c r="CC14" s="472">
        <v>47320176</v>
      </c>
      <c r="CD14" s="470">
        <v>89102593</v>
      </c>
      <c r="CE14" s="470">
        <f>CC14+CA14+BY14+BW14+BS14+BQ14+BO14+BM14+BK14+BI14+BG14+BU14</f>
        <v>984412652</v>
      </c>
      <c r="CF14" s="470">
        <f>BG14+BI14+BK14+BM14+BO14+BQ14+BS14+BU14+BW14+BY14+CA1+CA14+CC14</f>
        <v>984412652</v>
      </c>
      <c r="CG14" s="470">
        <f>BH14+BJ14+BL14+BN14+BP14+BR14+BT14+BV14+BX14+BZ14+CB14+CD14</f>
        <v>984412652</v>
      </c>
      <c r="CH14" s="470">
        <f>CE14</f>
        <v>984412652</v>
      </c>
      <c r="CI14" s="470">
        <f>CG14</f>
        <v>984412652</v>
      </c>
      <c r="CJ14" s="470">
        <v>3139524028</v>
      </c>
      <c r="CK14" s="470">
        <v>46872823</v>
      </c>
      <c r="CL14" s="470">
        <v>46872823</v>
      </c>
      <c r="CM14" s="470">
        <v>257770235</v>
      </c>
      <c r="CN14" s="472">
        <v>257770235</v>
      </c>
      <c r="CO14" s="472">
        <v>82422920</v>
      </c>
      <c r="CP14" s="472">
        <v>82422920</v>
      </c>
      <c r="CQ14" s="470">
        <v>1292460401</v>
      </c>
      <c r="CR14" s="472">
        <v>300055017</v>
      </c>
      <c r="CS14" s="470">
        <v>564404340</v>
      </c>
      <c r="CT14" s="473">
        <v>245013651</v>
      </c>
      <c r="CU14" s="470">
        <v>72888327</v>
      </c>
      <c r="CV14" s="470">
        <v>368971756</v>
      </c>
      <c r="CW14" s="470">
        <v>822704982</v>
      </c>
      <c r="CX14" s="470">
        <v>619589686</v>
      </c>
      <c r="CY14" s="470">
        <v>0</v>
      </c>
      <c r="CZ14" s="479">
        <f>455193350-7</f>
        <v>455193343</v>
      </c>
      <c r="DA14" s="470">
        <v>0</v>
      </c>
      <c r="DB14" s="470">
        <v>148215539</v>
      </c>
      <c r="DC14" s="470">
        <v>0</v>
      </c>
      <c r="DD14" s="470"/>
      <c r="DE14" s="470">
        <v>0</v>
      </c>
      <c r="DF14" s="470"/>
      <c r="DG14" s="470">
        <v>0</v>
      </c>
      <c r="DH14" s="470"/>
      <c r="DI14" s="471">
        <f t="shared" si="2"/>
        <v>3139524028</v>
      </c>
      <c r="DJ14" s="471">
        <f t="shared" si="3"/>
        <v>3139524028</v>
      </c>
      <c r="DK14" s="471">
        <f>CL14+CN14+CP14+CR14+CT14+CV14+CX14+CZ14+DB14</f>
        <v>2524104970</v>
      </c>
      <c r="DL14" s="470">
        <f>DI14</f>
        <v>3139524028</v>
      </c>
      <c r="DM14" s="470">
        <f>DK14</f>
        <v>2524104970</v>
      </c>
      <c r="DN14" s="470">
        <v>0</v>
      </c>
      <c r="DO14" s="470">
        <v>0</v>
      </c>
      <c r="DP14" s="470">
        <v>0</v>
      </c>
      <c r="DQ14" s="470">
        <v>0</v>
      </c>
      <c r="DR14" s="470">
        <v>0</v>
      </c>
      <c r="DS14" s="470">
        <v>0</v>
      </c>
      <c r="DT14" s="470">
        <v>0</v>
      </c>
      <c r="DU14" s="470">
        <v>0</v>
      </c>
      <c r="DV14" s="470">
        <v>0</v>
      </c>
      <c r="DW14" s="470">
        <v>0</v>
      </c>
      <c r="DX14" s="470">
        <v>0</v>
      </c>
      <c r="DY14" s="470">
        <v>0</v>
      </c>
      <c r="DZ14" s="470">
        <v>0</v>
      </c>
      <c r="EA14" s="470">
        <v>0</v>
      </c>
      <c r="EB14" s="470">
        <v>0</v>
      </c>
      <c r="EC14" s="470">
        <v>0</v>
      </c>
      <c r="ED14" s="470">
        <v>0</v>
      </c>
      <c r="EE14" s="470">
        <v>0</v>
      </c>
      <c r="EF14" s="470">
        <v>0</v>
      </c>
      <c r="EG14" s="470">
        <v>0</v>
      </c>
      <c r="EH14" s="470">
        <v>0</v>
      </c>
      <c r="EI14" s="470">
        <v>0</v>
      </c>
      <c r="EJ14" s="470">
        <v>0</v>
      </c>
      <c r="EK14" s="470"/>
      <c r="EL14" s="470">
        <v>0</v>
      </c>
      <c r="EM14" s="470"/>
      <c r="EN14" s="470"/>
      <c r="EO14" s="470"/>
      <c r="EP14" s="470"/>
      <c r="EQ14" s="470">
        <v>0</v>
      </c>
      <c r="ER14" s="468">
        <f t="shared" ref="ER14:ER36" si="5">IFERROR(DB14/DA14,0)</f>
        <v>0</v>
      </c>
      <c r="ES14" s="469">
        <f>DK14/DJ14</f>
        <v>0.80397695557945892</v>
      </c>
      <c r="ET14" s="468">
        <f>DM14/DL14</f>
        <v>0.80397695557945892</v>
      </c>
      <c r="EU14" s="468">
        <f>(AA14+BE14+CI14+DK14)/(Z14+BD14+CH14+DJ14)</f>
        <v>0.86986863376459855</v>
      </c>
      <c r="EV14" s="468">
        <f>(AA14+BE14+CI14+DM14)/G14</f>
        <v>0.87079761397841893</v>
      </c>
      <c r="EW14" s="783"/>
      <c r="EX14" s="734"/>
      <c r="EY14" s="734"/>
      <c r="EZ14" s="734"/>
      <c r="FA14" s="734"/>
    </row>
    <row r="15" spans="1:157" ht="41.25" customHeight="1" thickBot="1" x14ac:dyDescent="0.3">
      <c r="A15" s="749"/>
      <c r="B15" s="756"/>
      <c r="C15" s="752"/>
      <c r="D15" s="752"/>
      <c r="E15" s="749"/>
      <c r="F15" s="321" t="s">
        <v>106</v>
      </c>
      <c r="G15" s="480">
        <f>G10+G13</f>
        <v>75</v>
      </c>
      <c r="H15" s="481">
        <f>+H10</f>
        <v>46</v>
      </c>
      <c r="I15" s="481">
        <f>+I10</f>
        <v>46</v>
      </c>
      <c r="J15" s="481">
        <f>J10+J13</f>
        <v>0</v>
      </c>
      <c r="K15" s="481">
        <f>+K10</f>
        <v>46</v>
      </c>
      <c r="L15" s="481">
        <f>L10+L13</f>
        <v>0</v>
      </c>
      <c r="M15" s="481">
        <f>+M10</f>
        <v>46</v>
      </c>
      <c r="N15" s="482">
        <f>N10+N13</f>
        <v>44.02</v>
      </c>
      <c r="O15" s="481">
        <f t="shared" ref="O15:T15" si="6">+O10</f>
        <v>46</v>
      </c>
      <c r="P15" s="482">
        <f t="shared" si="6"/>
        <v>44.39</v>
      </c>
      <c r="Q15" s="481">
        <f t="shared" si="6"/>
        <v>46</v>
      </c>
      <c r="R15" s="482">
        <f t="shared" si="6"/>
        <v>44.87</v>
      </c>
      <c r="S15" s="481">
        <f t="shared" si="6"/>
        <v>46</v>
      </c>
      <c r="T15" s="482">
        <f t="shared" si="6"/>
        <v>45.54</v>
      </c>
      <c r="U15" s="481">
        <v>46</v>
      </c>
      <c r="V15" s="482">
        <v>45.92</v>
      </c>
      <c r="W15" s="481"/>
      <c r="X15" s="481"/>
      <c r="Y15" s="481"/>
      <c r="Z15" s="480">
        <v>46</v>
      </c>
      <c r="AA15" s="480">
        <v>45.92</v>
      </c>
      <c r="AB15" s="482">
        <f>AB10+AB13</f>
        <v>56</v>
      </c>
      <c r="AC15" s="482">
        <f t="shared" ref="AC15:BE15" si="7">+AC10</f>
        <v>0.36</v>
      </c>
      <c r="AD15" s="482">
        <f t="shared" si="7"/>
        <v>0.36</v>
      </c>
      <c r="AE15" s="482">
        <f t="shared" si="7"/>
        <v>0.36</v>
      </c>
      <c r="AF15" s="482">
        <f t="shared" si="7"/>
        <v>0.36</v>
      </c>
      <c r="AG15" s="482">
        <f t="shared" si="7"/>
        <v>0.38</v>
      </c>
      <c r="AH15" s="482">
        <f t="shared" si="7"/>
        <v>0.38</v>
      </c>
      <c r="AI15" s="482">
        <f t="shared" si="7"/>
        <v>0.08</v>
      </c>
      <c r="AJ15" s="482">
        <f t="shared" si="7"/>
        <v>0.08</v>
      </c>
      <c r="AK15" s="482">
        <f t="shared" si="7"/>
        <v>0.3</v>
      </c>
      <c r="AL15" s="482">
        <f t="shared" si="7"/>
        <v>0.2</v>
      </c>
      <c r="AM15" s="482">
        <f t="shared" si="7"/>
        <v>0.85</v>
      </c>
      <c r="AN15" s="482">
        <f t="shared" si="7"/>
        <v>0.51</v>
      </c>
      <c r="AO15" s="482">
        <f t="shared" si="7"/>
        <v>0.95</v>
      </c>
      <c r="AP15" s="482">
        <f t="shared" si="7"/>
        <v>0.93</v>
      </c>
      <c r="AQ15" s="482">
        <f t="shared" si="7"/>
        <v>0.98</v>
      </c>
      <c r="AR15" s="482">
        <f t="shared" si="7"/>
        <v>0.45</v>
      </c>
      <c r="AS15" s="482">
        <f t="shared" si="7"/>
        <v>0.98</v>
      </c>
      <c r="AT15" s="482">
        <f t="shared" si="7"/>
        <v>0.76</v>
      </c>
      <c r="AU15" s="482">
        <f t="shared" si="7"/>
        <v>0.98</v>
      </c>
      <c r="AV15" s="482">
        <f t="shared" si="7"/>
        <v>0.91</v>
      </c>
      <c r="AW15" s="482">
        <f t="shared" si="7"/>
        <v>0.98</v>
      </c>
      <c r="AX15" s="482">
        <f t="shared" si="7"/>
        <v>0.8</v>
      </c>
      <c r="AY15" s="482">
        <f t="shared" si="7"/>
        <v>2.88</v>
      </c>
      <c r="AZ15" s="482">
        <f t="shared" si="7"/>
        <v>0.53</v>
      </c>
      <c r="BA15" s="482">
        <f t="shared" si="7"/>
        <v>10.080000000000002</v>
      </c>
      <c r="BB15" s="482">
        <f t="shared" si="7"/>
        <v>10.080000000000002</v>
      </c>
      <c r="BC15" s="482">
        <f t="shared" si="7"/>
        <v>6.2700000000000005</v>
      </c>
      <c r="BD15" s="480">
        <f t="shared" si="7"/>
        <v>56</v>
      </c>
      <c r="BE15" s="480">
        <f t="shared" si="7"/>
        <v>52.190000000000005</v>
      </c>
      <c r="BF15" s="483">
        <f t="shared" ref="BF15:DG15" si="8">BF10+BF13</f>
        <v>64</v>
      </c>
      <c r="BG15" s="484">
        <f t="shared" si="8"/>
        <v>0</v>
      </c>
      <c r="BH15" s="484">
        <f t="shared" si="8"/>
        <v>0</v>
      </c>
      <c r="BI15" s="484">
        <f t="shared" si="8"/>
        <v>0.4</v>
      </c>
      <c r="BJ15" s="484">
        <f t="shared" si="8"/>
        <v>0.4</v>
      </c>
      <c r="BK15" s="484">
        <f t="shared" si="8"/>
        <v>0.59</v>
      </c>
      <c r="BL15" s="483">
        <f t="shared" si="8"/>
        <v>0.59</v>
      </c>
      <c r="BM15" s="484">
        <f t="shared" si="8"/>
        <v>0.67</v>
      </c>
      <c r="BN15" s="484">
        <f t="shared" si="8"/>
        <v>0.67</v>
      </c>
      <c r="BO15" s="484">
        <f t="shared" si="8"/>
        <v>0.71</v>
      </c>
      <c r="BP15" s="484">
        <f t="shared" si="8"/>
        <v>0.65</v>
      </c>
      <c r="BQ15" s="484">
        <f t="shared" si="8"/>
        <v>1</v>
      </c>
      <c r="BR15" s="484">
        <f t="shared" si="8"/>
        <v>0.95</v>
      </c>
      <c r="BS15" s="484">
        <f t="shared" si="8"/>
        <v>1.39</v>
      </c>
      <c r="BT15" s="484">
        <f t="shared" si="8"/>
        <v>1.28</v>
      </c>
      <c r="BU15" s="483">
        <f t="shared" si="8"/>
        <v>1.51</v>
      </c>
      <c r="BV15" s="483">
        <f t="shared" si="8"/>
        <v>1.1200000000000001</v>
      </c>
      <c r="BW15" s="480">
        <f t="shared" si="8"/>
        <v>1.65</v>
      </c>
      <c r="BX15" s="480">
        <f t="shared" si="8"/>
        <v>1.21</v>
      </c>
      <c r="BY15" s="483">
        <f t="shared" si="8"/>
        <v>1.65</v>
      </c>
      <c r="BZ15" s="483">
        <f t="shared" si="8"/>
        <v>1.18</v>
      </c>
      <c r="CA15" s="480">
        <f t="shared" si="8"/>
        <v>1.57</v>
      </c>
      <c r="CB15" s="480">
        <f t="shared" si="8"/>
        <v>1.0900000000000001</v>
      </c>
      <c r="CC15" s="480">
        <f t="shared" si="8"/>
        <v>0.67</v>
      </c>
      <c r="CD15" s="480">
        <f t="shared" si="8"/>
        <v>1.28</v>
      </c>
      <c r="CE15" s="483">
        <f t="shared" si="8"/>
        <v>11.81</v>
      </c>
      <c r="CF15" s="483">
        <f t="shared" si="8"/>
        <v>11.81</v>
      </c>
      <c r="CG15" s="483">
        <f t="shared" si="8"/>
        <v>10.42</v>
      </c>
      <c r="CH15" s="483">
        <f t="shared" si="8"/>
        <v>64</v>
      </c>
      <c r="CI15" s="483">
        <f t="shared" si="8"/>
        <v>62.610000000000007</v>
      </c>
      <c r="CJ15" s="480">
        <f t="shared" si="8"/>
        <v>74</v>
      </c>
      <c r="CK15" s="482">
        <f t="shared" si="8"/>
        <v>0</v>
      </c>
      <c r="CL15" s="482">
        <f t="shared" si="8"/>
        <v>0</v>
      </c>
      <c r="CM15" s="482">
        <f t="shared" si="8"/>
        <v>0.2</v>
      </c>
      <c r="CN15" s="482">
        <f t="shared" si="8"/>
        <v>0.2</v>
      </c>
      <c r="CO15" s="484">
        <f t="shared" si="8"/>
        <v>0.4</v>
      </c>
      <c r="CP15" s="484">
        <f t="shared" si="8"/>
        <v>0.4</v>
      </c>
      <c r="CQ15" s="482">
        <f t="shared" si="8"/>
        <v>0.6</v>
      </c>
      <c r="CR15" s="482">
        <f>CR10+CR13</f>
        <v>0.57999999999999996</v>
      </c>
      <c r="CS15" s="482">
        <f t="shared" si="8"/>
        <v>1</v>
      </c>
      <c r="CT15" s="485">
        <f t="shared" si="8"/>
        <v>1</v>
      </c>
      <c r="CU15" s="482">
        <f t="shared" si="8"/>
        <v>1</v>
      </c>
      <c r="CV15" s="482">
        <f>CV10+CV13</f>
        <v>1</v>
      </c>
      <c r="CW15" s="482">
        <f t="shared" si="8"/>
        <v>1</v>
      </c>
      <c r="CX15" s="482">
        <f>CX10+CX13</f>
        <v>1</v>
      </c>
      <c r="CY15" s="482">
        <f t="shared" si="8"/>
        <v>1.39</v>
      </c>
      <c r="CZ15" s="482">
        <f>CZ10+CZ13</f>
        <v>0.92</v>
      </c>
      <c r="DA15" s="482">
        <f>DA10+DA13</f>
        <v>1.5</v>
      </c>
      <c r="DB15" s="482">
        <f>DB10+DB13</f>
        <v>0.92</v>
      </c>
      <c r="DC15" s="482">
        <f t="shared" si="8"/>
        <v>1.5</v>
      </c>
      <c r="DD15" s="482"/>
      <c r="DE15" s="482">
        <f t="shared" si="8"/>
        <v>1.5</v>
      </c>
      <c r="DF15" s="482"/>
      <c r="DG15" s="482">
        <f t="shared" si="8"/>
        <v>1.3</v>
      </c>
      <c r="DH15" s="482"/>
      <c r="DI15" s="480">
        <f t="shared" si="2"/>
        <v>11.39</v>
      </c>
      <c r="DJ15" s="480">
        <f t="shared" si="3"/>
        <v>7.09</v>
      </c>
      <c r="DK15" s="480">
        <f t="shared" si="3"/>
        <v>6.02</v>
      </c>
      <c r="DL15" s="482">
        <f>DL10+DL13</f>
        <v>74</v>
      </c>
      <c r="DM15" s="482">
        <f>DM10+DM13</f>
        <v>68.63000000000001</v>
      </c>
      <c r="DN15" s="480">
        <f>DN10+DN13</f>
        <v>75</v>
      </c>
      <c r="DO15" s="481"/>
      <c r="DP15" s="481"/>
      <c r="DQ15" s="481"/>
      <c r="DR15" s="481"/>
      <c r="DS15" s="481"/>
      <c r="DT15" s="481"/>
      <c r="DU15" s="481"/>
      <c r="DV15" s="481"/>
      <c r="DW15" s="481"/>
      <c r="DX15" s="481"/>
      <c r="DY15" s="481"/>
      <c r="DZ15" s="481"/>
      <c r="EA15" s="481"/>
      <c r="EB15" s="481"/>
      <c r="EC15" s="481"/>
      <c r="ED15" s="481"/>
      <c r="EE15" s="481"/>
      <c r="EF15" s="481"/>
      <c r="EG15" s="481"/>
      <c r="EH15" s="481"/>
      <c r="EI15" s="481"/>
      <c r="EJ15" s="481"/>
      <c r="EK15" s="481"/>
      <c r="EL15" s="481"/>
      <c r="EM15" s="481"/>
      <c r="EN15" s="481"/>
      <c r="EO15" s="481"/>
      <c r="EP15" s="481"/>
      <c r="EQ15" s="481"/>
      <c r="ER15" s="486">
        <f t="shared" si="5"/>
        <v>0.6133333333333334</v>
      </c>
      <c r="ES15" s="487">
        <f>DK15/DJ15</f>
        <v>0.84908321579689694</v>
      </c>
      <c r="ET15" s="486">
        <f>DM15/DL15</f>
        <v>0.92743243243243256</v>
      </c>
      <c r="EU15" s="486">
        <f>(AA15+BE15+CI15+DK15)/(Z15+BD15+CH15+DJ15)</f>
        <v>0.96331388295106612</v>
      </c>
      <c r="EV15" s="486">
        <f>(AA15+BE15+CI15+DM15)/G15</f>
        <v>3.0580000000000003</v>
      </c>
      <c r="EW15" s="783"/>
      <c r="EX15" s="734"/>
      <c r="EY15" s="734"/>
      <c r="EZ15" s="734"/>
      <c r="FA15" s="734"/>
    </row>
    <row r="16" spans="1:157" ht="41.25" customHeight="1" thickBot="1" x14ac:dyDescent="0.3">
      <c r="A16" s="749"/>
      <c r="B16" s="757"/>
      <c r="C16" s="753"/>
      <c r="D16" s="753"/>
      <c r="E16" s="760"/>
      <c r="F16" s="322" t="s">
        <v>107</v>
      </c>
      <c r="G16" s="488">
        <f>+G11+G14</f>
        <v>27020954928</v>
      </c>
      <c r="H16" s="489">
        <f t="shared" ref="H16:BS16" si="9">+H11+H14</f>
        <v>2239274028</v>
      </c>
      <c r="I16" s="489">
        <f t="shared" si="9"/>
        <v>2239274028</v>
      </c>
      <c r="J16" s="489">
        <f t="shared" si="9"/>
        <v>15250000</v>
      </c>
      <c r="K16" s="489">
        <f t="shared" si="9"/>
        <v>2239274028</v>
      </c>
      <c r="L16" s="489">
        <f t="shared" si="9"/>
        <v>15250000</v>
      </c>
      <c r="M16" s="489">
        <f t="shared" si="9"/>
        <v>2239274028</v>
      </c>
      <c r="N16" s="489">
        <f t="shared" si="9"/>
        <v>186734000</v>
      </c>
      <c r="O16" s="489">
        <f t="shared" si="9"/>
        <v>2239274028</v>
      </c>
      <c r="P16" s="489">
        <f t="shared" si="9"/>
        <v>208535000</v>
      </c>
      <c r="Q16" s="489">
        <f t="shared" si="9"/>
        <v>2239274028</v>
      </c>
      <c r="R16" s="489">
        <f t="shared" si="9"/>
        <v>208535000</v>
      </c>
      <c r="S16" s="489">
        <f t="shared" si="9"/>
        <v>2239274028</v>
      </c>
      <c r="T16" s="489">
        <f t="shared" si="9"/>
        <v>261972893</v>
      </c>
      <c r="U16" s="489">
        <f t="shared" si="9"/>
        <v>1985716202</v>
      </c>
      <c r="V16" s="489">
        <f t="shared" si="9"/>
        <v>835562923</v>
      </c>
      <c r="W16" s="489">
        <f t="shared" si="9"/>
        <v>0</v>
      </c>
      <c r="X16" s="489">
        <f t="shared" si="9"/>
        <v>0</v>
      </c>
      <c r="Y16" s="489">
        <f t="shared" si="9"/>
        <v>0</v>
      </c>
      <c r="Z16" s="489">
        <f t="shared" si="9"/>
        <v>1985716202</v>
      </c>
      <c r="AA16" s="489">
        <f t="shared" si="9"/>
        <v>835562923</v>
      </c>
      <c r="AB16" s="489">
        <f t="shared" si="9"/>
        <v>11942347002</v>
      </c>
      <c r="AC16" s="489">
        <f t="shared" si="9"/>
        <v>17458000</v>
      </c>
      <c r="AD16" s="489">
        <f t="shared" si="9"/>
        <v>17458000</v>
      </c>
      <c r="AE16" s="489">
        <f t="shared" si="9"/>
        <v>288655787</v>
      </c>
      <c r="AF16" s="489">
        <f t="shared" si="9"/>
        <v>288655787</v>
      </c>
      <c r="AG16" s="489">
        <f t="shared" si="9"/>
        <v>408312069</v>
      </c>
      <c r="AH16" s="489">
        <f t="shared" si="9"/>
        <v>408312069</v>
      </c>
      <c r="AI16" s="489">
        <f t="shared" si="9"/>
        <v>435138273</v>
      </c>
      <c r="AJ16" s="489">
        <f t="shared" si="9"/>
        <v>435138273</v>
      </c>
      <c r="AK16" s="489">
        <f t="shared" si="9"/>
        <v>38151620</v>
      </c>
      <c r="AL16" s="489">
        <f t="shared" si="9"/>
        <v>38151620</v>
      </c>
      <c r="AM16" s="489">
        <f t="shared" si="9"/>
        <v>0</v>
      </c>
      <c r="AN16" s="489">
        <f t="shared" si="9"/>
        <v>177646000</v>
      </c>
      <c r="AO16" s="489">
        <f t="shared" si="9"/>
        <v>498268253</v>
      </c>
      <c r="AP16" s="489">
        <f t="shared" si="9"/>
        <v>0</v>
      </c>
      <c r="AQ16" s="489">
        <f t="shared" si="9"/>
        <v>223940000</v>
      </c>
      <c r="AR16" s="489">
        <f t="shared" si="9"/>
        <v>26018008</v>
      </c>
      <c r="AS16" s="489">
        <f t="shared" si="9"/>
        <v>521491286</v>
      </c>
      <c r="AT16" s="489">
        <f t="shared" si="9"/>
        <v>18089500</v>
      </c>
      <c r="AU16" s="489">
        <f t="shared" si="9"/>
        <v>6102718655</v>
      </c>
      <c r="AV16" s="489">
        <f t="shared" si="9"/>
        <v>250254791</v>
      </c>
      <c r="AW16" s="489">
        <f t="shared" si="9"/>
        <v>502548000</v>
      </c>
      <c r="AX16" s="489">
        <f t="shared" si="9"/>
        <v>278976000</v>
      </c>
      <c r="AY16" s="489">
        <f t="shared" si="9"/>
        <v>1453262744</v>
      </c>
      <c r="AZ16" s="489">
        <f t="shared" si="9"/>
        <v>2683988234</v>
      </c>
      <c r="BA16" s="489">
        <f t="shared" si="9"/>
        <v>10489944687</v>
      </c>
      <c r="BB16" s="489">
        <f t="shared" si="9"/>
        <v>10489944687</v>
      </c>
      <c r="BC16" s="489">
        <f t="shared" si="9"/>
        <v>4622688282</v>
      </c>
      <c r="BD16" s="489">
        <f t="shared" si="9"/>
        <v>10489944687</v>
      </c>
      <c r="BE16" s="489">
        <f t="shared" si="9"/>
        <v>4622688282</v>
      </c>
      <c r="BF16" s="489">
        <f t="shared" si="9"/>
        <v>9707924986</v>
      </c>
      <c r="BG16" s="489">
        <f t="shared" si="9"/>
        <v>1335689934</v>
      </c>
      <c r="BH16" s="489">
        <f t="shared" si="9"/>
        <v>1335689934</v>
      </c>
      <c r="BI16" s="489">
        <f t="shared" si="9"/>
        <v>22140266</v>
      </c>
      <c r="BJ16" s="489">
        <f t="shared" si="9"/>
        <v>18438933</v>
      </c>
      <c r="BK16" s="489">
        <f t="shared" si="9"/>
        <v>295069387</v>
      </c>
      <c r="BL16" s="489">
        <f t="shared" si="9"/>
        <v>3489253</v>
      </c>
      <c r="BM16" s="489">
        <f t="shared" si="9"/>
        <v>215546170</v>
      </c>
      <c r="BN16" s="489">
        <f t="shared" si="9"/>
        <v>0</v>
      </c>
      <c r="BO16" s="489">
        <f t="shared" si="9"/>
        <v>0</v>
      </c>
      <c r="BP16" s="489">
        <f t="shared" si="9"/>
        <v>13760441</v>
      </c>
      <c r="BQ16" s="489">
        <f t="shared" si="9"/>
        <v>0</v>
      </c>
      <c r="BR16" s="489">
        <f t="shared" si="9"/>
        <v>30000000</v>
      </c>
      <c r="BS16" s="489">
        <f t="shared" si="9"/>
        <v>350105719</v>
      </c>
      <c r="BT16" s="489">
        <f t="shared" ref="BT16:DM16" si="10">+BT11+BT14</f>
        <v>547483197</v>
      </c>
      <c r="BU16" s="489">
        <f t="shared" si="10"/>
        <v>0</v>
      </c>
      <c r="BV16" s="489">
        <f t="shared" si="10"/>
        <v>4700201</v>
      </c>
      <c r="BW16" s="489">
        <f t="shared" si="10"/>
        <v>0</v>
      </c>
      <c r="BX16" s="489">
        <f t="shared" si="10"/>
        <v>0</v>
      </c>
      <c r="BY16" s="489">
        <f t="shared" si="10"/>
        <v>7294349000</v>
      </c>
      <c r="BZ16" s="489">
        <f t="shared" si="10"/>
        <v>0</v>
      </c>
      <c r="CA16" s="489">
        <f t="shared" si="10"/>
        <v>89543000</v>
      </c>
      <c r="CB16" s="489">
        <f t="shared" si="10"/>
        <v>5834986133</v>
      </c>
      <c r="CC16" s="489">
        <f t="shared" si="10"/>
        <v>364816463</v>
      </c>
      <c r="CD16" s="489">
        <f t="shared" si="10"/>
        <v>1651009160</v>
      </c>
      <c r="CE16" s="489">
        <f t="shared" si="10"/>
        <v>9967259939</v>
      </c>
      <c r="CF16" s="489">
        <f t="shared" si="10"/>
        <v>9967259939</v>
      </c>
      <c r="CG16" s="489">
        <f t="shared" si="10"/>
        <v>9439557252</v>
      </c>
      <c r="CH16" s="489">
        <f t="shared" si="10"/>
        <v>9967259939</v>
      </c>
      <c r="CI16" s="489">
        <f t="shared" si="10"/>
        <v>9439557252</v>
      </c>
      <c r="CJ16" s="489">
        <f t="shared" si="10"/>
        <v>10450919028</v>
      </c>
      <c r="CK16" s="489">
        <f t="shared" si="10"/>
        <v>6646687839</v>
      </c>
      <c r="CL16" s="489">
        <f t="shared" si="10"/>
        <v>6646687839</v>
      </c>
      <c r="CM16" s="489">
        <f t="shared" si="10"/>
        <v>656885235</v>
      </c>
      <c r="CN16" s="489">
        <f t="shared" si="10"/>
        <v>656885235</v>
      </c>
      <c r="CO16" s="489">
        <f t="shared" si="10"/>
        <v>191462920</v>
      </c>
      <c r="CP16" s="489">
        <f t="shared" si="10"/>
        <v>191462920</v>
      </c>
      <c r="CQ16" s="489">
        <f t="shared" si="10"/>
        <v>1399345401</v>
      </c>
      <c r="CR16" s="489">
        <f t="shared" si="10"/>
        <v>321479017</v>
      </c>
      <c r="CS16" s="489">
        <f t="shared" si="10"/>
        <v>672565324</v>
      </c>
      <c r="CT16" s="490">
        <f t="shared" si="10"/>
        <v>245013651</v>
      </c>
      <c r="CU16" s="489">
        <f>+CU11+CU14</f>
        <v>72888327</v>
      </c>
      <c r="CV16" s="489">
        <f>+CV11+CV14</f>
        <v>368971756</v>
      </c>
      <c r="CW16" s="489">
        <f t="shared" si="10"/>
        <v>822704982</v>
      </c>
      <c r="CX16" s="489">
        <f t="shared" si="10"/>
        <v>640525686</v>
      </c>
      <c r="CY16" s="489">
        <f>+CY11+CY14</f>
        <v>0</v>
      </c>
      <c r="CZ16" s="489">
        <f>+CZ11+CZ14</f>
        <v>455193343</v>
      </c>
      <c r="DA16" s="489">
        <f>+DA11+DA14</f>
        <v>-70393557</v>
      </c>
      <c r="DB16" s="489">
        <f>+DB11+DB14</f>
        <v>148215539</v>
      </c>
      <c r="DC16" s="489">
        <f t="shared" si="10"/>
        <v>0</v>
      </c>
      <c r="DD16" s="489"/>
      <c r="DE16" s="489">
        <f t="shared" si="10"/>
        <v>0</v>
      </c>
      <c r="DF16" s="489"/>
      <c r="DG16" s="489">
        <f t="shared" si="10"/>
        <v>0</v>
      </c>
      <c r="DH16" s="489"/>
      <c r="DI16" s="489">
        <f>+DI11+DI14</f>
        <v>10392146471</v>
      </c>
      <c r="DJ16" s="489">
        <f t="shared" si="10"/>
        <v>10392146471</v>
      </c>
      <c r="DK16" s="489">
        <f t="shared" si="10"/>
        <v>9674434986</v>
      </c>
      <c r="DL16" s="489">
        <f>+DL11+DL14</f>
        <v>10392146471</v>
      </c>
      <c r="DM16" s="489">
        <f t="shared" si="10"/>
        <v>9674434986</v>
      </c>
      <c r="DN16" s="489">
        <f>+DN11+DN14</f>
        <v>1731000000</v>
      </c>
      <c r="DO16" s="489">
        <f t="shared" ref="DO16:EQ16" si="11">DO11+DO14</f>
        <v>0</v>
      </c>
      <c r="DP16" s="489">
        <f t="shared" si="11"/>
        <v>0</v>
      </c>
      <c r="DQ16" s="489">
        <f t="shared" si="11"/>
        <v>0</v>
      </c>
      <c r="DR16" s="489">
        <f t="shared" si="11"/>
        <v>0</v>
      </c>
      <c r="DS16" s="489">
        <f t="shared" si="11"/>
        <v>0</v>
      </c>
      <c r="DT16" s="489">
        <f t="shared" si="11"/>
        <v>0</v>
      </c>
      <c r="DU16" s="489">
        <f t="shared" si="11"/>
        <v>0</v>
      </c>
      <c r="DV16" s="489">
        <f t="shared" si="11"/>
        <v>0</v>
      </c>
      <c r="DW16" s="489">
        <f t="shared" si="11"/>
        <v>0</v>
      </c>
      <c r="DX16" s="489">
        <f t="shared" si="11"/>
        <v>0</v>
      </c>
      <c r="DY16" s="489">
        <f t="shared" si="11"/>
        <v>0</v>
      </c>
      <c r="DZ16" s="489">
        <f t="shared" si="11"/>
        <v>0</v>
      </c>
      <c r="EA16" s="489">
        <f t="shared" si="11"/>
        <v>0</v>
      </c>
      <c r="EB16" s="489">
        <f t="shared" si="11"/>
        <v>0</v>
      </c>
      <c r="EC16" s="489">
        <f t="shared" si="11"/>
        <v>0</v>
      </c>
      <c r="ED16" s="489">
        <f t="shared" si="11"/>
        <v>0</v>
      </c>
      <c r="EE16" s="489">
        <f t="shared" si="11"/>
        <v>0</v>
      </c>
      <c r="EF16" s="489">
        <f t="shared" si="11"/>
        <v>0</v>
      </c>
      <c r="EG16" s="489">
        <f t="shared" si="11"/>
        <v>0</v>
      </c>
      <c r="EH16" s="489">
        <f t="shared" si="11"/>
        <v>0</v>
      </c>
      <c r="EI16" s="489">
        <f t="shared" si="11"/>
        <v>0</v>
      </c>
      <c r="EJ16" s="489">
        <f t="shared" si="11"/>
        <v>0</v>
      </c>
      <c r="EK16" s="489">
        <f t="shared" si="11"/>
        <v>0</v>
      </c>
      <c r="EL16" s="489">
        <f t="shared" si="11"/>
        <v>0</v>
      </c>
      <c r="EM16" s="489">
        <f t="shared" si="11"/>
        <v>0</v>
      </c>
      <c r="EN16" s="489">
        <f t="shared" si="11"/>
        <v>0</v>
      </c>
      <c r="EO16" s="489">
        <f t="shared" si="11"/>
        <v>0</v>
      </c>
      <c r="EP16" s="489">
        <f t="shared" si="11"/>
        <v>0</v>
      </c>
      <c r="EQ16" s="489">
        <f t="shared" si="11"/>
        <v>0</v>
      </c>
      <c r="ER16" s="491">
        <f t="shared" si="5"/>
        <v>-2.1055270583925743</v>
      </c>
      <c r="ES16" s="492">
        <f>DK16/DJ16</f>
        <v>0.93093712766627923</v>
      </c>
      <c r="ET16" s="491">
        <f>DM16/DL16</f>
        <v>0.93093712766627923</v>
      </c>
      <c r="EU16" s="491">
        <f>(AA16+BE16+CI16+DK16)/(Z16+BD16+CH16+DJ16)</f>
        <v>0.74835367990088919</v>
      </c>
      <c r="EV16" s="493">
        <f>(AA16+BE16+CI16+DM16)/G16</f>
        <v>0.90937731506807096</v>
      </c>
      <c r="EW16" s="784"/>
      <c r="EX16" s="734"/>
      <c r="EY16" s="734"/>
      <c r="EZ16" s="734"/>
      <c r="FA16" s="734"/>
    </row>
    <row r="17" spans="1:157" ht="27" customHeight="1" x14ac:dyDescent="0.25">
      <c r="A17" s="749"/>
      <c r="B17" s="755">
        <v>2</v>
      </c>
      <c r="C17" s="751" t="s">
        <v>108</v>
      </c>
      <c r="D17" s="754" t="s">
        <v>69</v>
      </c>
      <c r="E17" s="759">
        <v>216</v>
      </c>
      <c r="F17" s="318" t="s">
        <v>100</v>
      </c>
      <c r="G17" s="494">
        <f>AA17+BE17+CI17+DL17+DN17</f>
        <v>214.85</v>
      </c>
      <c r="H17" s="495">
        <v>5</v>
      </c>
      <c r="I17" s="495">
        <v>5</v>
      </c>
      <c r="J17" s="495">
        <v>0</v>
      </c>
      <c r="K17" s="495">
        <v>5</v>
      </c>
      <c r="L17" s="495">
        <v>0</v>
      </c>
      <c r="M17" s="495">
        <v>5</v>
      </c>
      <c r="N17" s="495">
        <v>0</v>
      </c>
      <c r="O17" s="495">
        <v>5</v>
      </c>
      <c r="P17" s="496">
        <v>0.24</v>
      </c>
      <c r="Q17" s="495">
        <v>5</v>
      </c>
      <c r="R17" s="496">
        <v>1.54</v>
      </c>
      <c r="S17" s="495">
        <v>5</v>
      </c>
      <c r="T17" s="497">
        <f>+[1]GESTIÓN!V14</f>
        <v>2.5379999999999998</v>
      </c>
      <c r="U17" s="495">
        <v>5</v>
      </c>
      <c r="V17" s="496">
        <v>5.49</v>
      </c>
      <c r="W17" s="495"/>
      <c r="X17" s="495"/>
      <c r="Y17" s="495"/>
      <c r="Z17" s="494">
        <v>5</v>
      </c>
      <c r="AA17" s="494">
        <v>5.49</v>
      </c>
      <c r="AB17" s="495">
        <v>50</v>
      </c>
      <c r="AC17" s="496">
        <v>0.12</v>
      </c>
      <c r="AD17" s="496">
        <v>0.12</v>
      </c>
      <c r="AE17" s="496">
        <v>0</v>
      </c>
      <c r="AF17" s="496">
        <v>0</v>
      </c>
      <c r="AG17" s="496">
        <v>0</v>
      </c>
      <c r="AH17" s="496">
        <v>0</v>
      </c>
      <c r="AI17" s="496">
        <v>0</v>
      </c>
      <c r="AJ17" s="496">
        <v>0</v>
      </c>
      <c r="AK17" s="495">
        <v>0</v>
      </c>
      <c r="AL17" s="495">
        <v>0</v>
      </c>
      <c r="AM17" s="498">
        <v>0</v>
      </c>
      <c r="AN17" s="498">
        <v>0.98</v>
      </c>
      <c r="AO17" s="499">
        <v>0</v>
      </c>
      <c r="AP17" s="499">
        <v>0</v>
      </c>
      <c r="AQ17" s="499">
        <v>0</v>
      </c>
      <c r="AR17" s="498">
        <v>0.63</v>
      </c>
      <c r="AS17" s="499">
        <v>0</v>
      </c>
      <c r="AT17" s="498">
        <v>0.51</v>
      </c>
      <c r="AU17" s="499">
        <v>9.8800000000000008</v>
      </c>
      <c r="AV17" s="498">
        <v>4.05</v>
      </c>
      <c r="AW17" s="498">
        <v>20</v>
      </c>
      <c r="AX17" s="498">
        <v>4.7699999999999996</v>
      </c>
      <c r="AY17" s="498">
        <v>20</v>
      </c>
      <c r="AZ17" s="498">
        <v>3.13</v>
      </c>
      <c r="BA17" s="496">
        <f>AC17+AE17+AG17+AI17+AK17+AM17+AO17+AQ17+AS17+AU17+AW17+AY17</f>
        <v>50</v>
      </c>
      <c r="BB17" s="496">
        <f t="shared" ref="BB17:BC19" si="12">AC17+AE17+AG17+AI17+AK17+AM17+AO17+AQ17+AS17+AU17+AW17+AY17</f>
        <v>50</v>
      </c>
      <c r="BC17" s="496">
        <f t="shared" si="12"/>
        <v>14.189999999999998</v>
      </c>
      <c r="BD17" s="494">
        <f>BA17</f>
        <v>50</v>
      </c>
      <c r="BE17" s="494">
        <f>BC17</f>
        <v>14.189999999999998</v>
      </c>
      <c r="BF17" s="494">
        <v>150</v>
      </c>
      <c r="BG17" s="500">
        <v>0</v>
      </c>
      <c r="BH17" s="500">
        <v>0</v>
      </c>
      <c r="BI17" s="500">
        <v>0</v>
      </c>
      <c r="BJ17" s="499">
        <v>0</v>
      </c>
      <c r="BK17" s="500">
        <v>1.84</v>
      </c>
      <c r="BL17" s="499">
        <v>3.2</v>
      </c>
      <c r="BM17" s="500">
        <v>0</v>
      </c>
      <c r="BN17" s="499">
        <v>0.1</v>
      </c>
      <c r="BO17" s="500">
        <v>0</v>
      </c>
      <c r="BP17" s="499">
        <v>0.97</v>
      </c>
      <c r="BQ17" s="500">
        <v>0</v>
      </c>
      <c r="BR17" s="499">
        <v>0.09</v>
      </c>
      <c r="BS17" s="500">
        <v>10</v>
      </c>
      <c r="BT17" s="499">
        <v>12.53</v>
      </c>
      <c r="BU17" s="499">
        <v>10.19</v>
      </c>
      <c r="BV17" s="499">
        <v>0.13</v>
      </c>
      <c r="BW17" s="499">
        <v>0.47</v>
      </c>
      <c r="BX17" s="499">
        <v>7.44</v>
      </c>
      <c r="BY17" s="499">
        <v>0.5</v>
      </c>
      <c r="BZ17" s="499">
        <v>2.72</v>
      </c>
      <c r="CA17" s="499">
        <v>60</v>
      </c>
      <c r="CB17" s="499">
        <v>0.97</v>
      </c>
      <c r="CC17" s="499">
        <v>67</v>
      </c>
      <c r="CD17" s="494">
        <v>2.5099999999999998</v>
      </c>
      <c r="CE17" s="499">
        <f>CC17+CA17+BY17+BW17+BS17+BQ17+BO17+BM17+BK17+BI17+BG17+BU17</f>
        <v>150</v>
      </c>
      <c r="CF17" s="494">
        <f>BG17+BI17+BK17+BM17+BO17+BQ17+BS17+BU17+BW17+BY17+CA17+CC17</f>
        <v>150</v>
      </c>
      <c r="CG17" s="494">
        <f>BH17+BJ17+BL17+BN17+BP17+BR17+BT17+BV17+BX17+BZ17+CB17+CD17</f>
        <v>30.659999999999997</v>
      </c>
      <c r="CH17" s="494">
        <f>CE17</f>
        <v>150</v>
      </c>
      <c r="CI17" s="499">
        <f>CG17</f>
        <v>30.659999999999997</v>
      </c>
      <c r="CJ17" s="494">
        <v>135</v>
      </c>
      <c r="CK17" s="499">
        <v>0</v>
      </c>
      <c r="CL17" s="499">
        <v>0</v>
      </c>
      <c r="CM17" s="499">
        <v>0.03</v>
      </c>
      <c r="CN17" s="499">
        <v>2.9000000000000001E-2</v>
      </c>
      <c r="CO17" s="500">
        <v>0.01</v>
      </c>
      <c r="CP17" s="501">
        <v>5.0000000000000001E-3</v>
      </c>
      <c r="CQ17" s="499">
        <v>0</v>
      </c>
      <c r="CR17" s="499">
        <v>4.4800000000000004</v>
      </c>
      <c r="CS17" s="499">
        <v>0</v>
      </c>
      <c r="CT17" s="502">
        <v>0.06</v>
      </c>
      <c r="CU17" s="499">
        <v>0</v>
      </c>
      <c r="CV17" s="499">
        <v>0.73</v>
      </c>
      <c r="CW17" s="499">
        <v>0</v>
      </c>
      <c r="CX17" s="499">
        <v>0</v>
      </c>
      <c r="CY17" s="499">
        <v>0</v>
      </c>
      <c r="CZ17" s="499">
        <v>0.97</v>
      </c>
      <c r="DA17" s="499">
        <v>39.97</v>
      </c>
      <c r="DB17" s="499">
        <v>0.38</v>
      </c>
      <c r="DC17" s="499">
        <v>40</v>
      </c>
      <c r="DD17" s="499"/>
      <c r="DE17" s="499">
        <v>40</v>
      </c>
      <c r="DF17" s="499"/>
      <c r="DG17" s="499">
        <v>15</v>
      </c>
      <c r="DH17" s="499"/>
      <c r="DI17" s="503">
        <f t="shared" ref="DI17:DI22" si="13">DG17+DE17+DC17+DA17+CW17+CU17+CS17+CQ17+CO17+CM17+CK17+CY17</f>
        <v>135.01</v>
      </c>
      <c r="DJ17" s="494">
        <f t="shared" ref="DJ17:DK22" si="14">CK17+CM17+CO17+CQ17+CS17+CU17+CW17+CY17+DA17</f>
        <v>40.01</v>
      </c>
      <c r="DK17" s="494">
        <f t="shared" si="14"/>
        <v>6.6539999999999999</v>
      </c>
      <c r="DL17" s="504">
        <v>135</v>
      </c>
      <c r="DM17" s="499">
        <f t="shared" ref="DM17:DM22" si="15">+DK17</f>
        <v>6.6539999999999999</v>
      </c>
      <c r="DN17" s="494">
        <v>29.51</v>
      </c>
      <c r="DO17" s="495"/>
      <c r="DP17" s="495"/>
      <c r="DQ17" s="495"/>
      <c r="DR17" s="495"/>
      <c r="DS17" s="495"/>
      <c r="DT17" s="495"/>
      <c r="DU17" s="495"/>
      <c r="DV17" s="495"/>
      <c r="DW17" s="495"/>
      <c r="DX17" s="495"/>
      <c r="DY17" s="495"/>
      <c r="DZ17" s="495"/>
      <c r="EA17" s="495"/>
      <c r="EB17" s="495"/>
      <c r="EC17" s="495"/>
      <c r="ED17" s="495"/>
      <c r="EE17" s="495"/>
      <c r="EF17" s="495"/>
      <c r="EG17" s="495"/>
      <c r="EH17" s="495"/>
      <c r="EI17" s="495"/>
      <c r="EJ17" s="495"/>
      <c r="EK17" s="495"/>
      <c r="EL17" s="495"/>
      <c r="EM17" s="495"/>
      <c r="EN17" s="495"/>
      <c r="EO17" s="495"/>
      <c r="EP17" s="495"/>
      <c r="EQ17" s="495"/>
      <c r="ER17" s="505">
        <f t="shared" si="5"/>
        <v>9.5071303477608209E-3</v>
      </c>
      <c r="ES17" s="506">
        <f>IFERROR(DK17/DJ17,0)</f>
        <v>0.16630842289427644</v>
      </c>
      <c r="ET17" s="505">
        <f>DM17/DL17</f>
        <v>4.9288888888888889E-2</v>
      </c>
      <c r="EU17" s="505">
        <f>(AA17+BE17+CI17+DK17)/(Z17+BD17+CH17+DJ17)</f>
        <v>0.23261907677237664</v>
      </c>
      <c r="EV17" s="505">
        <f>(AA17+BE17+CI17+DM17)/G17</f>
        <v>0.26527344659064467</v>
      </c>
      <c r="EW17" s="785" t="s">
        <v>693</v>
      </c>
      <c r="EX17" s="735" t="s">
        <v>688</v>
      </c>
      <c r="EY17" s="735" t="s">
        <v>619</v>
      </c>
      <c r="EZ17" s="733" t="s">
        <v>70</v>
      </c>
      <c r="FA17" s="733" t="s">
        <v>65</v>
      </c>
    </row>
    <row r="18" spans="1:157" ht="27" customHeight="1" x14ac:dyDescent="0.25">
      <c r="A18" s="749"/>
      <c r="B18" s="756"/>
      <c r="C18" s="762"/>
      <c r="D18" s="752"/>
      <c r="E18" s="749"/>
      <c r="F18" s="319" t="s">
        <v>102</v>
      </c>
      <c r="G18" s="470">
        <f>AA18+BE18+CI18+DL18+DN18</f>
        <v>32441390719</v>
      </c>
      <c r="H18" s="470">
        <v>632180000</v>
      </c>
      <c r="I18" s="470">
        <v>632180000</v>
      </c>
      <c r="J18" s="470">
        <v>0</v>
      </c>
      <c r="K18" s="470">
        <v>632180000</v>
      </c>
      <c r="L18" s="470">
        <v>0</v>
      </c>
      <c r="M18" s="470">
        <v>632180000</v>
      </c>
      <c r="N18" s="470">
        <v>183792000</v>
      </c>
      <c r="O18" s="470">
        <v>632180000</v>
      </c>
      <c r="P18" s="470">
        <f>N18+6270000</f>
        <v>190062000</v>
      </c>
      <c r="Q18" s="470">
        <v>632180000</v>
      </c>
      <c r="R18" s="470">
        <f>+P18</f>
        <v>190062000</v>
      </c>
      <c r="S18" s="470">
        <v>632180000</v>
      </c>
      <c r="T18" s="470">
        <v>208073593</v>
      </c>
      <c r="U18" s="470">
        <v>588967593</v>
      </c>
      <c r="V18" s="470">
        <v>543446593</v>
      </c>
      <c r="W18" s="470"/>
      <c r="X18" s="470"/>
      <c r="Y18" s="470"/>
      <c r="Z18" s="470">
        <v>588967593</v>
      </c>
      <c r="AA18" s="471">
        <v>543446593</v>
      </c>
      <c r="AB18" s="471">
        <v>5009181000</v>
      </c>
      <c r="AC18" s="470">
        <v>0</v>
      </c>
      <c r="AD18" s="470">
        <v>0</v>
      </c>
      <c r="AE18" s="470">
        <v>0</v>
      </c>
      <c r="AF18" s="470">
        <v>0</v>
      </c>
      <c r="AG18" s="470">
        <v>226464000</v>
      </c>
      <c r="AH18" s="470">
        <v>226464000</v>
      </c>
      <c r="AI18" s="470">
        <v>213632000</v>
      </c>
      <c r="AJ18" s="470">
        <v>213632000</v>
      </c>
      <c r="AK18" s="470">
        <v>0</v>
      </c>
      <c r="AL18" s="470">
        <v>0</v>
      </c>
      <c r="AM18" s="470">
        <v>0</v>
      </c>
      <c r="AN18" s="470">
        <v>68323000</v>
      </c>
      <c r="AO18" s="472">
        <f>571823000</f>
        <v>571823000</v>
      </c>
      <c r="AP18" s="470">
        <v>0</v>
      </c>
      <c r="AQ18" s="470">
        <v>0</v>
      </c>
      <c r="AR18" s="470">
        <v>0</v>
      </c>
      <c r="AS18" s="470">
        <f>258186000+125036000-191630673</f>
        <v>191591327</v>
      </c>
      <c r="AT18" s="470">
        <v>3500000</v>
      </c>
      <c r="AU18" s="470">
        <v>2631583942</v>
      </c>
      <c r="AV18" s="470">
        <v>403971071</v>
      </c>
      <c r="AW18" s="470">
        <v>0</v>
      </c>
      <c r="AX18" s="470">
        <v>0</v>
      </c>
      <c r="AY18" s="470">
        <v>297053713</v>
      </c>
      <c r="AZ18" s="470">
        <v>2605714423</v>
      </c>
      <c r="BA18" s="471">
        <f>AC18+AE18+AG18+AI18+AK18+AM18+AO18+AQ18+AS18+AU18+AW18+AY18</f>
        <v>4132147982</v>
      </c>
      <c r="BB18" s="471">
        <f t="shared" si="12"/>
        <v>4132147982</v>
      </c>
      <c r="BC18" s="471">
        <f t="shared" si="12"/>
        <v>3521604494</v>
      </c>
      <c r="BD18" s="471">
        <f>BA18</f>
        <v>4132147982</v>
      </c>
      <c r="BE18" s="471">
        <f>BC18</f>
        <v>3521604494</v>
      </c>
      <c r="BF18" s="471">
        <v>7818660000</v>
      </c>
      <c r="BG18" s="472">
        <v>840161000</v>
      </c>
      <c r="BH18" s="472">
        <v>840161000</v>
      </c>
      <c r="BI18" s="472">
        <v>0</v>
      </c>
      <c r="BJ18" s="470">
        <v>0</v>
      </c>
      <c r="BK18" s="472">
        <v>0</v>
      </c>
      <c r="BL18" s="470">
        <v>0</v>
      </c>
      <c r="BM18" s="472">
        <v>324000000</v>
      </c>
      <c r="BN18" s="470">
        <v>320598750</v>
      </c>
      <c r="BO18" s="472">
        <v>15649000</v>
      </c>
      <c r="BP18" s="470">
        <v>0</v>
      </c>
      <c r="BQ18" s="472">
        <v>0</v>
      </c>
      <c r="BR18" s="470">
        <v>0</v>
      </c>
      <c r="BS18" s="472">
        <f>201151000-9338000+12630000</f>
        <v>204443000</v>
      </c>
      <c r="BT18" s="470">
        <v>0</v>
      </c>
      <c r="BU18" s="470">
        <v>0</v>
      </c>
      <c r="BV18" s="470">
        <v>20114014</v>
      </c>
      <c r="BW18" s="470">
        <v>0</v>
      </c>
      <c r="BX18" s="470">
        <v>16029937</v>
      </c>
      <c r="BY18" s="470">
        <v>6426000000</v>
      </c>
      <c r="BZ18" s="470">
        <v>0</v>
      </c>
      <c r="CA18" s="470">
        <f>11699000+16030000-10623973</f>
        <v>17105027</v>
      </c>
      <c r="CB18" s="470">
        <v>15131400</v>
      </c>
      <c r="CC18" s="470">
        <f>53985500</f>
        <v>53985500</v>
      </c>
      <c r="CD18" s="470">
        <v>6666805234</v>
      </c>
      <c r="CE18" s="470">
        <f>CC18+CA18+BY18+BW18+BS18+BQ18+BO18+BM18+BK18+BI18+BG18+BU18</f>
        <v>7881343527</v>
      </c>
      <c r="CF18" s="470">
        <f>BG18+BI18+BK18+BM18+BO18+BQ18+BS18+BU18+BW18+BY18+CA18+CC18</f>
        <v>7881343527</v>
      </c>
      <c r="CG18" s="470">
        <f>BH18+BJ18+BL18+BN18+BP18+BR18+BT18+BV18+BX18+BZ18+CB18+CD18</f>
        <v>7878840335</v>
      </c>
      <c r="CH18" s="470">
        <f>CE18</f>
        <v>7881343527</v>
      </c>
      <c r="CI18" s="470">
        <f>CG18</f>
        <v>7878840335</v>
      </c>
      <c r="CJ18" s="471">
        <v>15639526000</v>
      </c>
      <c r="CK18" s="472">
        <v>11982335825</v>
      </c>
      <c r="CL18" s="472">
        <v>11982335825</v>
      </c>
      <c r="CM18" s="472">
        <v>819523000</v>
      </c>
      <c r="CN18" s="472">
        <v>819523000</v>
      </c>
      <c r="CO18" s="472">
        <v>154974000</v>
      </c>
      <c r="CP18" s="472">
        <v>154974000</v>
      </c>
      <c r="CQ18" s="472">
        <v>200000000</v>
      </c>
      <c r="CR18" s="470">
        <v>0</v>
      </c>
      <c r="CS18" s="472">
        <v>0</v>
      </c>
      <c r="CT18" s="473">
        <v>2187493</v>
      </c>
      <c r="CU18" s="472">
        <f>2414395175+1255245297-104974000</f>
        <v>3564666472</v>
      </c>
      <c r="CV18" s="470">
        <v>2734503</v>
      </c>
      <c r="CW18" s="470">
        <v>0</v>
      </c>
      <c r="CX18" s="470">
        <v>0</v>
      </c>
      <c r="CY18" s="470">
        <v>0</v>
      </c>
      <c r="CZ18" s="470">
        <v>0</v>
      </c>
      <c r="DA18" s="470">
        <v>-20000000</v>
      </c>
      <c r="DB18" s="470">
        <v>-32363500</v>
      </c>
      <c r="DC18" s="470">
        <v>0</v>
      </c>
      <c r="DD18" s="470"/>
      <c r="DE18" s="470">
        <v>0</v>
      </c>
      <c r="DF18" s="470"/>
      <c r="DG18" s="470">
        <v>0</v>
      </c>
      <c r="DH18" s="470"/>
      <c r="DI18" s="507">
        <f t="shared" si="13"/>
        <v>16701499297</v>
      </c>
      <c r="DJ18" s="471">
        <f t="shared" si="14"/>
        <v>16701499297</v>
      </c>
      <c r="DK18" s="471">
        <f t="shared" si="14"/>
        <v>12929391321</v>
      </c>
      <c r="DL18" s="508">
        <f>DI18</f>
        <v>16701499297</v>
      </c>
      <c r="DM18" s="508">
        <f t="shared" si="15"/>
        <v>12929391321</v>
      </c>
      <c r="DN18" s="470">
        <v>3796000000</v>
      </c>
      <c r="DO18" s="479"/>
      <c r="DP18" s="479"/>
      <c r="DQ18" s="479"/>
      <c r="DR18" s="479"/>
      <c r="DS18" s="479"/>
      <c r="DT18" s="479"/>
      <c r="DU18" s="479"/>
      <c r="DV18" s="479"/>
      <c r="DW18" s="479"/>
      <c r="DX18" s="479"/>
      <c r="DY18" s="479"/>
      <c r="DZ18" s="479"/>
      <c r="EA18" s="479"/>
      <c r="EB18" s="479"/>
      <c r="EC18" s="479"/>
      <c r="ED18" s="479"/>
      <c r="EE18" s="479"/>
      <c r="EF18" s="479"/>
      <c r="EG18" s="479"/>
      <c r="EH18" s="479"/>
      <c r="EI18" s="479"/>
      <c r="EJ18" s="479"/>
      <c r="EK18" s="479"/>
      <c r="EL18" s="479"/>
      <c r="EM18" s="479"/>
      <c r="EN18" s="479"/>
      <c r="EO18" s="479"/>
      <c r="EP18" s="479"/>
      <c r="EQ18" s="479"/>
      <c r="ER18" s="468">
        <f t="shared" si="5"/>
        <v>1.6181749999999999</v>
      </c>
      <c r="ES18" s="469">
        <f t="shared" ref="ES18:ES36" si="16">DK18/DJ18</f>
        <v>0.77414554771872701</v>
      </c>
      <c r="ET18" s="468">
        <f t="shared" ref="ET18:ET36" si="17">DM18/DL18</f>
        <v>0.77414554771872701</v>
      </c>
      <c r="EU18" s="468">
        <f>(AA18+BE18+CI18+DK18)/(Z18+BD18+CH18+DJ18)</f>
        <v>0.84880282739716162</v>
      </c>
      <c r="EV18" s="468">
        <f>(AA18+BE18+CI18+DM18)/G18</f>
        <v>0.76671444077249207</v>
      </c>
      <c r="EW18" s="734"/>
      <c r="EX18" s="734"/>
      <c r="EY18" s="734"/>
      <c r="EZ18" s="734"/>
      <c r="FA18" s="734"/>
    </row>
    <row r="19" spans="1:157" ht="24" customHeight="1" x14ac:dyDescent="0.25">
      <c r="A19" s="749"/>
      <c r="B19" s="756"/>
      <c r="C19" s="762"/>
      <c r="D19" s="752"/>
      <c r="E19" s="749"/>
      <c r="F19" s="320" t="s">
        <v>103</v>
      </c>
      <c r="G19" s="470"/>
      <c r="H19" s="479"/>
      <c r="I19" s="479"/>
      <c r="J19" s="479"/>
      <c r="K19" s="479"/>
      <c r="L19" s="479"/>
      <c r="M19" s="479"/>
      <c r="N19" s="479"/>
      <c r="O19" s="479"/>
      <c r="P19" s="479"/>
      <c r="Q19" s="479"/>
      <c r="R19" s="479"/>
      <c r="S19" s="479"/>
      <c r="T19" s="479"/>
      <c r="U19" s="479"/>
      <c r="V19" s="479"/>
      <c r="W19" s="479"/>
      <c r="X19" s="479"/>
      <c r="Y19" s="479"/>
      <c r="Z19" s="470"/>
      <c r="AA19" s="471"/>
      <c r="AB19" s="509"/>
      <c r="AC19" s="470">
        <v>0</v>
      </c>
      <c r="AD19" s="470">
        <v>0</v>
      </c>
      <c r="AE19" s="470">
        <v>0</v>
      </c>
      <c r="AF19" s="470">
        <v>0</v>
      </c>
      <c r="AG19" s="470">
        <v>0</v>
      </c>
      <c r="AH19" s="470">
        <v>0</v>
      </c>
      <c r="AI19" s="478">
        <v>196733</v>
      </c>
      <c r="AJ19" s="478">
        <v>196733</v>
      </c>
      <c r="AK19" s="470">
        <v>37336700</v>
      </c>
      <c r="AL19" s="470">
        <v>37336700</v>
      </c>
      <c r="AM19" s="470">
        <v>72318000</v>
      </c>
      <c r="AN19" s="470">
        <v>28238400</v>
      </c>
      <c r="AO19" s="470">
        <v>68482000</v>
      </c>
      <c r="AP19" s="470">
        <v>50061867</v>
      </c>
      <c r="AQ19" s="472">
        <v>571823000</v>
      </c>
      <c r="AR19" s="470">
        <v>63673866</v>
      </c>
      <c r="AS19" s="470">
        <f>258186000-191630673</f>
        <v>66555327</v>
      </c>
      <c r="AT19" s="470">
        <v>92630462</v>
      </c>
      <c r="AU19" s="470">
        <v>1000000000</v>
      </c>
      <c r="AV19" s="470">
        <v>74794405</v>
      </c>
      <c r="AW19" s="470">
        <v>1631583942</v>
      </c>
      <c r="AX19" s="470">
        <v>67309000</v>
      </c>
      <c r="AY19" s="470">
        <f>604313567+125036000+12659000</f>
        <v>742008567</v>
      </c>
      <c r="AZ19" s="470">
        <v>34943595</v>
      </c>
      <c r="BA19" s="476">
        <f>AC19+AE19+AG19+AI19+AK19+AM19+AO19+AQ19+AS19+AU19+AW19+AY19</f>
        <v>4190304269</v>
      </c>
      <c r="BB19" s="476">
        <f t="shared" si="12"/>
        <v>4190304269</v>
      </c>
      <c r="BC19" s="476">
        <f t="shared" si="12"/>
        <v>449185028</v>
      </c>
      <c r="BD19" s="471">
        <f>BA19+AA19</f>
        <v>4190304269</v>
      </c>
      <c r="BE19" s="471">
        <f>BC19+AA19</f>
        <v>449185028</v>
      </c>
      <c r="BF19" s="471">
        <v>7818660000</v>
      </c>
      <c r="BG19" s="470">
        <v>0</v>
      </c>
      <c r="BH19" s="470">
        <v>0</v>
      </c>
      <c r="BI19" s="470">
        <v>13406818</v>
      </c>
      <c r="BJ19" s="470">
        <v>0</v>
      </c>
      <c r="BK19" s="470">
        <v>78137818</v>
      </c>
      <c r="BL19" s="470">
        <v>57306881</v>
      </c>
      <c r="BM19" s="470">
        <v>78137818</v>
      </c>
      <c r="BN19" s="470">
        <v>97475488</v>
      </c>
      <c r="BO19" s="470">
        <f>159137818-9338000</f>
        <v>149799818</v>
      </c>
      <c r="BP19" s="470">
        <v>83824000</v>
      </c>
      <c r="BQ19" s="470">
        <v>174786818</v>
      </c>
      <c r="BR19" s="470">
        <v>57141000</v>
      </c>
      <c r="BS19" s="470">
        <v>194329652</v>
      </c>
      <c r="BT19" s="470">
        <v>169630318</v>
      </c>
      <c r="BU19" s="470">
        <v>194329652</v>
      </c>
      <c r="BV19" s="470">
        <v>130772627</v>
      </c>
      <c r="BW19" s="470">
        <v>110829652</v>
      </c>
      <c r="BX19" s="470">
        <v>136433830</v>
      </c>
      <c r="BY19" s="470">
        <v>2252829652</v>
      </c>
      <c r="BZ19" s="470">
        <v>108022123</v>
      </c>
      <c r="CA19" s="470">
        <f>2264528652+16030000-10623973</f>
        <v>2269934679</v>
      </c>
      <c r="CB19" s="470">
        <v>97881032</v>
      </c>
      <c r="CC19" s="470">
        <f>2298205650+12630000+53985500</f>
        <v>2364821150</v>
      </c>
      <c r="CD19" s="470">
        <v>113419278</v>
      </c>
      <c r="CE19" s="470">
        <f>CC19+CA19+BY19+BW19+BS19+BQ19+BO19+BM19+BK19+BI19+BG19+BU19</f>
        <v>7881343527</v>
      </c>
      <c r="CF19" s="470">
        <f>BG19+BI19+BK19+BM19+BO19+BQ19+BS19+BU19+BW19+BY19+CA19</f>
        <v>5516522377</v>
      </c>
      <c r="CG19" s="470">
        <f>BH19+BJ19+BL19+BN19+BP19+BR19+BT19+BV19+BX19+BZ19+CB19+CD19</f>
        <v>1051906577</v>
      </c>
      <c r="CH19" s="470">
        <f>CE19</f>
        <v>7881343527</v>
      </c>
      <c r="CI19" s="470">
        <f>CG19</f>
        <v>1051906577</v>
      </c>
      <c r="CJ19" s="471">
        <v>15639526000</v>
      </c>
      <c r="CK19" s="470">
        <v>0</v>
      </c>
      <c r="CL19" s="470">
        <v>0</v>
      </c>
      <c r="CM19" s="472">
        <v>0</v>
      </c>
      <c r="CN19" s="470">
        <v>0</v>
      </c>
      <c r="CO19" s="472">
        <v>14962500</v>
      </c>
      <c r="CP19" s="472">
        <v>14962500</v>
      </c>
      <c r="CQ19" s="472">
        <v>95510000</v>
      </c>
      <c r="CR19" s="470">
        <v>98642733</v>
      </c>
      <c r="CS19" s="472">
        <v>95510000</v>
      </c>
      <c r="CT19" s="473">
        <v>97146793</v>
      </c>
      <c r="CU19" s="472">
        <v>95510000</v>
      </c>
      <c r="CV19" s="470">
        <v>101872182</v>
      </c>
      <c r="CW19" s="472">
        <v>132617545</v>
      </c>
      <c r="CX19" s="470">
        <v>127926806</v>
      </c>
      <c r="CY19" s="472">
        <v>132617545</v>
      </c>
      <c r="CZ19" s="470">
        <v>118214590</v>
      </c>
      <c r="DA19" s="472">
        <f>6259980545-20000000</f>
        <v>6239980545</v>
      </c>
      <c r="DB19" s="470">
        <v>112944304</v>
      </c>
      <c r="DC19" s="472">
        <v>4112617545</v>
      </c>
      <c r="DD19" s="470"/>
      <c r="DE19" s="472">
        <v>2987385842</v>
      </c>
      <c r="DF19" s="470"/>
      <c r="DG19" s="472">
        <f>1589764850+67793545+500000000+637229380</f>
        <v>2794787775</v>
      </c>
      <c r="DH19" s="470"/>
      <c r="DI19" s="507">
        <f t="shared" si="13"/>
        <v>16701499297</v>
      </c>
      <c r="DJ19" s="471">
        <f t="shared" si="14"/>
        <v>6806708135</v>
      </c>
      <c r="DK19" s="471">
        <f t="shared" si="14"/>
        <v>671709908</v>
      </c>
      <c r="DL19" s="508">
        <f>DI19</f>
        <v>16701499297</v>
      </c>
      <c r="DM19" s="508">
        <f t="shared" si="15"/>
        <v>671709908</v>
      </c>
      <c r="DN19" s="470">
        <v>0</v>
      </c>
      <c r="DO19" s="479"/>
      <c r="DP19" s="479"/>
      <c r="DQ19" s="479"/>
      <c r="DR19" s="479"/>
      <c r="DS19" s="479"/>
      <c r="DT19" s="479"/>
      <c r="DU19" s="479"/>
      <c r="DV19" s="479"/>
      <c r="DW19" s="479"/>
      <c r="DX19" s="479"/>
      <c r="DY19" s="479"/>
      <c r="DZ19" s="479"/>
      <c r="EA19" s="479"/>
      <c r="EB19" s="479"/>
      <c r="EC19" s="479"/>
      <c r="ED19" s="479"/>
      <c r="EE19" s="479"/>
      <c r="EF19" s="479"/>
      <c r="EG19" s="479"/>
      <c r="EH19" s="479"/>
      <c r="EI19" s="479"/>
      <c r="EJ19" s="479"/>
      <c r="EK19" s="479"/>
      <c r="EL19" s="479"/>
      <c r="EM19" s="479"/>
      <c r="EN19" s="479"/>
      <c r="EO19" s="479"/>
      <c r="EP19" s="479"/>
      <c r="EQ19" s="479"/>
      <c r="ER19" s="468">
        <f t="shared" si="5"/>
        <v>1.8100105150247708E-2</v>
      </c>
      <c r="ES19" s="469">
        <f t="shared" si="16"/>
        <v>9.8683518475851328E-2</v>
      </c>
      <c r="ET19" s="468">
        <f t="shared" si="17"/>
        <v>4.0218539429011359E-2</v>
      </c>
      <c r="EU19" s="468">
        <f t="shared" ref="EU19:EU36" si="18">(AA19+BE19+CI19+DK19)/(Z19+BD19+CH19+DJ19)</f>
        <v>0.11509484835128359</v>
      </c>
      <c r="EV19" s="468">
        <f>IFERROR((AA19+BE19+CI19+DM19)/G19,0)</f>
        <v>0</v>
      </c>
      <c r="EW19" s="734"/>
      <c r="EX19" s="734"/>
      <c r="EY19" s="734"/>
      <c r="EZ19" s="734"/>
      <c r="FA19" s="734"/>
    </row>
    <row r="20" spans="1:157" ht="40.5" customHeight="1" x14ac:dyDescent="0.25">
      <c r="A20" s="749"/>
      <c r="B20" s="756"/>
      <c r="C20" s="762"/>
      <c r="D20" s="752"/>
      <c r="E20" s="749"/>
      <c r="F20" s="321" t="s">
        <v>104</v>
      </c>
      <c r="G20" s="463">
        <f>AA20+BE20+CI20+DL20+DN20</f>
        <v>155.15</v>
      </c>
      <c r="H20" s="474">
        <v>0</v>
      </c>
      <c r="I20" s="474">
        <v>0</v>
      </c>
      <c r="J20" s="474">
        <v>0</v>
      </c>
      <c r="K20" s="474">
        <v>0</v>
      </c>
      <c r="L20" s="474">
        <v>0</v>
      </c>
      <c r="M20" s="474">
        <v>0</v>
      </c>
      <c r="N20" s="474">
        <v>0</v>
      </c>
      <c r="O20" s="474">
        <v>0</v>
      </c>
      <c r="P20" s="474">
        <v>0</v>
      </c>
      <c r="Q20" s="474">
        <v>0</v>
      </c>
      <c r="R20" s="474">
        <v>0</v>
      </c>
      <c r="S20" s="474">
        <v>0</v>
      </c>
      <c r="T20" s="474">
        <v>0</v>
      </c>
      <c r="U20" s="474">
        <v>0</v>
      </c>
      <c r="V20" s="474">
        <v>0</v>
      </c>
      <c r="W20" s="474"/>
      <c r="X20" s="474"/>
      <c r="Y20" s="474"/>
      <c r="Z20" s="464">
        <v>0</v>
      </c>
      <c r="AA20" s="464">
        <v>0</v>
      </c>
      <c r="AB20" s="474">
        <v>0</v>
      </c>
      <c r="AC20" s="474">
        <v>0</v>
      </c>
      <c r="AD20" s="474">
        <v>0</v>
      </c>
      <c r="AE20" s="474">
        <v>0</v>
      </c>
      <c r="AF20" s="474">
        <v>0</v>
      </c>
      <c r="AG20" s="474">
        <v>0</v>
      </c>
      <c r="AH20" s="474">
        <v>0</v>
      </c>
      <c r="AI20" s="474">
        <v>0</v>
      </c>
      <c r="AJ20" s="474">
        <v>0</v>
      </c>
      <c r="AK20" s="474">
        <v>0</v>
      </c>
      <c r="AL20" s="474">
        <v>0</v>
      </c>
      <c r="AM20" s="474">
        <v>0</v>
      </c>
      <c r="AN20" s="474">
        <v>0</v>
      </c>
      <c r="AO20" s="474">
        <v>0</v>
      </c>
      <c r="AP20" s="474">
        <v>0</v>
      </c>
      <c r="AQ20" s="474">
        <v>0</v>
      </c>
      <c r="AR20" s="474">
        <v>0</v>
      </c>
      <c r="AS20" s="474">
        <v>0</v>
      </c>
      <c r="AT20" s="474">
        <v>0</v>
      </c>
      <c r="AU20" s="474">
        <v>0</v>
      </c>
      <c r="AV20" s="474">
        <v>0</v>
      </c>
      <c r="AW20" s="474">
        <v>0</v>
      </c>
      <c r="AX20" s="474">
        <v>0</v>
      </c>
      <c r="AY20" s="474">
        <v>0</v>
      </c>
      <c r="AZ20" s="474">
        <v>0</v>
      </c>
      <c r="BA20" s="474">
        <v>0</v>
      </c>
      <c r="BB20" s="474">
        <v>0</v>
      </c>
      <c r="BC20" s="476">
        <f>AD20+AF20+AH20+AJ20+AL20+AN20+AP20+AR20</f>
        <v>0</v>
      </c>
      <c r="BD20" s="463">
        <f>BA20+AA20</f>
        <v>0</v>
      </c>
      <c r="BE20" s="463">
        <f>BC20+AA20</f>
        <v>0</v>
      </c>
      <c r="BF20" s="463">
        <v>35.81</v>
      </c>
      <c r="BG20" s="464">
        <v>0</v>
      </c>
      <c r="BH20" s="464">
        <v>0</v>
      </c>
      <c r="BI20" s="464">
        <v>0</v>
      </c>
      <c r="BJ20" s="464">
        <v>0</v>
      </c>
      <c r="BK20" s="464">
        <v>0</v>
      </c>
      <c r="BL20" s="464">
        <v>0</v>
      </c>
      <c r="BM20" s="464">
        <v>5</v>
      </c>
      <c r="BN20" s="464">
        <v>0</v>
      </c>
      <c r="BO20" s="464">
        <v>15</v>
      </c>
      <c r="BP20" s="464">
        <v>0</v>
      </c>
      <c r="BQ20" s="464">
        <v>15.81</v>
      </c>
      <c r="BR20" s="464">
        <v>21.78</v>
      </c>
      <c r="BS20" s="464">
        <v>0</v>
      </c>
      <c r="BT20" s="464">
        <v>14.03</v>
      </c>
      <c r="BU20" s="464">
        <v>0</v>
      </c>
      <c r="BV20" s="464">
        <v>0</v>
      </c>
      <c r="BW20" s="464">
        <v>0</v>
      </c>
      <c r="BX20" s="464">
        <v>0</v>
      </c>
      <c r="BY20" s="464">
        <v>0</v>
      </c>
      <c r="BZ20" s="464">
        <v>0</v>
      </c>
      <c r="CA20" s="464">
        <v>0</v>
      </c>
      <c r="CB20" s="464">
        <v>0</v>
      </c>
      <c r="CC20" s="464">
        <v>0</v>
      </c>
      <c r="CD20" s="464">
        <v>0</v>
      </c>
      <c r="CE20" s="464">
        <f>CC20+CA20+BY20+BW20+BS20+BQ20+BO20+BM20+BK20+BI20+BG20+BU20</f>
        <v>35.81</v>
      </c>
      <c r="CF20" s="463">
        <f>BG20+BI20+BK20+BM20+BO20+BQ20+BS20+BU20+BW20</f>
        <v>35.81</v>
      </c>
      <c r="CG20" s="464">
        <f>BH20+BJ20+BL20+BN20+BP20+BR20+BT20+BV20+BX20+BZ20+CB20+CD20</f>
        <v>35.81</v>
      </c>
      <c r="CH20" s="464">
        <f>CE20</f>
        <v>35.81</v>
      </c>
      <c r="CI20" s="464">
        <f>CG20</f>
        <v>35.81</v>
      </c>
      <c r="CJ20" s="464">
        <v>119.34</v>
      </c>
      <c r="CK20" s="464">
        <v>0</v>
      </c>
      <c r="CL20" s="464">
        <v>0</v>
      </c>
      <c r="CM20" s="464">
        <v>0</v>
      </c>
      <c r="CN20" s="464">
        <v>0</v>
      </c>
      <c r="CO20" s="477">
        <v>0</v>
      </c>
      <c r="CP20" s="477">
        <v>0</v>
      </c>
      <c r="CQ20" s="464">
        <v>0</v>
      </c>
      <c r="CR20" s="464">
        <v>0</v>
      </c>
      <c r="CS20" s="464">
        <v>20</v>
      </c>
      <c r="CT20" s="466">
        <v>0</v>
      </c>
      <c r="CU20" s="464">
        <v>30</v>
      </c>
      <c r="CV20" s="464">
        <v>0</v>
      </c>
      <c r="CW20" s="464">
        <v>30</v>
      </c>
      <c r="CX20" s="464">
        <v>0</v>
      </c>
      <c r="CY20" s="464">
        <v>39.340000000000003</v>
      </c>
      <c r="CZ20" s="464">
        <v>0</v>
      </c>
      <c r="DA20" s="464">
        <v>0</v>
      </c>
      <c r="DB20" s="464">
        <v>0</v>
      </c>
      <c r="DC20" s="464">
        <v>0</v>
      </c>
      <c r="DD20" s="464"/>
      <c r="DE20" s="464">
        <v>0</v>
      </c>
      <c r="DF20" s="464"/>
      <c r="DG20" s="464">
        <v>0</v>
      </c>
      <c r="DH20" s="464"/>
      <c r="DI20" s="503">
        <f t="shared" si="13"/>
        <v>119.34</v>
      </c>
      <c r="DJ20" s="463">
        <f t="shared" si="14"/>
        <v>119.34</v>
      </c>
      <c r="DK20" s="463">
        <f t="shared" si="14"/>
        <v>0</v>
      </c>
      <c r="DL20" s="499">
        <f>DI20</f>
        <v>119.34</v>
      </c>
      <c r="DM20" s="499">
        <f t="shared" si="15"/>
        <v>0</v>
      </c>
      <c r="DN20" s="464">
        <v>0</v>
      </c>
      <c r="DO20" s="474">
        <v>0</v>
      </c>
      <c r="DP20" s="474">
        <v>0</v>
      </c>
      <c r="DQ20" s="474">
        <v>0</v>
      </c>
      <c r="DR20" s="474">
        <v>0</v>
      </c>
      <c r="DS20" s="474">
        <v>0</v>
      </c>
      <c r="DT20" s="474">
        <v>0</v>
      </c>
      <c r="DU20" s="474">
        <v>0</v>
      </c>
      <c r="DV20" s="474">
        <v>0</v>
      </c>
      <c r="DW20" s="474">
        <v>0</v>
      </c>
      <c r="DX20" s="474">
        <v>0</v>
      </c>
      <c r="DY20" s="474">
        <v>0</v>
      </c>
      <c r="DZ20" s="474">
        <v>0</v>
      </c>
      <c r="EA20" s="474">
        <v>0</v>
      </c>
      <c r="EB20" s="474">
        <v>0</v>
      </c>
      <c r="EC20" s="474">
        <v>0</v>
      </c>
      <c r="ED20" s="474">
        <v>0</v>
      </c>
      <c r="EE20" s="474">
        <v>0</v>
      </c>
      <c r="EF20" s="474">
        <v>0</v>
      </c>
      <c r="EG20" s="474">
        <v>0</v>
      </c>
      <c r="EH20" s="474">
        <v>0</v>
      </c>
      <c r="EI20" s="474">
        <v>0</v>
      </c>
      <c r="EJ20" s="474">
        <v>0</v>
      </c>
      <c r="EK20" s="474"/>
      <c r="EL20" s="474">
        <v>0</v>
      </c>
      <c r="EM20" s="474"/>
      <c r="EN20" s="474"/>
      <c r="EO20" s="474"/>
      <c r="EP20" s="474"/>
      <c r="EQ20" s="474">
        <v>0</v>
      </c>
      <c r="ER20" s="468">
        <f t="shared" si="5"/>
        <v>0</v>
      </c>
      <c r="ES20" s="469">
        <f>DK20/DJ20</f>
        <v>0</v>
      </c>
      <c r="ET20" s="468">
        <f t="shared" si="17"/>
        <v>0</v>
      </c>
      <c r="EU20" s="468">
        <f>(AA20+BE20+CI20+DK20)/(Z20+BD20+CH20+DJ20)</f>
        <v>0.23080889461811152</v>
      </c>
      <c r="EV20" s="468">
        <f t="shared" ref="EV20:EV36" si="19">(AA20+BE20+CI20+DM20)/G20</f>
        <v>0.23080889461811152</v>
      </c>
      <c r="EW20" s="734"/>
      <c r="EX20" s="734"/>
      <c r="EY20" s="734"/>
      <c r="EZ20" s="734"/>
      <c r="FA20" s="734"/>
    </row>
    <row r="21" spans="1:157" ht="40.5" customHeight="1" x14ac:dyDescent="0.25">
      <c r="A21" s="749"/>
      <c r="B21" s="756"/>
      <c r="C21" s="762"/>
      <c r="D21" s="752"/>
      <c r="E21" s="749"/>
      <c r="F21" s="319" t="s">
        <v>105</v>
      </c>
      <c r="G21" s="470">
        <f>AA21+BE21+CI21+DL21+DN21</f>
        <v>10204233071</v>
      </c>
      <c r="H21" s="470">
        <v>0</v>
      </c>
      <c r="I21" s="470">
        <v>0</v>
      </c>
      <c r="J21" s="470">
        <v>0</v>
      </c>
      <c r="K21" s="470">
        <v>0</v>
      </c>
      <c r="L21" s="470">
        <v>0</v>
      </c>
      <c r="M21" s="470">
        <v>0</v>
      </c>
      <c r="N21" s="470">
        <v>0</v>
      </c>
      <c r="O21" s="470">
        <v>0</v>
      </c>
      <c r="P21" s="470">
        <v>0</v>
      </c>
      <c r="Q21" s="470">
        <v>0</v>
      </c>
      <c r="R21" s="470">
        <v>0</v>
      </c>
      <c r="S21" s="470">
        <v>0</v>
      </c>
      <c r="T21" s="470">
        <v>0</v>
      </c>
      <c r="U21" s="470">
        <v>0</v>
      </c>
      <c r="V21" s="470">
        <v>0</v>
      </c>
      <c r="W21" s="470"/>
      <c r="X21" s="470"/>
      <c r="Y21" s="470"/>
      <c r="Z21" s="470">
        <v>0</v>
      </c>
      <c r="AA21" s="470">
        <v>0</v>
      </c>
      <c r="AB21" s="470">
        <v>385891501</v>
      </c>
      <c r="AC21" s="478">
        <v>35590000</v>
      </c>
      <c r="AD21" s="478">
        <v>35590000</v>
      </c>
      <c r="AE21" s="478">
        <v>42476267</v>
      </c>
      <c r="AF21" s="478">
        <v>42476267</v>
      </c>
      <c r="AG21" s="478">
        <v>18093934</v>
      </c>
      <c r="AH21" s="478">
        <v>18093934</v>
      </c>
      <c r="AI21" s="478">
        <v>25732992</v>
      </c>
      <c r="AJ21" s="478">
        <v>25732992</v>
      </c>
      <c r="AK21" s="470">
        <v>0</v>
      </c>
      <c r="AL21" s="470">
        <v>0</v>
      </c>
      <c r="AM21" s="470">
        <v>0</v>
      </c>
      <c r="AN21" s="470">
        <v>6540300</v>
      </c>
      <c r="AO21" s="470">
        <v>0</v>
      </c>
      <c r="AP21" s="470">
        <v>4400000</v>
      </c>
      <c r="AQ21" s="470">
        <f>263998308</f>
        <v>263998308</v>
      </c>
      <c r="AR21" s="470">
        <v>0</v>
      </c>
      <c r="AS21" s="470">
        <v>0</v>
      </c>
      <c r="AT21" s="470">
        <v>0</v>
      </c>
      <c r="AU21" s="470">
        <v>0</v>
      </c>
      <c r="AV21" s="470">
        <v>0</v>
      </c>
      <c r="AW21" s="470">
        <v>0</v>
      </c>
      <c r="AX21" s="470">
        <v>0</v>
      </c>
      <c r="AY21" s="470">
        <v>0</v>
      </c>
      <c r="AZ21" s="470">
        <v>202446406</v>
      </c>
      <c r="BA21" s="471">
        <f>AC21+AE21+AG21+AI21+AK21+AM21+AO21+AQ21+AS21+AU21+AW21+AY21</f>
        <v>385891501</v>
      </c>
      <c r="BB21" s="471">
        <f>AC21+AE21+AG21+AI21+AK21+AM21+AO21+AQ21+AS21+AU21+AW21+AY21</f>
        <v>385891501</v>
      </c>
      <c r="BC21" s="471">
        <f>AD21+AF21+AH21+AJ21+AL21+AN21+AP21+AR21+AT21+AV21+AX21+AZ21</f>
        <v>335279899</v>
      </c>
      <c r="BD21" s="471">
        <f>BA21+AA21</f>
        <v>385891501</v>
      </c>
      <c r="BE21" s="471">
        <f>BC21+AA21</f>
        <v>335279899</v>
      </c>
      <c r="BF21" s="472">
        <f>3084741415-12321949</f>
        <v>3072419466</v>
      </c>
      <c r="BG21" s="470">
        <v>19733867</v>
      </c>
      <c r="BH21" s="470">
        <v>19733867</v>
      </c>
      <c r="BI21" s="470">
        <v>84040390</v>
      </c>
      <c r="BJ21" s="470">
        <v>19185867</v>
      </c>
      <c r="BK21" s="470">
        <v>1036819806</v>
      </c>
      <c r="BL21" s="470">
        <v>135657552</v>
      </c>
      <c r="BM21" s="470">
        <f>98300360-1278767</f>
        <v>97021593</v>
      </c>
      <c r="BN21" s="470">
        <v>2301600</v>
      </c>
      <c r="BO21" s="470">
        <v>1619836194</v>
      </c>
      <c r="BP21" s="470">
        <v>1282108514</v>
      </c>
      <c r="BQ21" s="470">
        <v>28075915</v>
      </c>
      <c r="BR21" s="470">
        <v>150188383</v>
      </c>
      <c r="BS21" s="470">
        <f>184862001-26150-127867-47320176</f>
        <v>137387808</v>
      </c>
      <c r="BT21" s="470">
        <v>71375370</v>
      </c>
      <c r="BU21" s="470">
        <v>0</v>
      </c>
      <c r="BV21" s="470">
        <v>336287242</v>
      </c>
      <c r="BW21" s="472">
        <v>0</v>
      </c>
      <c r="BX21" s="470">
        <v>279599995</v>
      </c>
      <c r="BY21" s="472">
        <v>0</v>
      </c>
      <c r="BZ21" s="470">
        <v>175609762</v>
      </c>
      <c r="CA21" s="472">
        <v>0</v>
      </c>
      <c r="CB21" s="470">
        <v>0</v>
      </c>
      <c r="CC21" s="472">
        <v>47320176</v>
      </c>
      <c r="CD21" s="470">
        <v>569971262</v>
      </c>
      <c r="CE21" s="470">
        <f>CC21+CA21+BY21+BW21+BS21+BQ21+BO21+BM21+BK21+BI21+BG21+BU21</f>
        <v>3070235749</v>
      </c>
      <c r="CF21" s="470">
        <f>BG21+BI21+BK21+BM21+BO21+BQ21+BS21+BU21+BW21+BY21+CA8+CA21+CC21</f>
        <v>3070235749</v>
      </c>
      <c r="CG21" s="470">
        <f>BH21+BJ21+BL21+BN21+BP21+BR21+BT21+BV21+BX21+BZ21+CB21+CD21</f>
        <v>3042019414</v>
      </c>
      <c r="CH21" s="470">
        <f>CE21</f>
        <v>3070235749</v>
      </c>
      <c r="CI21" s="470">
        <f>CG21</f>
        <v>3042019414</v>
      </c>
      <c r="CJ21" s="470">
        <v>6826933758</v>
      </c>
      <c r="CK21" s="470">
        <v>21349000</v>
      </c>
      <c r="CL21" s="470">
        <v>21349000</v>
      </c>
      <c r="CM21" s="470">
        <v>1726530234</v>
      </c>
      <c r="CN21" s="470">
        <v>1726530234</v>
      </c>
      <c r="CO21" s="472">
        <v>13338894</v>
      </c>
      <c r="CP21" s="472">
        <v>13338894</v>
      </c>
      <c r="CQ21" s="470">
        <v>456051553</v>
      </c>
      <c r="CR21" s="470">
        <v>16744052</v>
      </c>
      <c r="CS21" s="470">
        <v>1197418860</v>
      </c>
      <c r="CT21" s="473">
        <v>381762502</v>
      </c>
      <c r="CU21" s="470">
        <v>3126558369</v>
      </c>
      <c r="CV21" s="470">
        <v>229343511</v>
      </c>
      <c r="CW21" s="470">
        <v>285686848</v>
      </c>
      <c r="CX21" s="470">
        <v>228777725</v>
      </c>
      <c r="CY21" s="470">
        <v>0</v>
      </c>
      <c r="CZ21" s="470">
        <v>700098610</v>
      </c>
      <c r="DA21" s="470">
        <v>0</v>
      </c>
      <c r="DB21" s="470">
        <v>817900392</v>
      </c>
      <c r="DC21" s="470">
        <v>0</v>
      </c>
      <c r="DD21" s="470"/>
      <c r="DE21" s="470">
        <v>0</v>
      </c>
      <c r="DF21" s="470"/>
      <c r="DG21" s="470">
        <v>0</v>
      </c>
      <c r="DH21" s="470"/>
      <c r="DI21" s="507">
        <f t="shared" si="13"/>
        <v>6826933758</v>
      </c>
      <c r="DJ21" s="471">
        <f t="shared" si="14"/>
        <v>6826933758</v>
      </c>
      <c r="DK21" s="471">
        <f t="shared" si="14"/>
        <v>4135844920</v>
      </c>
      <c r="DL21" s="508">
        <f>DI21</f>
        <v>6826933758</v>
      </c>
      <c r="DM21" s="508">
        <f t="shared" si="15"/>
        <v>4135844920</v>
      </c>
      <c r="DN21" s="470">
        <v>0</v>
      </c>
      <c r="DO21" s="470">
        <v>0</v>
      </c>
      <c r="DP21" s="470">
        <v>0</v>
      </c>
      <c r="DQ21" s="470">
        <v>0</v>
      </c>
      <c r="DR21" s="470">
        <v>0</v>
      </c>
      <c r="DS21" s="470">
        <v>0</v>
      </c>
      <c r="DT21" s="470">
        <v>0</v>
      </c>
      <c r="DU21" s="470">
        <v>0</v>
      </c>
      <c r="DV21" s="470">
        <v>0</v>
      </c>
      <c r="DW21" s="470">
        <v>0</v>
      </c>
      <c r="DX21" s="470">
        <v>0</v>
      </c>
      <c r="DY21" s="470">
        <v>0</v>
      </c>
      <c r="DZ21" s="470">
        <v>0</v>
      </c>
      <c r="EA21" s="470">
        <v>0</v>
      </c>
      <c r="EB21" s="470">
        <v>0</v>
      </c>
      <c r="EC21" s="470">
        <v>0</v>
      </c>
      <c r="ED21" s="470">
        <v>0</v>
      </c>
      <c r="EE21" s="470">
        <v>0</v>
      </c>
      <c r="EF21" s="470">
        <v>0</v>
      </c>
      <c r="EG21" s="470">
        <v>0</v>
      </c>
      <c r="EH21" s="470">
        <v>0</v>
      </c>
      <c r="EI21" s="470">
        <v>0</v>
      </c>
      <c r="EJ21" s="470">
        <v>0</v>
      </c>
      <c r="EK21" s="470"/>
      <c r="EL21" s="470">
        <v>0</v>
      </c>
      <c r="EM21" s="470"/>
      <c r="EN21" s="470"/>
      <c r="EO21" s="470"/>
      <c r="EP21" s="470"/>
      <c r="EQ21" s="470">
        <v>0</v>
      </c>
      <c r="ER21" s="468">
        <f t="shared" si="5"/>
        <v>0</v>
      </c>
      <c r="ES21" s="469">
        <f t="shared" si="16"/>
        <v>0.60581295594870777</v>
      </c>
      <c r="ET21" s="468">
        <f t="shared" si="17"/>
        <v>0.60581295594870777</v>
      </c>
      <c r="EU21" s="468">
        <f t="shared" si="18"/>
        <v>0.73063305052405458</v>
      </c>
      <c r="EV21" s="468">
        <f>(AA21+BE21+CI21+DM21)/G21</f>
        <v>0.73627720777488304</v>
      </c>
      <c r="EW21" s="734"/>
      <c r="EX21" s="734"/>
      <c r="EY21" s="734"/>
      <c r="EZ21" s="734"/>
      <c r="FA21" s="734"/>
    </row>
    <row r="22" spans="1:157" ht="41.25" customHeight="1" thickBot="1" x14ac:dyDescent="0.3">
      <c r="A22" s="749"/>
      <c r="B22" s="756"/>
      <c r="C22" s="762"/>
      <c r="D22" s="752"/>
      <c r="E22" s="749"/>
      <c r="F22" s="321" t="s">
        <v>106</v>
      </c>
      <c r="G22" s="480">
        <f>G17+G20</f>
        <v>370</v>
      </c>
      <c r="H22" s="510">
        <v>5</v>
      </c>
      <c r="I22" s="510">
        <v>5</v>
      </c>
      <c r="J22" s="510">
        <v>0</v>
      </c>
      <c r="K22" s="510">
        <v>5</v>
      </c>
      <c r="L22" s="510">
        <v>0</v>
      </c>
      <c r="M22" s="510">
        <v>5</v>
      </c>
      <c r="N22" s="510">
        <v>0</v>
      </c>
      <c r="O22" s="510">
        <v>5</v>
      </c>
      <c r="P22" s="511">
        <f>+P17</f>
        <v>0.24</v>
      </c>
      <c r="Q22" s="510">
        <v>5</v>
      </c>
      <c r="R22" s="511">
        <f>+R17</f>
        <v>1.54</v>
      </c>
      <c r="S22" s="510">
        <v>5</v>
      </c>
      <c r="T22" s="512">
        <f>+T17</f>
        <v>2.5379999999999998</v>
      </c>
      <c r="U22" s="510">
        <v>5</v>
      </c>
      <c r="V22" s="510">
        <v>5.49</v>
      </c>
      <c r="W22" s="510"/>
      <c r="X22" s="510"/>
      <c r="Y22" s="510"/>
      <c r="Z22" s="483">
        <v>5</v>
      </c>
      <c r="AA22" s="480">
        <v>5.49</v>
      </c>
      <c r="AB22" s="481">
        <f>AB17+AB20</f>
        <v>50</v>
      </c>
      <c r="AC22" s="482">
        <f t="shared" ref="AC22:BB22" si="20">+AC17</f>
        <v>0.12</v>
      </c>
      <c r="AD22" s="482">
        <f t="shared" si="20"/>
        <v>0.12</v>
      </c>
      <c r="AE22" s="482">
        <f t="shared" si="20"/>
        <v>0</v>
      </c>
      <c r="AF22" s="482">
        <f t="shared" si="20"/>
        <v>0</v>
      </c>
      <c r="AG22" s="482">
        <f t="shared" si="20"/>
        <v>0</v>
      </c>
      <c r="AH22" s="482">
        <f t="shared" si="20"/>
        <v>0</v>
      </c>
      <c r="AI22" s="482">
        <f t="shared" si="20"/>
        <v>0</v>
      </c>
      <c r="AJ22" s="482">
        <f t="shared" si="20"/>
        <v>0</v>
      </c>
      <c r="AK22" s="482">
        <f t="shared" si="20"/>
        <v>0</v>
      </c>
      <c r="AL22" s="482">
        <f t="shared" si="20"/>
        <v>0</v>
      </c>
      <c r="AM22" s="482">
        <f t="shared" si="20"/>
        <v>0</v>
      </c>
      <c r="AN22" s="482">
        <f t="shared" si="20"/>
        <v>0.98</v>
      </c>
      <c r="AO22" s="482">
        <f t="shared" si="20"/>
        <v>0</v>
      </c>
      <c r="AP22" s="482">
        <f t="shared" si="20"/>
        <v>0</v>
      </c>
      <c r="AQ22" s="482">
        <f t="shared" si="20"/>
        <v>0</v>
      </c>
      <c r="AR22" s="482">
        <f t="shared" si="20"/>
        <v>0.63</v>
      </c>
      <c r="AS22" s="482">
        <f t="shared" si="20"/>
        <v>0</v>
      </c>
      <c r="AT22" s="482">
        <f t="shared" si="20"/>
        <v>0.51</v>
      </c>
      <c r="AU22" s="482">
        <f t="shared" si="20"/>
        <v>9.8800000000000008</v>
      </c>
      <c r="AV22" s="482">
        <f t="shared" si="20"/>
        <v>4.05</v>
      </c>
      <c r="AW22" s="482">
        <f t="shared" si="20"/>
        <v>20</v>
      </c>
      <c r="AX22" s="482">
        <f t="shared" si="20"/>
        <v>4.7699999999999996</v>
      </c>
      <c r="AY22" s="482">
        <f t="shared" si="20"/>
        <v>20</v>
      </c>
      <c r="AZ22" s="482">
        <f t="shared" si="20"/>
        <v>3.13</v>
      </c>
      <c r="BA22" s="482">
        <f t="shared" si="20"/>
        <v>50</v>
      </c>
      <c r="BB22" s="482">
        <f t="shared" si="20"/>
        <v>50</v>
      </c>
      <c r="BC22" s="482">
        <f>BC17</f>
        <v>14.189999999999998</v>
      </c>
      <c r="BD22" s="480">
        <f>+BD17</f>
        <v>50</v>
      </c>
      <c r="BE22" s="480">
        <f>+BE17</f>
        <v>14.189999999999998</v>
      </c>
      <c r="BF22" s="480">
        <f t="shared" ref="BF22:CE22" si="21">BF17+BF20</f>
        <v>185.81</v>
      </c>
      <c r="BG22" s="483">
        <f t="shared" si="21"/>
        <v>0</v>
      </c>
      <c r="BH22" s="483">
        <f t="shared" si="21"/>
        <v>0</v>
      </c>
      <c r="BI22" s="483">
        <f t="shared" si="21"/>
        <v>0</v>
      </c>
      <c r="BJ22" s="483">
        <f t="shared" si="21"/>
        <v>0</v>
      </c>
      <c r="BK22" s="483">
        <f t="shared" si="21"/>
        <v>1.84</v>
      </c>
      <c r="BL22" s="483">
        <f t="shared" si="21"/>
        <v>3.2</v>
      </c>
      <c r="BM22" s="483">
        <f t="shared" si="21"/>
        <v>5</v>
      </c>
      <c r="BN22" s="483">
        <f t="shared" si="21"/>
        <v>0.1</v>
      </c>
      <c r="BO22" s="483">
        <f t="shared" si="21"/>
        <v>15</v>
      </c>
      <c r="BP22" s="483">
        <f t="shared" si="21"/>
        <v>0.97</v>
      </c>
      <c r="BQ22" s="483">
        <f t="shared" si="21"/>
        <v>15.81</v>
      </c>
      <c r="BR22" s="483">
        <f t="shared" si="21"/>
        <v>21.87</v>
      </c>
      <c r="BS22" s="483">
        <f t="shared" si="21"/>
        <v>10</v>
      </c>
      <c r="BT22" s="483">
        <f t="shared" si="21"/>
        <v>26.56</v>
      </c>
      <c r="BU22" s="483">
        <f t="shared" si="21"/>
        <v>10.19</v>
      </c>
      <c r="BV22" s="483">
        <f t="shared" si="21"/>
        <v>0.13</v>
      </c>
      <c r="BW22" s="480">
        <f t="shared" si="21"/>
        <v>0.47</v>
      </c>
      <c r="BX22" s="480">
        <f t="shared" si="21"/>
        <v>7.44</v>
      </c>
      <c r="BY22" s="483">
        <f t="shared" si="21"/>
        <v>0.5</v>
      </c>
      <c r="BZ22" s="483">
        <f t="shared" si="21"/>
        <v>2.72</v>
      </c>
      <c r="CA22" s="480">
        <f t="shared" si="21"/>
        <v>60</v>
      </c>
      <c r="CB22" s="480">
        <f t="shared" si="21"/>
        <v>0.97</v>
      </c>
      <c r="CC22" s="480">
        <f t="shared" si="21"/>
        <v>67</v>
      </c>
      <c r="CD22" s="480">
        <f t="shared" si="21"/>
        <v>2.5099999999999998</v>
      </c>
      <c r="CE22" s="483">
        <f t="shared" si="21"/>
        <v>185.81</v>
      </c>
      <c r="CF22" s="480">
        <f>BG22+BI22+BK22+BM22+BO22+BQ22+BS22+BU22+BW22</f>
        <v>58.309999999999995</v>
      </c>
      <c r="CG22" s="483">
        <f>CG17+CG20</f>
        <v>66.47</v>
      </c>
      <c r="CH22" s="483">
        <f>CH17+CH20</f>
        <v>185.81</v>
      </c>
      <c r="CI22" s="483">
        <f>CI17+CI20</f>
        <v>66.47</v>
      </c>
      <c r="CJ22" s="480">
        <f t="shared" ref="CJ22:DN22" si="22">+CJ17+CJ20</f>
        <v>254.34</v>
      </c>
      <c r="CK22" s="480">
        <f t="shared" si="22"/>
        <v>0</v>
      </c>
      <c r="CL22" s="480">
        <f t="shared" si="22"/>
        <v>0</v>
      </c>
      <c r="CM22" s="480">
        <f t="shared" si="22"/>
        <v>0.03</v>
      </c>
      <c r="CN22" s="480">
        <f t="shared" si="22"/>
        <v>2.9000000000000001E-2</v>
      </c>
      <c r="CO22" s="484">
        <f t="shared" si="22"/>
        <v>0.01</v>
      </c>
      <c r="CP22" s="484">
        <f t="shared" si="22"/>
        <v>5.0000000000000001E-3</v>
      </c>
      <c r="CQ22" s="480">
        <f t="shared" si="22"/>
        <v>0</v>
      </c>
      <c r="CR22" s="480">
        <f t="shared" si="22"/>
        <v>4.4800000000000004</v>
      </c>
      <c r="CS22" s="480">
        <f t="shared" si="22"/>
        <v>20</v>
      </c>
      <c r="CT22" s="513">
        <f t="shared" si="22"/>
        <v>0.06</v>
      </c>
      <c r="CU22" s="480">
        <f t="shared" si="22"/>
        <v>30</v>
      </c>
      <c r="CV22" s="480">
        <f t="shared" si="22"/>
        <v>0.73</v>
      </c>
      <c r="CW22" s="480">
        <f t="shared" si="22"/>
        <v>30</v>
      </c>
      <c r="CX22" s="482">
        <f>CX17+CX20</f>
        <v>0</v>
      </c>
      <c r="CY22" s="480">
        <f t="shared" si="22"/>
        <v>39.340000000000003</v>
      </c>
      <c r="CZ22" s="480">
        <f>+CZ17+CZ20</f>
        <v>0.97</v>
      </c>
      <c r="DA22" s="480">
        <f t="shared" si="22"/>
        <v>39.97</v>
      </c>
      <c r="DB22" s="480">
        <f>+DB17+DB20</f>
        <v>0.38</v>
      </c>
      <c r="DC22" s="480">
        <f t="shared" si="22"/>
        <v>40</v>
      </c>
      <c r="DD22" s="480">
        <f t="shared" si="22"/>
        <v>0</v>
      </c>
      <c r="DE22" s="480">
        <f t="shared" si="22"/>
        <v>40</v>
      </c>
      <c r="DF22" s="480">
        <f t="shared" si="22"/>
        <v>0</v>
      </c>
      <c r="DG22" s="480">
        <f t="shared" si="22"/>
        <v>15</v>
      </c>
      <c r="DH22" s="480">
        <f t="shared" si="22"/>
        <v>0</v>
      </c>
      <c r="DI22" s="514">
        <f t="shared" si="13"/>
        <v>254.35</v>
      </c>
      <c r="DJ22" s="480">
        <f t="shared" si="14"/>
        <v>159.35</v>
      </c>
      <c r="DK22" s="480">
        <f t="shared" si="14"/>
        <v>6.6539999999999999</v>
      </c>
      <c r="DL22" s="515">
        <v>254.34</v>
      </c>
      <c r="DM22" s="516">
        <f t="shared" si="15"/>
        <v>6.6539999999999999</v>
      </c>
      <c r="DN22" s="480">
        <f t="shared" si="22"/>
        <v>29.51</v>
      </c>
      <c r="DO22" s="482">
        <f t="shared" ref="DO22:EJ22" si="23">+DO17</f>
        <v>0</v>
      </c>
      <c r="DP22" s="482">
        <f t="shared" si="23"/>
        <v>0</v>
      </c>
      <c r="DQ22" s="482">
        <f t="shared" si="23"/>
        <v>0</v>
      </c>
      <c r="DR22" s="482">
        <f t="shared" si="23"/>
        <v>0</v>
      </c>
      <c r="DS22" s="482">
        <f t="shared" si="23"/>
        <v>0</v>
      </c>
      <c r="DT22" s="482">
        <f t="shared" si="23"/>
        <v>0</v>
      </c>
      <c r="DU22" s="482">
        <f t="shared" si="23"/>
        <v>0</v>
      </c>
      <c r="DV22" s="482">
        <f t="shared" si="23"/>
        <v>0</v>
      </c>
      <c r="DW22" s="482">
        <f t="shared" si="23"/>
        <v>0</v>
      </c>
      <c r="DX22" s="482">
        <f t="shared" si="23"/>
        <v>0</v>
      </c>
      <c r="DY22" s="482">
        <f t="shared" si="23"/>
        <v>0</v>
      </c>
      <c r="DZ22" s="482">
        <f t="shared" si="23"/>
        <v>0</v>
      </c>
      <c r="EA22" s="482">
        <f t="shared" si="23"/>
        <v>0</v>
      </c>
      <c r="EB22" s="482">
        <f t="shared" si="23"/>
        <v>0</v>
      </c>
      <c r="EC22" s="482">
        <f t="shared" si="23"/>
        <v>0</v>
      </c>
      <c r="ED22" s="482">
        <f t="shared" si="23"/>
        <v>0</v>
      </c>
      <c r="EE22" s="482">
        <f t="shared" si="23"/>
        <v>0</v>
      </c>
      <c r="EF22" s="482">
        <f t="shared" si="23"/>
        <v>0</v>
      </c>
      <c r="EG22" s="482">
        <f t="shared" si="23"/>
        <v>0</v>
      </c>
      <c r="EH22" s="482">
        <f t="shared" si="23"/>
        <v>0</v>
      </c>
      <c r="EI22" s="482">
        <f t="shared" si="23"/>
        <v>0</v>
      </c>
      <c r="EJ22" s="482">
        <f t="shared" si="23"/>
        <v>0</v>
      </c>
      <c r="EK22" s="482"/>
      <c r="EL22" s="482">
        <f>+EL17</f>
        <v>0</v>
      </c>
      <c r="EM22" s="482"/>
      <c r="EN22" s="482"/>
      <c r="EO22" s="482"/>
      <c r="EP22" s="482"/>
      <c r="EQ22" s="482">
        <f>+EQ17</f>
        <v>0</v>
      </c>
      <c r="ER22" s="486">
        <f t="shared" si="5"/>
        <v>9.5071303477608209E-3</v>
      </c>
      <c r="ES22" s="487">
        <f t="shared" si="16"/>
        <v>4.1757138374647007E-2</v>
      </c>
      <c r="ET22" s="486">
        <f t="shared" si="17"/>
        <v>2.6161830620429347E-2</v>
      </c>
      <c r="EU22" s="486">
        <f t="shared" si="18"/>
        <v>0.23191723310675733</v>
      </c>
      <c r="EV22" s="486">
        <f t="shared" si="19"/>
        <v>0.25082162162162164</v>
      </c>
      <c r="EW22" s="734"/>
      <c r="EX22" s="734"/>
      <c r="EY22" s="734"/>
      <c r="EZ22" s="734"/>
      <c r="FA22" s="734"/>
    </row>
    <row r="23" spans="1:157" ht="41.25" customHeight="1" thickBot="1" x14ac:dyDescent="0.3">
      <c r="A23" s="749"/>
      <c r="B23" s="757"/>
      <c r="C23" s="763"/>
      <c r="D23" s="753"/>
      <c r="E23" s="760"/>
      <c r="F23" s="322" t="s">
        <v>107</v>
      </c>
      <c r="G23" s="488">
        <f>+G18+G21</f>
        <v>42645623790</v>
      </c>
      <c r="H23" s="517">
        <f>+H18</f>
        <v>632180000</v>
      </c>
      <c r="I23" s="517">
        <f>+I18</f>
        <v>632180000</v>
      </c>
      <c r="J23" s="517">
        <v>0</v>
      </c>
      <c r="K23" s="517">
        <f>+K18</f>
        <v>632180000</v>
      </c>
      <c r="L23" s="517">
        <v>0</v>
      </c>
      <c r="M23" s="517">
        <f t="shared" ref="M23:T23" si="24">+M18</f>
        <v>632180000</v>
      </c>
      <c r="N23" s="517">
        <f t="shared" si="24"/>
        <v>183792000</v>
      </c>
      <c r="O23" s="517">
        <f t="shared" si="24"/>
        <v>632180000</v>
      </c>
      <c r="P23" s="517">
        <f t="shared" si="24"/>
        <v>190062000</v>
      </c>
      <c r="Q23" s="517">
        <f t="shared" si="24"/>
        <v>632180000</v>
      </c>
      <c r="R23" s="517">
        <f t="shared" si="24"/>
        <v>190062000</v>
      </c>
      <c r="S23" s="517">
        <f t="shared" si="24"/>
        <v>632180000</v>
      </c>
      <c r="T23" s="517">
        <f t="shared" si="24"/>
        <v>208073593</v>
      </c>
      <c r="U23" s="517">
        <v>588967593</v>
      </c>
      <c r="V23" s="517">
        <v>543446593</v>
      </c>
      <c r="W23" s="517"/>
      <c r="X23" s="517"/>
      <c r="Y23" s="517"/>
      <c r="Z23" s="517">
        <v>588967593</v>
      </c>
      <c r="AA23" s="518">
        <v>543446593</v>
      </c>
      <c r="AB23" s="489">
        <f>AB18+AB21</f>
        <v>5395072501</v>
      </c>
      <c r="AC23" s="489">
        <f t="shared" ref="AC23:EQ23" si="25">AC18+AC21</f>
        <v>35590000</v>
      </c>
      <c r="AD23" s="489">
        <f t="shared" si="25"/>
        <v>35590000</v>
      </c>
      <c r="AE23" s="489">
        <f t="shared" si="25"/>
        <v>42476267</v>
      </c>
      <c r="AF23" s="489">
        <f t="shared" si="25"/>
        <v>42476267</v>
      </c>
      <c r="AG23" s="489">
        <f t="shared" si="25"/>
        <v>244557934</v>
      </c>
      <c r="AH23" s="489">
        <f t="shared" si="25"/>
        <v>244557934</v>
      </c>
      <c r="AI23" s="489">
        <f t="shared" si="25"/>
        <v>239364992</v>
      </c>
      <c r="AJ23" s="489">
        <f t="shared" si="25"/>
        <v>239364992</v>
      </c>
      <c r="AK23" s="489">
        <f t="shared" si="25"/>
        <v>0</v>
      </c>
      <c r="AL23" s="489">
        <f t="shared" si="25"/>
        <v>0</v>
      </c>
      <c r="AM23" s="489">
        <f t="shared" si="25"/>
        <v>0</v>
      </c>
      <c r="AN23" s="489">
        <f t="shared" si="25"/>
        <v>74863300</v>
      </c>
      <c r="AO23" s="489">
        <f t="shared" si="25"/>
        <v>571823000</v>
      </c>
      <c r="AP23" s="489">
        <f t="shared" si="25"/>
        <v>4400000</v>
      </c>
      <c r="AQ23" s="489">
        <f t="shared" si="25"/>
        <v>263998308</v>
      </c>
      <c r="AR23" s="489">
        <f t="shared" si="25"/>
        <v>0</v>
      </c>
      <c r="AS23" s="489">
        <f t="shared" si="25"/>
        <v>191591327</v>
      </c>
      <c r="AT23" s="489">
        <f t="shared" si="25"/>
        <v>3500000</v>
      </c>
      <c r="AU23" s="489">
        <f t="shared" si="25"/>
        <v>2631583942</v>
      </c>
      <c r="AV23" s="489">
        <f t="shared" si="25"/>
        <v>403971071</v>
      </c>
      <c r="AW23" s="489">
        <f t="shared" si="25"/>
        <v>0</v>
      </c>
      <c r="AX23" s="489">
        <f t="shared" si="25"/>
        <v>0</v>
      </c>
      <c r="AY23" s="489">
        <f t="shared" si="25"/>
        <v>297053713</v>
      </c>
      <c r="AZ23" s="489">
        <f t="shared" si="25"/>
        <v>2808160829</v>
      </c>
      <c r="BA23" s="489">
        <f t="shared" si="25"/>
        <v>4518039483</v>
      </c>
      <c r="BB23" s="489">
        <f t="shared" si="25"/>
        <v>4518039483</v>
      </c>
      <c r="BC23" s="489">
        <f t="shared" si="25"/>
        <v>3856884393</v>
      </c>
      <c r="BD23" s="489">
        <f t="shared" si="25"/>
        <v>4518039483</v>
      </c>
      <c r="BE23" s="489">
        <f t="shared" si="25"/>
        <v>3856884393</v>
      </c>
      <c r="BF23" s="489">
        <f t="shared" si="25"/>
        <v>10891079466</v>
      </c>
      <c r="BG23" s="489">
        <f t="shared" si="25"/>
        <v>859894867</v>
      </c>
      <c r="BH23" s="489">
        <f t="shared" si="25"/>
        <v>859894867</v>
      </c>
      <c r="BI23" s="489">
        <f t="shared" si="25"/>
        <v>84040390</v>
      </c>
      <c r="BJ23" s="489">
        <f t="shared" si="25"/>
        <v>19185867</v>
      </c>
      <c r="BK23" s="489">
        <f t="shared" si="25"/>
        <v>1036819806</v>
      </c>
      <c r="BL23" s="489">
        <f t="shared" si="25"/>
        <v>135657552</v>
      </c>
      <c r="BM23" s="489">
        <f t="shared" si="25"/>
        <v>421021593</v>
      </c>
      <c r="BN23" s="489">
        <f t="shared" si="25"/>
        <v>322900350</v>
      </c>
      <c r="BO23" s="489">
        <f t="shared" si="25"/>
        <v>1635485194</v>
      </c>
      <c r="BP23" s="489">
        <f t="shared" si="25"/>
        <v>1282108514</v>
      </c>
      <c r="BQ23" s="489">
        <f t="shared" si="25"/>
        <v>28075915</v>
      </c>
      <c r="BR23" s="489">
        <f t="shared" si="25"/>
        <v>150188383</v>
      </c>
      <c r="BS23" s="489">
        <f t="shared" si="25"/>
        <v>341830808</v>
      </c>
      <c r="BT23" s="489">
        <f t="shared" si="25"/>
        <v>71375370</v>
      </c>
      <c r="BU23" s="489">
        <f t="shared" si="25"/>
        <v>0</v>
      </c>
      <c r="BV23" s="489">
        <f t="shared" si="25"/>
        <v>356401256</v>
      </c>
      <c r="BW23" s="489">
        <f t="shared" si="25"/>
        <v>0</v>
      </c>
      <c r="BX23" s="489">
        <f t="shared" si="25"/>
        <v>295629932</v>
      </c>
      <c r="BY23" s="489">
        <f t="shared" si="25"/>
        <v>6426000000</v>
      </c>
      <c r="BZ23" s="489">
        <f t="shared" si="25"/>
        <v>175609762</v>
      </c>
      <c r="CA23" s="489">
        <f t="shared" si="25"/>
        <v>17105027</v>
      </c>
      <c r="CB23" s="489">
        <f t="shared" si="25"/>
        <v>15131400</v>
      </c>
      <c r="CC23" s="489">
        <f t="shared" si="25"/>
        <v>101305676</v>
      </c>
      <c r="CD23" s="489">
        <f t="shared" si="25"/>
        <v>7236776496</v>
      </c>
      <c r="CE23" s="489">
        <f t="shared" si="25"/>
        <v>10951579276</v>
      </c>
      <c r="CF23" s="489">
        <f t="shared" si="25"/>
        <v>10951579276</v>
      </c>
      <c r="CG23" s="489">
        <f t="shared" si="25"/>
        <v>10920859749</v>
      </c>
      <c r="CH23" s="489">
        <f t="shared" si="25"/>
        <v>10951579276</v>
      </c>
      <c r="CI23" s="489">
        <f t="shared" si="25"/>
        <v>10920859749</v>
      </c>
      <c r="CJ23" s="489">
        <f t="shared" si="25"/>
        <v>22466459758</v>
      </c>
      <c r="CK23" s="489">
        <f t="shared" si="25"/>
        <v>12003684825</v>
      </c>
      <c r="CL23" s="489">
        <f t="shared" si="25"/>
        <v>12003684825</v>
      </c>
      <c r="CM23" s="489">
        <f t="shared" si="25"/>
        <v>2546053234</v>
      </c>
      <c r="CN23" s="489">
        <f t="shared" si="25"/>
        <v>2546053234</v>
      </c>
      <c r="CO23" s="519">
        <f t="shared" si="25"/>
        <v>168312894</v>
      </c>
      <c r="CP23" s="519">
        <f t="shared" si="25"/>
        <v>168312894</v>
      </c>
      <c r="CQ23" s="489">
        <f t="shared" si="25"/>
        <v>656051553</v>
      </c>
      <c r="CR23" s="489">
        <f t="shared" si="25"/>
        <v>16744052</v>
      </c>
      <c r="CS23" s="489">
        <f t="shared" si="25"/>
        <v>1197418860</v>
      </c>
      <c r="CT23" s="490">
        <f t="shared" si="25"/>
        <v>383949995</v>
      </c>
      <c r="CU23" s="489">
        <f t="shared" si="25"/>
        <v>6691224841</v>
      </c>
      <c r="CV23" s="489">
        <f t="shared" si="25"/>
        <v>232078014</v>
      </c>
      <c r="CW23" s="489">
        <f t="shared" si="25"/>
        <v>285686848</v>
      </c>
      <c r="CX23" s="489">
        <f t="shared" si="25"/>
        <v>228777725</v>
      </c>
      <c r="CY23" s="489">
        <f t="shared" si="25"/>
        <v>0</v>
      </c>
      <c r="CZ23" s="489">
        <f t="shared" si="25"/>
        <v>700098610</v>
      </c>
      <c r="DA23" s="489">
        <f t="shared" si="25"/>
        <v>-20000000</v>
      </c>
      <c r="DB23" s="489">
        <f t="shared" si="25"/>
        <v>785536892</v>
      </c>
      <c r="DC23" s="489">
        <f t="shared" si="25"/>
        <v>0</v>
      </c>
      <c r="DD23" s="489"/>
      <c r="DE23" s="489">
        <f t="shared" si="25"/>
        <v>0</v>
      </c>
      <c r="DF23" s="489"/>
      <c r="DG23" s="489">
        <f t="shared" si="25"/>
        <v>0</v>
      </c>
      <c r="DH23" s="489"/>
      <c r="DI23" s="489">
        <f t="shared" si="25"/>
        <v>23528433055</v>
      </c>
      <c r="DJ23" s="489">
        <f t="shared" si="25"/>
        <v>23528433055</v>
      </c>
      <c r="DK23" s="489">
        <f t="shared" si="25"/>
        <v>17065236241</v>
      </c>
      <c r="DL23" s="489">
        <f t="shared" si="25"/>
        <v>23528433055</v>
      </c>
      <c r="DM23" s="489">
        <f t="shared" si="25"/>
        <v>17065236241</v>
      </c>
      <c r="DN23" s="489">
        <f t="shared" si="25"/>
        <v>3796000000</v>
      </c>
      <c r="DO23" s="489">
        <f t="shared" si="25"/>
        <v>0</v>
      </c>
      <c r="DP23" s="489">
        <f t="shared" si="25"/>
        <v>0</v>
      </c>
      <c r="DQ23" s="489">
        <f t="shared" si="25"/>
        <v>0</v>
      </c>
      <c r="DR23" s="489">
        <f t="shared" si="25"/>
        <v>0</v>
      </c>
      <c r="DS23" s="489">
        <f t="shared" si="25"/>
        <v>0</v>
      </c>
      <c r="DT23" s="489">
        <f t="shared" si="25"/>
        <v>0</v>
      </c>
      <c r="DU23" s="489">
        <f t="shared" si="25"/>
        <v>0</v>
      </c>
      <c r="DV23" s="489">
        <f t="shared" si="25"/>
        <v>0</v>
      </c>
      <c r="DW23" s="489">
        <f t="shared" si="25"/>
        <v>0</v>
      </c>
      <c r="DX23" s="489">
        <f t="shared" si="25"/>
        <v>0</v>
      </c>
      <c r="DY23" s="489">
        <f t="shared" si="25"/>
        <v>0</v>
      </c>
      <c r="DZ23" s="489">
        <f t="shared" si="25"/>
        <v>0</v>
      </c>
      <c r="EA23" s="489">
        <f t="shared" si="25"/>
        <v>0</v>
      </c>
      <c r="EB23" s="489">
        <f t="shared" si="25"/>
        <v>0</v>
      </c>
      <c r="EC23" s="489">
        <f t="shared" si="25"/>
        <v>0</v>
      </c>
      <c r="ED23" s="489">
        <f t="shared" si="25"/>
        <v>0</v>
      </c>
      <c r="EE23" s="489">
        <f t="shared" si="25"/>
        <v>0</v>
      </c>
      <c r="EF23" s="489">
        <f t="shared" si="25"/>
        <v>0</v>
      </c>
      <c r="EG23" s="489">
        <f t="shared" si="25"/>
        <v>0</v>
      </c>
      <c r="EH23" s="489">
        <f t="shared" si="25"/>
        <v>0</v>
      </c>
      <c r="EI23" s="489">
        <f t="shared" si="25"/>
        <v>0</v>
      </c>
      <c r="EJ23" s="489">
        <f t="shared" si="25"/>
        <v>0</v>
      </c>
      <c r="EK23" s="489">
        <f t="shared" si="25"/>
        <v>0</v>
      </c>
      <c r="EL23" s="489">
        <f t="shared" si="25"/>
        <v>0</v>
      </c>
      <c r="EM23" s="489">
        <f t="shared" si="25"/>
        <v>0</v>
      </c>
      <c r="EN23" s="489">
        <f t="shared" si="25"/>
        <v>0</v>
      </c>
      <c r="EO23" s="489">
        <f t="shared" si="25"/>
        <v>0</v>
      </c>
      <c r="EP23" s="489">
        <f t="shared" si="25"/>
        <v>0</v>
      </c>
      <c r="EQ23" s="489">
        <f t="shared" si="25"/>
        <v>0</v>
      </c>
      <c r="ER23" s="491">
        <f>IFERROR(DB23/DA23,0)</f>
        <v>-39.276844599999997</v>
      </c>
      <c r="ES23" s="492">
        <f>DK23/DJ23</f>
        <v>0.72530270932655616</v>
      </c>
      <c r="ET23" s="491">
        <f>DM23/DL23</f>
        <v>0.72530270932655616</v>
      </c>
      <c r="EU23" s="491">
        <f>(AA23+BE23+CI23+DK23)/(Z23+BD23+CH23+DJ23)</f>
        <v>0.81810723467281932</v>
      </c>
      <c r="EV23" s="493">
        <f t="shared" si="19"/>
        <v>0.75943142807526043</v>
      </c>
      <c r="EW23" s="786"/>
      <c r="EX23" s="734"/>
      <c r="EY23" s="734"/>
      <c r="EZ23" s="734"/>
      <c r="FA23" s="734"/>
    </row>
    <row r="24" spans="1:157" ht="27" customHeight="1" x14ac:dyDescent="0.25">
      <c r="A24" s="749"/>
      <c r="B24" s="755">
        <v>3</v>
      </c>
      <c r="C24" s="758" t="s">
        <v>73</v>
      </c>
      <c r="D24" s="754" t="s">
        <v>75</v>
      </c>
      <c r="E24" s="751">
        <v>214</v>
      </c>
      <c r="F24" s="318" t="s">
        <v>100</v>
      </c>
      <c r="G24" s="520">
        <v>590</v>
      </c>
      <c r="H24" s="521">
        <v>54</v>
      </c>
      <c r="I24" s="521">
        <v>54</v>
      </c>
      <c r="J24" s="521">
        <v>0</v>
      </c>
      <c r="K24" s="521">
        <v>54</v>
      </c>
      <c r="L24" s="521">
        <v>0</v>
      </c>
      <c r="M24" s="521">
        <v>54</v>
      </c>
      <c r="N24" s="495">
        <v>0</v>
      </c>
      <c r="O24" s="521">
        <v>54</v>
      </c>
      <c r="P24" s="522">
        <v>4.1100000000000003</v>
      </c>
      <c r="Q24" s="521">
        <v>54</v>
      </c>
      <c r="R24" s="522">
        <v>4.24</v>
      </c>
      <c r="S24" s="521">
        <v>54</v>
      </c>
      <c r="T24" s="523">
        <f>+[1]GESTIÓN!V16</f>
        <v>4.8070000000000004</v>
      </c>
      <c r="U24" s="521">
        <v>54</v>
      </c>
      <c r="V24" s="521">
        <v>5.24</v>
      </c>
      <c r="W24" s="521"/>
      <c r="X24" s="521"/>
      <c r="Y24" s="521"/>
      <c r="Z24" s="499">
        <v>54</v>
      </c>
      <c r="AA24" s="494">
        <v>5.24</v>
      </c>
      <c r="AB24" s="521">
        <v>590</v>
      </c>
      <c r="AC24" s="524">
        <v>1.48</v>
      </c>
      <c r="AD24" s="524">
        <v>1.48</v>
      </c>
      <c r="AE24" s="499">
        <v>0</v>
      </c>
      <c r="AF24" s="499">
        <v>0</v>
      </c>
      <c r="AG24" s="499">
        <v>0</v>
      </c>
      <c r="AH24" s="499">
        <v>0</v>
      </c>
      <c r="AI24" s="524">
        <v>1.38</v>
      </c>
      <c r="AJ24" s="524">
        <v>1.38</v>
      </c>
      <c r="AK24" s="524">
        <v>7.84</v>
      </c>
      <c r="AL24" s="524">
        <v>5.85</v>
      </c>
      <c r="AM24" s="522">
        <v>2.5</v>
      </c>
      <c r="AN24" s="522">
        <v>1.3</v>
      </c>
      <c r="AO24" s="522">
        <v>3</v>
      </c>
      <c r="AP24" s="522">
        <v>19.72</v>
      </c>
      <c r="AQ24" s="522">
        <v>2.81</v>
      </c>
      <c r="AR24" s="522">
        <v>5.75</v>
      </c>
      <c r="AS24" s="522">
        <v>2.99</v>
      </c>
      <c r="AT24" s="522">
        <v>5.24</v>
      </c>
      <c r="AU24" s="522">
        <v>188</v>
      </c>
      <c r="AV24" s="522">
        <v>14.3</v>
      </c>
      <c r="AW24" s="522">
        <v>190</v>
      </c>
      <c r="AX24" s="522">
        <v>2.12</v>
      </c>
      <c r="AY24" s="522">
        <v>190</v>
      </c>
      <c r="AZ24" s="522">
        <v>3.42</v>
      </c>
      <c r="BA24" s="496">
        <f>AC24+AE24+AG24+AI24+AK24+AM24+AO24+AQ24+AS24+AU24+AW24+AY24</f>
        <v>590</v>
      </c>
      <c r="BB24" s="496">
        <f>AC24+AE24+AG24+AI24+AK24+AM24+AO24+AQ24+AS24+AU24+AW24+AY24</f>
        <v>590</v>
      </c>
      <c r="BC24" s="496">
        <f>AD24+AF24+AH24+AJ24+AL24+AN24+AP24+AR24+AT24+AV24+AX24+AZ24</f>
        <v>60.559999999999995</v>
      </c>
      <c r="BD24" s="494">
        <f>BA24</f>
        <v>590</v>
      </c>
      <c r="BE24" s="494">
        <f>BC24</f>
        <v>60.559999999999995</v>
      </c>
      <c r="BF24" s="494">
        <v>590</v>
      </c>
      <c r="BG24" s="499">
        <v>0</v>
      </c>
      <c r="BH24" s="499">
        <v>0</v>
      </c>
      <c r="BI24" s="499">
        <v>2.5499999999999998</v>
      </c>
      <c r="BJ24" s="499">
        <v>2.5499999999999998</v>
      </c>
      <c r="BK24" s="499">
        <v>2</v>
      </c>
      <c r="BL24" s="499">
        <v>4.57</v>
      </c>
      <c r="BM24" s="499">
        <v>2</v>
      </c>
      <c r="BN24" s="499">
        <v>6.97</v>
      </c>
      <c r="BO24" s="499">
        <v>2</v>
      </c>
      <c r="BP24" s="499">
        <v>3.46</v>
      </c>
      <c r="BQ24" s="499">
        <v>2</v>
      </c>
      <c r="BR24" s="499">
        <v>6.97</v>
      </c>
      <c r="BS24" s="499">
        <v>2</v>
      </c>
      <c r="BT24" s="499">
        <v>3.14</v>
      </c>
      <c r="BU24" s="499">
        <v>2</v>
      </c>
      <c r="BV24" s="499">
        <v>7.5</v>
      </c>
      <c r="BW24" s="499">
        <v>148</v>
      </c>
      <c r="BX24" s="499">
        <v>8</v>
      </c>
      <c r="BY24" s="499">
        <v>148</v>
      </c>
      <c r="BZ24" s="499">
        <v>25.2</v>
      </c>
      <c r="CA24" s="499">
        <v>148</v>
      </c>
      <c r="CB24" s="499">
        <v>3.03</v>
      </c>
      <c r="CC24" s="499">
        <v>131.44999999999999</v>
      </c>
      <c r="CD24" s="499">
        <v>4.34</v>
      </c>
      <c r="CE24" s="499">
        <f>CC24+CA24+BY24+BW24+BS24+BQ24+BO24+BM24+BK24+BI24+BG24+BU24</f>
        <v>590</v>
      </c>
      <c r="CF24" s="494">
        <f>BG24+BI24+BK24+BM24+BO24+BQ24+BS24+BU24+BW24+BY24+CA24+CC24</f>
        <v>590</v>
      </c>
      <c r="CG24" s="494">
        <f>BH24+BJ24+BL24+BN24+BP24+BR24+BT24+BV24+BX24+BZ24+CB24+CD24</f>
        <v>75.73</v>
      </c>
      <c r="CH24" s="499">
        <f>CE24</f>
        <v>590</v>
      </c>
      <c r="CI24" s="499">
        <f>CG24</f>
        <v>75.73</v>
      </c>
      <c r="CJ24" s="499">
        <v>590</v>
      </c>
      <c r="CK24" s="499">
        <v>0</v>
      </c>
      <c r="CL24" s="499">
        <v>0</v>
      </c>
      <c r="CM24" s="499">
        <v>0</v>
      </c>
      <c r="CN24" s="499">
        <v>0</v>
      </c>
      <c r="CO24" s="500">
        <v>0</v>
      </c>
      <c r="CP24" s="500">
        <v>0</v>
      </c>
      <c r="CQ24" s="499">
        <v>0</v>
      </c>
      <c r="CR24" s="499">
        <v>0</v>
      </c>
      <c r="CS24" s="499">
        <v>0</v>
      </c>
      <c r="CT24" s="502">
        <v>22.36</v>
      </c>
      <c r="CU24" s="499">
        <v>0</v>
      </c>
      <c r="CV24" s="499">
        <v>151.28</v>
      </c>
      <c r="CW24" s="499">
        <v>0</v>
      </c>
      <c r="CX24" s="499">
        <v>301.27999999999997</v>
      </c>
      <c r="CY24" s="499">
        <v>0</v>
      </c>
      <c r="CZ24" s="499">
        <v>2.82</v>
      </c>
      <c r="DA24" s="499">
        <v>148</v>
      </c>
      <c r="DB24" s="499">
        <v>64.83</v>
      </c>
      <c r="DC24" s="499">
        <v>148</v>
      </c>
      <c r="DD24" s="499"/>
      <c r="DE24" s="499">
        <v>148</v>
      </c>
      <c r="DF24" s="499"/>
      <c r="DG24" s="499">
        <v>146</v>
      </c>
      <c r="DH24" s="499"/>
      <c r="DI24" s="494">
        <f t="shared" ref="DI24:DI29" si="26">DG24+DE24+DC24+DA24+CW24+CU24+CS24+CQ24+CO24+CM24+CK24+CY24</f>
        <v>590</v>
      </c>
      <c r="DJ24" s="494">
        <f t="shared" ref="DJ24:DK29" si="27">CK24+CM24+CO24+CQ24+CS24+CU24+CW24+CY24+DA24</f>
        <v>148</v>
      </c>
      <c r="DK24" s="494">
        <f t="shared" si="27"/>
        <v>542.56999999999994</v>
      </c>
      <c r="DL24" s="499">
        <f>DI24</f>
        <v>590</v>
      </c>
      <c r="DM24" s="499">
        <f>+DK24</f>
        <v>542.56999999999994</v>
      </c>
      <c r="DN24" s="499">
        <v>590</v>
      </c>
      <c r="DO24" s="521"/>
      <c r="DP24" s="521"/>
      <c r="DQ24" s="521"/>
      <c r="DR24" s="521"/>
      <c r="DS24" s="521"/>
      <c r="DT24" s="521"/>
      <c r="DU24" s="521"/>
      <c r="DV24" s="521"/>
      <c r="DW24" s="521"/>
      <c r="DX24" s="521"/>
      <c r="DY24" s="521"/>
      <c r="DZ24" s="521"/>
      <c r="EA24" s="521"/>
      <c r="EB24" s="521"/>
      <c r="EC24" s="521"/>
      <c r="ED24" s="521"/>
      <c r="EE24" s="521"/>
      <c r="EF24" s="521"/>
      <c r="EG24" s="521"/>
      <c r="EH24" s="521"/>
      <c r="EI24" s="521"/>
      <c r="EJ24" s="521"/>
      <c r="EK24" s="521"/>
      <c r="EL24" s="521"/>
      <c r="EM24" s="521"/>
      <c r="EN24" s="521"/>
      <c r="EO24" s="521"/>
      <c r="EP24" s="521"/>
      <c r="EQ24" s="521"/>
      <c r="ER24" s="505">
        <f t="shared" si="5"/>
        <v>0.43804054054054054</v>
      </c>
      <c r="ES24" s="506">
        <f>IFERROR(DK24/DJ24,0)</f>
        <v>3.666013513513513</v>
      </c>
      <c r="ET24" s="505">
        <f>DM24/DL24</f>
        <v>0.9196101694915253</v>
      </c>
      <c r="EU24" s="505">
        <f>(AA24+BE24+CI24+DK24)/(Z24+BD24+CH24+DJ24)</f>
        <v>0.49500723589001439</v>
      </c>
      <c r="EV24" s="505">
        <f>(AA24+BE24+CI24+DM24)/2414</f>
        <v>0.28338856669428331</v>
      </c>
      <c r="EW24" s="787" t="s">
        <v>696</v>
      </c>
      <c r="EX24" s="735" t="s">
        <v>63</v>
      </c>
      <c r="EY24" s="735" t="s">
        <v>63</v>
      </c>
      <c r="EZ24" s="733" t="s">
        <v>76</v>
      </c>
      <c r="FA24" s="735" t="s">
        <v>65</v>
      </c>
    </row>
    <row r="25" spans="1:157" ht="27" customHeight="1" x14ac:dyDescent="0.25">
      <c r="A25" s="749"/>
      <c r="B25" s="756"/>
      <c r="C25" s="752"/>
      <c r="D25" s="752"/>
      <c r="E25" s="752"/>
      <c r="F25" s="319" t="s">
        <v>102</v>
      </c>
      <c r="G25" s="470">
        <f>AA25+BE25+CI25+DL25+DN25</f>
        <v>42514084086</v>
      </c>
      <c r="H25" s="470">
        <v>846820000</v>
      </c>
      <c r="I25" s="470">
        <v>846820000</v>
      </c>
      <c r="J25" s="470">
        <v>0</v>
      </c>
      <c r="K25" s="470">
        <v>846820000</v>
      </c>
      <c r="L25" s="470">
        <v>0</v>
      </c>
      <c r="M25" s="470">
        <v>846820000</v>
      </c>
      <c r="N25" s="470">
        <v>298980000</v>
      </c>
      <c r="O25" s="470">
        <v>846820000</v>
      </c>
      <c r="P25" s="470">
        <f>N25+17549347</f>
        <v>316529347</v>
      </c>
      <c r="Q25" s="470">
        <v>846820000</v>
      </c>
      <c r="R25" s="470">
        <v>323308102</v>
      </c>
      <c r="S25" s="470">
        <v>846820000</v>
      </c>
      <c r="T25" s="470" t="e">
        <v>#REF!</v>
      </c>
      <c r="U25" s="470">
        <v>817531593</v>
      </c>
      <c r="V25" s="470">
        <v>755491393</v>
      </c>
      <c r="W25" s="470"/>
      <c r="X25" s="470"/>
      <c r="Y25" s="470"/>
      <c r="Z25" s="470">
        <v>817531593</v>
      </c>
      <c r="AA25" s="471">
        <v>755491393</v>
      </c>
      <c r="AB25" s="470">
        <v>8798867000</v>
      </c>
      <c r="AC25" s="470">
        <v>0</v>
      </c>
      <c r="AD25" s="470">
        <v>0</v>
      </c>
      <c r="AE25" s="470">
        <v>10695000</v>
      </c>
      <c r="AF25" s="470">
        <v>10695000</v>
      </c>
      <c r="AG25" s="470">
        <v>299088000</v>
      </c>
      <c r="AH25" s="470">
        <v>299088000</v>
      </c>
      <c r="AI25" s="470">
        <v>288952996</v>
      </c>
      <c r="AJ25" s="470">
        <v>288952996</v>
      </c>
      <c r="AK25" s="470">
        <v>1446878</v>
      </c>
      <c r="AL25" s="470">
        <v>1446878</v>
      </c>
      <c r="AM25" s="470">
        <f>68553915+109206000</f>
        <v>177759915</v>
      </c>
      <c r="AN25" s="470">
        <v>175964597</v>
      </c>
      <c r="AO25" s="470">
        <v>0</v>
      </c>
      <c r="AP25" s="470">
        <v>0</v>
      </c>
      <c r="AQ25" s="470">
        <v>0</v>
      </c>
      <c r="AR25" s="470">
        <v>0</v>
      </c>
      <c r="AS25" s="470">
        <v>0</v>
      </c>
      <c r="AT25" s="470">
        <v>3500000</v>
      </c>
      <c r="AU25" s="470">
        <f>6425042000-100000000-1233648000</f>
        <v>5091394000</v>
      </c>
      <c r="AV25" s="470">
        <v>3000000000</v>
      </c>
      <c r="AW25" s="470">
        <v>0</v>
      </c>
      <c r="AX25" s="470">
        <v>3321023814</v>
      </c>
      <c r="AY25" s="470">
        <v>1442443390</v>
      </c>
      <c r="AZ25" s="470">
        <v>81036078</v>
      </c>
      <c r="BA25" s="476">
        <f>AC25+AE25+AG25+AI25+AK25+AM25+AO25+AQ25+AS25+AU25+AW25+AY25</f>
        <v>7311780179</v>
      </c>
      <c r="BB25" s="476">
        <f>AC25+AE25+AG25+AI25+AK25+AM25+AO25+AQ25+AS25+AU25+AW25+AY25</f>
        <v>7311780179</v>
      </c>
      <c r="BC25" s="476">
        <f>AD25+AF25+AH25+AJ25+AL25+AN25+AP25+AR25+AT25+AV197+AV25+AX25+AZ25</f>
        <v>7181707363</v>
      </c>
      <c r="BD25" s="471">
        <f>AC25+AE25+AG25+AI25+AK25+AM25+AO25+AQ25+AS25+AU25+AW25+AY25</f>
        <v>7311780179</v>
      </c>
      <c r="BE25" s="471">
        <f>AD25+AF25+AH25+AJ25+AL25+AN25+AP25+AR25+AT25+AV25+AX25+AZ25</f>
        <v>7181707363</v>
      </c>
      <c r="BF25" s="471">
        <v>9719572000</v>
      </c>
      <c r="BG25" s="470">
        <v>1127853000</v>
      </c>
      <c r="BH25" s="470">
        <v>1127853000</v>
      </c>
      <c r="BI25" s="470">
        <v>0</v>
      </c>
      <c r="BJ25" s="470">
        <v>0</v>
      </c>
      <c r="BK25" s="470">
        <v>421048371</v>
      </c>
      <c r="BL25" s="470">
        <v>0</v>
      </c>
      <c r="BM25" s="470">
        <v>50611602</v>
      </c>
      <c r="BN25" s="470">
        <v>249661839</v>
      </c>
      <c r="BO25" s="470">
        <v>1490000</v>
      </c>
      <c r="BP25" s="470">
        <v>63054700</v>
      </c>
      <c r="BQ25" s="470">
        <v>0</v>
      </c>
      <c r="BR25" s="470">
        <v>0</v>
      </c>
      <c r="BS25" s="470">
        <v>9071000</v>
      </c>
      <c r="BT25" s="470">
        <v>55291733</v>
      </c>
      <c r="BU25" s="470">
        <v>0</v>
      </c>
      <c r="BV25" s="470">
        <v>0</v>
      </c>
      <c r="BW25" s="470">
        <v>8103849000</v>
      </c>
      <c r="BX25" s="470">
        <v>0</v>
      </c>
      <c r="BY25" s="470">
        <v>0</v>
      </c>
      <c r="BZ25" s="470">
        <v>0</v>
      </c>
      <c r="CA25" s="470">
        <v>5649027</v>
      </c>
      <c r="CB25" s="470">
        <v>44117900</v>
      </c>
      <c r="CC25" s="470">
        <f>50077079+76628000+17500858</f>
        <v>144205937</v>
      </c>
      <c r="CD25" s="470">
        <v>8319805913</v>
      </c>
      <c r="CE25" s="470">
        <f>CC25+CA25+BY25+BW25+BS25+BQ25+BO25+BM25+BK25+BI25+BG25+BU25</f>
        <v>9863777937</v>
      </c>
      <c r="CF25" s="470">
        <f>BG25+BI25+BK25+BM25+BO25+BQ25+BS25+BU25+BW25+BY25+CA25+CC25</f>
        <v>9863777937</v>
      </c>
      <c r="CG25" s="470">
        <f>BH25+BJ25+BL25+BN25+BP25+BR25+BT25+BV25+BX25+BZ25+CB25+CD25</f>
        <v>9859785085</v>
      </c>
      <c r="CH25" s="470">
        <f>CE25</f>
        <v>9863777937</v>
      </c>
      <c r="CI25" s="470">
        <f>CG25</f>
        <v>9859785085</v>
      </c>
      <c r="CJ25" s="471">
        <v>15816809000</v>
      </c>
      <c r="CK25" s="472">
        <v>13484905703</v>
      </c>
      <c r="CL25" s="472">
        <v>13484905703</v>
      </c>
      <c r="CM25" s="472">
        <v>657892000</v>
      </c>
      <c r="CN25" s="472">
        <v>657892000</v>
      </c>
      <c r="CO25" s="472">
        <v>98928000</v>
      </c>
      <c r="CP25" s="472">
        <v>98928000</v>
      </c>
      <c r="CQ25" s="472">
        <v>0</v>
      </c>
      <c r="CR25" s="470">
        <v>0</v>
      </c>
      <c r="CS25" s="472">
        <v>80000000</v>
      </c>
      <c r="CT25" s="473">
        <v>28056000</v>
      </c>
      <c r="CU25" s="472">
        <v>200417000</v>
      </c>
      <c r="CV25" s="470">
        <v>0</v>
      </c>
      <c r="CW25" s="472">
        <v>201072000</v>
      </c>
      <c r="CX25" s="470">
        <v>0</v>
      </c>
      <c r="CY25" s="472">
        <v>0</v>
      </c>
      <c r="CZ25" s="470">
        <v>0</v>
      </c>
      <c r="DA25" s="472">
        <v>-319114458</v>
      </c>
      <c r="DB25" s="470">
        <v>1490400</v>
      </c>
      <c r="DC25" s="472">
        <v>0</v>
      </c>
      <c r="DD25" s="470"/>
      <c r="DE25" s="472">
        <v>0</v>
      </c>
      <c r="DF25" s="470"/>
      <c r="DG25" s="472">
        <v>0</v>
      </c>
      <c r="DH25" s="470"/>
      <c r="DI25" s="507">
        <f t="shared" si="26"/>
        <v>14404100245</v>
      </c>
      <c r="DJ25" s="471">
        <f t="shared" si="27"/>
        <v>14404100245</v>
      </c>
      <c r="DK25" s="471">
        <f t="shared" si="27"/>
        <v>14271272103</v>
      </c>
      <c r="DL25" s="470">
        <f>DI25</f>
        <v>14404100245</v>
      </c>
      <c r="DM25" s="470">
        <f>DK25</f>
        <v>14271272103</v>
      </c>
      <c r="DN25" s="470">
        <v>10313000000</v>
      </c>
      <c r="DO25" s="470"/>
      <c r="DP25" s="470"/>
      <c r="DQ25" s="470"/>
      <c r="DR25" s="470"/>
      <c r="DS25" s="470"/>
      <c r="DT25" s="470"/>
      <c r="DU25" s="470"/>
      <c r="DV25" s="470"/>
      <c r="DW25" s="470"/>
      <c r="DX25" s="470"/>
      <c r="DY25" s="470"/>
      <c r="DZ25" s="470"/>
      <c r="EA25" s="470"/>
      <c r="EB25" s="470"/>
      <c r="EC25" s="470"/>
      <c r="ED25" s="470"/>
      <c r="EE25" s="470"/>
      <c r="EF25" s="470"/>
      <c r="EG25" s="470"/>
      <c r="EH25" s="470"/>
      <c r="EI25" s="470"/>
      <c r="EJ25" s="470"/>
      <c r="EK25" s="470"/>
      <c r="EL25" s="470"/>
      <c r="EM25" s="470"/>
      <c r="EN25" s="470"/>
      <c r="EO25" s="470"/>
      <c r="EP25" s="470"/>
      <c r="EQ25" s="470"/>
      <c r="ER25" s="468">
        <f t="shared" si="5"/>
        <v>-4.670424553437187E-3</v>
      </c>
      <c r="ES25" s="469">
        <f t="shared" si="16"/>
        <v>0.99077844920955005</v>
      </c>
      <c r="ET25" s="468">
        <f t="shared" si="17"/>
        <v>0.99077844920955005</v>
      </c>
      <c r="EU25" s="468">
        <f t="shared" si="18"/>
        <v>0.98984683515863425</v>
      </c>
      <c r="EV25" s="468">
        <f t="shared" ref="EV25:EV30" si="28">(AA25+BE25+CI25+DM25)/G25</f>
        <v>0.75429723192743459</v>
      </c>
      <c r="EW25" s="788"/>
      <c r="EX25" s="734"/>
      <c r="EY25" s="734"/>
      <c r="EZ25" s="734"/>
      <c r="FA25" s="734"/>
    </row>
    <row r="26" spans="1:157" ht="25.5" customHeight="1" x14ac:dyDescent="0.25">
      <c r="A26" s="749"/>
      <c r="B26" s="756"/>
      <c r="C26" s="752"/>
      <c r="D26" s="752"/>
      <c r="E26" s="752"/>
      <c r="F26" s="320" t="s">
        <v>103</v>
      </c>
      <c r="G26" s="470"/>
      <c r="H26" s="470"/>
      <c r="I26" s="470"/>
      <c r="J26" s="470"/>
      <c r="K26" s="470"/>
      <c r="L26" s="470"/>
      <c r="M26" s="470"/>
      <c r="N26" s="470"/>
      <c r="O26" s="470"/>
      <c r="P26" s="470"/>
      <c r="Q26" s="470"/>
      <c r="R26" s="470"/>
      <c r="S26" s="470"/>
      <c r="T26" s="470"/>
      <c r="U26" s="470"/>
      <c r="V26" s="470"/>
      <c r="W26" s="470"/>
      <c r="X26" s="470"/>
      <c r="Y26" s="470"/>
      <c r="Z26" s="470"/>
      <c r="AA26" s="471"/>
      <c r="AB26" s="470"/>
      <c r="AC26" s="470">
        <v>0</v>
      </c>
      <c r="AD26" s="470">
        <v>0</v>
      </c>
      <c r="AE26" s="470">
        <v>0</v>
      </c>
      <c r="AF26" s="470">
        <v>0</v>
      </c>
      <c r="AG26" s="470">
        <v>0</v>
      </c>
      <c r="AH26" s="470">
        <v>0</v>
      </c>
      <c r="AI26" s="470">
        <v>1632996</v>
      </c>
      <c r="AJ26" s="470">
        <v>1632996</v>
      </c>
      <c r="AK26" s="470">
        <v>51985466</v>
      </c>
      <c r="AL26" s="470">
        <v>51985466</v>
      </c>
      <c r="AM26" s="470">
        <v>87881013</v>
      </c>
      <c r="AN26" s="470">
        <v>66806326</v>
      </c>
      <c r="AO26" s="470">
        <v>70035367</v>
      </c>
      <c r="AP26" s="470">
        <v>135316082</v>
      </c>
      <c r="AQ26" s="470">
        <v>0</v>
      </c>
      <c r="AR26" s="470">
        <v>62539000</v>
      </c>
      <c r="AS26" s="470">
        <v>0</v>
      </c>
      <c r="AT26" s="470">
        <v>74393000</v>
      </c>
      <c r="AU26" s="470">
        <f>2570016800-100000000-1233648000</f>
        <v>1236368800</v>
      </c>
      <c r="AV26" s="470">
        <v>3158101747</v>
      </c>
      <c r="AW26" s="470">
        <v>3212521000</v>
      </c>
      <c r="AX26" s="470">
        <v>90416253</v>
      </c>
      <c r="AY26" s="470">
        <f>2605148273+62520346</f>
        <v>2667668619</v>
      </c>
      <c r="AZ26" s="470">
        <v>142993489</v>
      </c>
      <c r="BA26" s="476">
        <f>AC26+AE26+AG26+AI26+AK26+AM26+AO26+AQ26+AS26+AU26+AW26+AY26</f>
        <v>7328093261</v>
      </c>
      <c r="BB26" s="476">
        <f>AC26+AE26+AG26+AI26+AK26+AM26+AO26+AQ26+AS26+AU26+AW26+AY26</f>
        <v>7328093261</v>
      </c>
      <c r="BC26" s="476">
        <f>AD26+AF26+AH26+AJ26+AL26+AN26+AP26+AR26+AT26+AV198+AV26+AX26+AZ26</f>
        <v>3784184359</v>
      </c>
      <c r="BD26" s="471">
        <f>AC26+AE26+AG26+AI26+AK26+AM26+AO26+AQ26+AS26+AU26+AW26+AY26</f>
        <v>7328093261</v>
      </c>
      <c r="BE26" s="471">
        <f>AD26+AF26+AH26+AJ26+AL26+AN26+AP26+AR26+AT26+AV26+AX26+AZ26</f>
        <v>3784184359</v>
      </c>
      <c r="BF26" s="471">
        <v>9719571999.9999981</v>
      </c>
      <c r="BG26" s="470">
        <v>0</v>
      </c>
      <c r="BH26" s="470">
        <v>0</v>
      </c>
      <c r="BI26" s="470">
        <v>20740455</v>
      </c>
      <c r="BJ26" s="470">
        <v>2747000</v>
      </c>
      <c r="BK26" s="470">
        <v>526855826</v>
      </c>
      <c r="BL26" s="470">
        <v>113856477</v>
      </c>
      <c r="BM26" s="470">
        <v>156419057</v>
      </c>
      <c r="BN26" s="470">
        <v>131663510</v>
      </c>
      <c r="BO26" s="470">
        <v>107297455</v>
      </c>
      <c r="BP26" s="470">
        <v>186108867</v>
      </c>
      <c r="BQ26" s="470">
        <v>105807455</v>
      </c>
      <c r="BR26" s="470">
        <v>85067000</v>
      </c>
      <c r="BS26" s="470">
        <v>112378454</v>
      </c>
      <c r="BT26" s="470">
        <v>172816294</v>
      </c>
      <c r="BU26" s="470">
        <v>108307455</v>
      </c>
      <c r="BV26" s="470">
        <v>85067027</v>
      </c>
      <c r="BW26" s="470">
        <v>2131769705</v>
      </c>
      <c r="BX26" s="470">
        <v>96344545</v>
      </c>
      <c r="BY26" s="470">
        <v>2131769705</v>
      </c>
      <c r="BZ26" s="470">
        <v>97261851</v>
      </c>
      <c r="CA26" s="470">
        <f>2133505732+17500858</f>
        <v>2151006590</v>
      </c>
      <c r="CB26" s="470">
        <v>194981094</v>
      </c>
      <c r="CC26" s="470">
        <f>2184720701+50077079+76628000</f>
        <v>2311425780</v>
      </c>
      <c r="CD26" s="470">
        <v>564782094</v>
      </c>
      <c r="CE26" s="470">
        <f>CC26+CA26+BY26+BW26+BS26+BQ26+BO26+BM26+BK26+BI26+BG26+BU26</f>
        <v>9863777937</v>
      </c>
      <c r="CF26" s="470">
        <f>BG26+BI26+BK26+BM26+BO26+BQ26+BS26+BU26+BW26+BY26+CA26</f>
        <v>7552352157</v>
      </c>
      <c r="CG26" s="470">
        <f>BH26+BJ26+BL26+BN26+BP26+BR26+BT26+BV26+BX26+BZ26+CB26+CD26</f>
        <v>1730695759</v>
      </c>
      <c r="CH26" s="470">
        <f>CE26</f>
        <v>9863777937</v>
      </c>
      <c r="CI26" s="470">
        <f>CG26</f>
        <v>1730695759</v>
      </c>
      <c r="CJ26" s="471">
        <v>15816809000</v>
      </c>
      <c r="CK26" s="470">
        <v>0</v>
      </c>
      <c r="CL26" s="470">
        <v>0</v>
      </c>
      <c r="CM26" s="472">
        <v>0</v>
      </c>
      <c r="CN26" s="470">
        <v>0</v>
      </c>
      <c r="CO26" s="472">
        <v>13578500</v>
      </c>
      <c r="CP26" s="472">
        <v>13578500</v>
      </c>
      <c r="CQ26" s="472">
        <v>2331745352</v>
      </c>
      <c r="CR26" s="470">
        <v>65857667</v>
      </c>
      <c r="CS26" s="472">
        <v>2408879639</v>
      </c>
      <c r="CT26" s="473">
        <v>90721600</v>
      </c>
      <c r="CU26" s="472">
        <v>2408879639</v>
      </c>
      <c r="CV26" s="470">
        <v>470699610</v>
      </c>
      <c r="CW26" s="472">
        <f>105824545</f>
        <v>105824545</v>
      </c>
      <c r="CX26" s="470">
        <v>672563182</v>
      </c>
      <c r="CY26" s="472">
        <f>5351354945-580768297-2000000000</f>
        <v>2770586648</v>
      </c>
      <c r="CZ26" s="470">
        <v>983305546</v>
      </c>
      <c r="DA26" s="472">
        <v>105824545</v>
      </c>
      <c r="DB26" s="470">
        <v>612553919</v>
      </c>
      <c r="DC26" s="472">
        <v>105824545</v>
      </c>
      <c r="DD26" s="470"/>
      <c r="DE26" s="472">
        <f>3351354945-319114458</f>
        <v>3032240487</v>
      </c>
      <c r="DF26" s="470"/>
      <c r="DG26" s="472">
        <f>1604153050+52000000-535436705</f>
        <v>1120716345</v>
      </c>
      <c r="DH26" s="470"/>
      <c r="DI26" s="507">
        <f t="shared" si="26"/>
        <v>14404100245</v>
      </c>
      <c r="DJ26" s="471">
        <f t="shared" si="27"/>
        <v>10145318868</v>
      </c>
      <c r="DK26" s="471">
        <f t="shared" si="27"/>
        <v>2909280024</v>
      </c>
      <c r="DL26" s="470">
        <f>DI26</f>
        <v>14404100245</v>
      </c>
      <c r="DM26" s="470">
        <f>DK26</f>
        <v>2909280024</v>
      </c>
      <c r="DN26" s="470">
        <v>0</v>
      </c>
      <c r="DO26" s="470"/>
      <c r="DP26" s="470"/>
      <c r="DQ26" s="470"/>
      <c r="DR26" s="470"/>
      <c r="DS26" s="470"/>
      <c r="DT26" s="470"/>
      <c r="DU26" s="470"/>
      <c r="DV26" s="470"/>
      <c r="DW26" s="470"/>
      <c r="DX26" s="470"/>
      <c r="DY26" s="470"/>
      <c r="DZ26" s="470"/>
      <c r="EA26" s="470"/>
      <c r="EB26" s="470"/>
      <c r="EC26" s="470"/>
      <c r="ED26" s="470"/>
      <c r="EE26" s="470"/>
      <c r="EF26" s="470"/>
      <c r="EG26" s="470"/>
      <c r="EH26" s="470"/>
      <c r="EI26" s="470"/>
      <c r="EJ26" s="470"/>
      <c r="EK26" s="470"/>
      <c r="EL26" s="470"/>
      <c r="EM26" s="470"/>
      <c r="EN26" s="470"/>
      <c r="EO26" s="470"/>
      <c r="EP26" s="470"/>
      <c r="EQ26" s="470"/>
      <c r="ER26" s="468">
        <f t="shared" si="5"/>
        <v>5.7883917100706643</v>
      </c>
      <c r="ES26" s="469">
        <f t="shared" si="16"/>
        <v>0.28676082653018886</v>
      </c>
      <c r="ET26" s="468">
        <f t="shared" si="17"/>
        <v>0.20197582455800245</v>
      </c>
      <c r="EU26" s="468">
        <f>(AA26+BE26+CI26+DK26)/(Z26+BD26+CH26+DJ26)</f>
        <v>0.30815749978917384</v>
      </c>
      <c r="EV26" s="468">
        <f>IFERROR((AA26+BE26+CI26+DM26)/G26,0)</f>
        <v>0</v>
      </c>
      <c r="EW26" s="788"/>
      <c r="EX26" s="734"/>
      <c r="EY26" s="734"/>
      <c r="EZ26" s="734"/>
      <c r="FA26" s="734"/>
    </row>
    <row r="27" spans="1:157" ht="40.5" customHeight="1" x14ac:dyDescent="0.25">
      <c r="A27" s="749"/>
      <c r="B27" s="756"/>
      <c r="C27" s="752"/>
      <c r="D27" s="752"/>
      <c r="E27" s="752"/>
      <c r="F27" s="321" t="s">
        <v>104</v>
      </c>
      <c r="G27" s="464">
        <v>0</v>
      </c>
      <c r="H27" s="525">
        <v>0</v>
      </c>
      <c r="I27" s="525">
        <v>0</v>
      </c>
      <c r="J27" s="525">
        <v>0</v>
      </c>
      <c r="K27" s="525">
        <v>0</v>
      </c>
      <c r="L27" s="525">
        <v>0</v>
      </c>
      <c r="M27" s="525">
        <v>0</v>
      </c>
      <c r="N27" s="525">
        <v>0</v>
      </c>
      <c r="O27" s="525">
        <v>0</v>
      </c>
      <c r="P27" s="525">
        <v>0</v>
      </c>
      <c r="Q27" s="525">
        <v>0</v>
      </c>
      <c r="R27" s="525">
        <v>0</v>
      </c>
      <c r="S27" s="525">
        <v>0</v>
      </c>
      <c r="T27" s="525">
        <v>0</v>
      </c>
      <c r="U27" s="525">
        <v>0</v>
      </c>
      <c r="V27" s="525">
        <v>0</v>
      </c>
      <c r="W27" s="525"/>
      <c r="X27" s="525"/>
      <c r="Y27" s="525"/>
      <c r="Z27" s="464">
        <v>0</v>
      </c>
      <c r="AA27" s="464">
        <v>0</v>
      </c>
      <c r="AB27" s="525">
        <v>0</v>
      </c>
      <c r="AC27" s="474">
        <v>0</v>
      </c>
      <c r="AD27" s="474">
        <v>0</v>
      </c>
      <c r="AE27" s="474">
        <v>0</v>
      </c>
      <c r="AF27" s="474">
        <v>0</v>
      </c>
      <c r="AG27" s="474">
        <v>0</v>
      </c>
      <c r="AH27" s="474">
        <v>0</v>
      </c>
      <c r="AI27" s="474">
        <v>0</v>
      </c>
      <c r="AJ27" s="474">
        <v>0</v>
      </c>
      <c r="AK27" s="474">
        <v>0</v>
      </c>
      <c r="AL27" s="474">
        <v>0</v>
      </c>
      <c r="AM27" s="525">
        <v>0</v>
      </c>
      <c r="AN27" s="525">
        <v>0</v>
      </c>
      <c r="AO27" s="525">
        <v>0</v>
      </c>
      <c r="AP27" s="525">
        <v>0</v>
      </c>
      <c r="AQ27" s="525">
        <v>0</v>
      </c>
      <c r="AR27" s="525">
        <v>0</v>
      </c>
      <c r="AS27" s="525">
        <v>0</v>
      </c>
      <c r="AT27" s="525">
        <v>0</v>
      </c>
      <c r="AU27" s="525">
        <v>0</v>
      </c>
      <c r="AV27" s="525">
        <v>0</v>
      </c>
      <c r="AW27" s="525">
        <v>0</v>
      </c>
      <c r="AX27" s="525">
        <v>0</v>
      </c>
      <c r="AY27" s="525">
        <v>0</v>
      </c>
      <c r="AZ27" s="525">
        <v>0</v>
      </c>
      <c r="BA27" s="476">
        <f>AC27+AE27+AG27+AI27+AK27+AM27+AO27+AQ27+AS27+AU27+AW27+AY27</f>
        <v>0</v>
      </c>
      <c r="BB27" s="476">
        <f>AC27+AE27+AG27+AI27+AK27</f>
        <v>0</v>
      </c>
      <c r="BC27" s="476">
        <f>AD27+AF27+AH27+AJ27+AL27+AN27+AP27+AR27</f>
        <v>0</v>
      </c>
      <c r="BD27" s="463">
        <f>BA27+AA27</f>
        <v>0</v>
      </c>
      <c r="BE27" s="463">
        <f>BC27+AA27</f>
        <v>0</v>
      </c>
      <c r="BF27" s="463">
        <v>0</v>
      </c>
      <c r="BG27" s="464">
        <v>0</v>
      </c>
      <c r="BH27" s="464">
        <v>0</v>
      </c>
      <c r="BI27" s="464">
        <v>0</v>
      </c>
      <c r="BJ27" s="464">
        <v>0</v>
      </c>
      <c r="BK27" s="464">
        <v>0</v>
      </c>
      <c r="BL27" s="464">
        <v>0</v>
      </c>
      <c r="BM27" s="464">
        <v>0</v>
      </c>
      <c r="BN27" s="464">
        <v>0</v>
      </c>
      <c r="BO27" s="464">
        <v>0</v>
      </c>
      <c r="BP27" s="464">
        <v>0</v>
      </c>
      <c r="BQ27" s="464">
        <v>0</v>
      </c>
      <c r="BR27" s="464">
        <v>0</v>
      </c>
      <c r="BS27" s="464">
        <v>0</v>
      </c>
      <c r="BT27" s="464">
        <v>0</v>
      </c>
      <c r="BU27" s="464">
        <v>0</v>
      </c>
      <c r="BV27" s="464">
        <v>0</v>
      </c>
      <c r="BW27" s="464">
        <v>0</v>
      </c>
      <c r="BX27" s="464">
        <v>0</v>
      </c>
      <c r="BY27" s="464">
        <v>0</v>
      </c>
      <c r="BZ27" s="464">
        <v>0</v>
      </c>
      <c r="CA27" s="464">
        <v>0</v>
      </c>
      <c r="CB27" s="464">
        <v>0</v>
      </c>
      <c r="CC27" s="464">
        <v>0</v>
      </c>
      <c r="CD27" s="464">
        <v>0</v>
      </c>
      <c r="CE27" s="464">
        <f>CC27+CA27+BY27+BW27+BS27+BQ27+BO27+BM27+BK27+BI27+BG27+BU27</f>
        <v>0</v>
      </c>
      <c r="CF27" s="464">
        <f>BG27</f>
        <v>0</v>
      </c>
      <c r="CG27" s="464">
        <f>BH27+BJ27+BL27+BN27+BP27+BR27+BT27+BV27+BX27+BZ27+CB27+CD27</f>
        <v>0</v>
      </c>
      <c r="CH27" s="464">
        <f>CE27</f>
        <v>0</v>
      </c>
      <c r="CI27" s="464">
        <f>CG27</f>
        <v>0</v>
      </c>
      <c r="CJ27" s="464">
        <v>0</v>
      </c>
      <c r="CK27" s="464">
        <v>0</v>
      </c>
      <c r="CL27" s="464">
        <v>0</v>
      </c>
      <c r="CM27" s="464">
        <v>0</v>
      </c>
      <c r="CN27" s="464">
        <v>0</v>
      </c>
      <c r="CO27" s="477">
        <v>0</v>
      </c>
      <c r="CP27" s="477">
        <v>0</v>
      </c>
      <c r="CQ27" s="464">
        <v>0</v>
      </c>
      <c r="CR27" s="464">
        <v>0</v>
      </c>
      <c r="CS27" s="464">
        <v>0</v>
      </c>
      <c r="CT27" s="466">
        <v>0</v>
      </c>
      <c r="CU27" s="464">
        <v>0</v>
      </c>
      <c r="CV27" s="464">
        <v>0</v>
      </c>
      <c r="CW27" s="464">
        <v>0</v>
      </c>
      <c r="CX27" s="464">
        <v>0</v>
      </c>
      <c r="CY27" s="464">
        <v>0</v>
      </c>
      <c r="CZ27" s="464">
        <v>0</v>
      </c>
      <c r="DA27" s="464">
        <v>0</v>
      </c>
      <c r="DB27" s="464">
        <v>0</v>
      </c>
      <c r="DC27" s="464">
        <v>0</v>
      </c>
      <c r="DD27" s="464"/>
      <c r="DE27" s="464">
        <v>0</v>
      </c>
      <c r="DF27" s="464"/>
      <c r="DG27" s="464">
        <v>0</v>
      </c>
      <c r="DH27" s="464"/>
      <c r="DI27" s="494">
        <f t="shared" si="26"/>
        <v>0</v>
      </c>
      <c r="DJ27" s="463">
        <f t="shared" si="27"/>
        <v>0</v>
      </c>
      <c r="DK27" s="463">
        <f t="shared" si="27"/>
        <v>0</v>
      </c>
      <c r="DL27" s="464">
        <f>DI27</f>
        <v>0</v>
      </c>
      <c r="DM27" s="464">
        <v>0</v>
      </c>
      <c r="DN27" s="464">
        <v>0</v>
      </c>
      <c r="DO27" s="525">
        <v>0</v>
      </c>
      <c r="DP27" s="525">
        <v>0</v>
      </c>
      <c r="DQ27" s="525">
        <v>0</v>
      </c>
      <c r="DR27" s="525">
        <v>0</v>
      </c>
      <c r="DS27" s="525">
        <v>0</v>
      </c>
      <c r="DT27" s="525">
        <v>0</v>
      </c>
      <c r="DU27" s="525">
        <v>0</v>
      </c>
      <c r="DV27" s="525">
        <v>0</v>
      </c>
      <c r="DW27" s="525">
        <v>0</v>
      </c>
      <c r="DX27" s="525">
        <v>0</v>
      </c>
      <c r="DY27" s="525">
        <v>0</v>
      </c>
      <c r="DZ27" s="525">
        <v>0</v>
      </c>
      <c r="EA27" s="525">
        <v>0</v>
      </c>
      <c r="EB27" s="525">
        <v>0</v>
      </c>
      <c r="EC27" s="525">
        <v>0</v>
      </c>
      <c r="ED27" s="525">
        <v>0</v>
      </c>
      <c r="EE27" s="525">
        <v>0</v>
      </c>
      <c r="EF27" s="525">
        <v>0</v>
      </c>
      <c r="EG27" s="525">
        <v>0</v>
      </c>
      <c r="EH27" s="525">
        <v>0</v>
      </c>
      <c r="EI27" s="525">
        <v>0</v>
      </c>
      <c r="EJ27" s="525">
        <v>0</v>
      </c>
      <c r="EK27" s="525"/>
      <c r="EL27" s="525">
        <v>0</v>
      </c>
      <c r="EM27" s="525"/>
      <c r="EN27" s="525"/>
      <c r="EO27" s="525"/>
      <c r="EP27" s="525"/>
      <c r="EQ27" s="525">
        <v>0</v>
      </c>
      <c r="ER27" s="468">
        <f t="shared" si="5"/>
        <v>0</v>
      </c>
      <c r="ES27" s="469">
        <f>IFERROR(DK27/DJ27,0)</f>
        <v>0</v>
      </c>
      <c r="ET27" s="468">
        <f>IFERROR(DM27/DL27,0)</f>
        <v>0</v>
      </c>
      <c r="EU27" s="468">
        <f>IFERROR((CI27+DK27)/(CH27+DJ27),0)</f>
        <v>0</v>
      </c>
      <c r="EV27" s="468">
        <f>IFERROR((AA27+BE27+CI27+DM27)/G27,0)</f>
        <v>0</v>
      </c>
      <c r="EW27" s="788"/>
      <c r="EX27" s="734"/>
      <c r="EY27" s="734"/>
      <c r="EZ27" s="734"/>
      <c r="FA27" s="734"/>
    </row>
    <row r="28" spans="1:157" ht="40.5" customHeight="1" x14ac:dyDescent="0.25">
      <c r="A28" s="749"/>
      <c r="B28" s="756"/>
      <c r="C28" s="752"/>
      <c r="D28" s="752"/>
      <c r="E28" s="752"/>
      <c r="F28" s="319" t="s">
        <v>105</v>
      </c>
      <c r="G28" s="470">
        <f>AA28+BE28+CI28+DL28+DN28</f>
        <v>11441769176</v>
      </c>
      <c r="H28" s="470">
        <v>0</v>
      </c>
      <c r="I28" s="470">
        <v>0</v>
      </c>
      <c r="J28" s="470">
        <v>0</v>
      </c>
      <c r="K28" s="470">
        <v>0</v>
      </c>
      <c r="L28" s="470">
        <v>0</v>
      </c>
      <c r="M28" s="470">
        <v>0</v>
      </c>
      <c r="N28" s="470">
        <v>0</v>
      </c>
      <c r="O28" s="470">
        <v>0</v>
      </c>
      <c r="P28" s="470">
        <v>0</v>
      </c>
      <c r="Q28" s="470">
        <v>0</v>
      </c>
      <c r="R28" s="470">
        <v>0</v>
      </c>
      <c r="S28" s="470">
        <v>0</v>
      </c>
      <c r="T28" s="470">
        <v>0</v>
      </c>
      <c r="U28" s="470">
        <v>0</v>
      </c>
      <c r="V28" s="470">
        <v>0</v>
      </c>
      <c r="W28" s="470"/>
      <c r="X28" s="470"/>
      <c r="Y28" s="470"/>
      <c r="Z28" s="470">
        <v>0</v>
      </c>
      <c r="AA28" s="470">
        <v>0</v>
      </c>
      <c r="AB28" s="470">
        <v>482091123</v>
      </c>
      <c r="AC28" s="478">
        <v>56095900</v>
      </c>
      <c r="AD28" s="478">
        <v>56095900</v>
      </c>
      <c r="AE28" s="478">
        <v>47042969</v>
      </c>
      <c r="AF28" s="478">
        <v>47042969</v>
      </c>
      <c r="AG28" s="478">
        <v>16360899</v>
      </c>
      <c r="AH28" s="478">
        <v>16360899</v>
      </c>
      <c r="AI28" s="478">
        <v>2851200</v>
      </c>
      <c r="AJ28" s="478">
        <v>2851200</v>
      </c>
      <c r="AK28" s="478">
        <v>13417635</v>
      </c>
      <c r="AL28" s="478">
        <v>13417635</v>
      </c>
      <c r="AM28" s="470">
        <f>AD28+AF28+AH28+AJ28+AL28</f>
        <v>135768603</v>
      </c>
      <c r="AN28" s="470">
        <v>12833687</v>
      </c>
      <c r="AO28" s="470">
        <v>0</v>
      </c>
      <c r="AP28" s="470">
        <v>75428188</v>
      </c>
      <c r="AQ28" s="470">
        <v>210553917</v>
      </c>
      <c r="AR28" s="470">
        <v>177876396</v>
      </c>
      <c r="AS28" s="470">
        <v>0</v>
      </c>
      <c r="AT28" s="470">
        <v>2372067</v>
      </c>
      <c r="AU28" s="470">
        <v>0</v>
      </c>
      <c r="AV28" s="470">
        <v>25730180</v>
      </c>
      <c r="AW28" s="470">
        <v>0</v>
      </c>
      <c r="AX28" s="470">
        <v>0</v>
      </c>
      <c r="AY28" s="470">
        <v>0</v>
      </c>
      <c r="AZ28" s="470">
        <v>0</v>
      </c>
      <c r="BA28" s="476">
        <f>AC28+AE28+AG28+AI28+AK28+AM28+AO28+AQ28+AS28+AU28+AW28+AY28</f>
        <v>482091123</v>
      </c>
      <c r="BB28" s="476">
        <f>AC28+AE28+AG28+AI28+AK28+AM28+AO28+AQ28+AS28+AU28+AW28+AY28</f>
        <v>482091123</v>
      </c>
      <c r="BC28" s="476">
        <f>AD28+AF28+AH28+AJ28+AL28+AN28+AP28+AR28+AT28+AV28+AX28+AZ28</f>
        <v>430009121</v>
      </c>
      <c r="BD28" s="471">
        <f>BA28+AA28</f>
        <v>482091123</v>
      </c>
      <c r="BE28" s="471">
        <f>BC28+AA28</f>
        <v>430009121</v>
      </c>
      <c r="BF28" s="472">
        <v>3397523004</v>
      </c>
      <c r="BG28" s="470">
        <v>1117939591</v>
      </c>
      <c r="BH28" s="470">
        <v>1117939591</v>
      </c>
      <c r="BI28" s="470">
        <v>72765634</v>
      </c>
      <c r="BJ28" s="470">
        <v>32674033</v>
      </c>
      <c r="BK28" s="470">
        <f>1558637470-432140769</f>
        <v>1126496701</v>
      </c>
      <c r="BL28" s="470">
        <v>23579190</v>
      </c>
      <c r="BM28" s="470">
        <f>176874470-756400-40000</f>
        <v>176078070</v>
      </c>
      <c r="BN28" s="470">
        <v>142122791</v>
      </c>
      <c r="BO28" s="470">
        <v>356875217</v>
      </c>
      <c r="BP28" s="470">
        <v>569598983</v>
      </c>
      <c r="BQ28" s="470">
        <f>86874430-47320176</f>
        <v>39554254</v>
      </c>
      <c r="BR28" s="470">
        <v>560898572</v>
      </c>
      <c r="BS28" s="470">
        <f>25289458+2</f>
        <v>25289460</v>
      </c>
      <c r="BT28" s="470">
        <v>104587877</v>
      </c>
      <c r="BU28" s="470">
        <v>0</v>
      </c>
      <c r="BV28" s="470">
        <v>0</v>
      </c>
      <c r="BW28" s="472">
        <v>0</v>
      </c>
      <c r="BX28" s="470">
        <v>0</v>
      </c>
      <c r="BY28" s="472">
        <v>0</v>
      </c>
      <c r="BZ28" s="470">
        <v>0</v>
      </c>
      <c r="CA28" s="472">
        <v>0</v>
      </c>
      <c r="CB28" s="470">
        <v>47608880</v>
      </c>
      <c r="CC28" s="472">
        <v>0</v>
      </c>
      <c r="CD28" s="470">
        <v>283660812</v>
      </c>
      <c r="CE28" s="470">
        <f>CC28+CA28+BY28+BW28+BS28+BQ28+BO28+BM28+BK28+BI28+BG28+BU28</f>
        <v>2914998927</v>
      </c>
      <c r="CF28" s="470">
        <f>BG28+BI28+BK28+BM28+BO28+BQ28+BS28+BU28+BW28+BY28+CA28+CC28</f>
        <v>2914998927</v>
      </c>
      <c r="CG28" s="470">
        <f>BH28+BJ28+BL28+BN28+BP28+BR28+BT28+BV28+BX28+BZ28+CB28+CD28</f>
        <v>2882670729</v>
      </c>
      <c r="CH28" s="470">
        <f>CE28</f>
        <v>2914998927</v>
      </c>
      <c r="CI28" s="470">
        <f>CG28</f>
        <v>2882670729</v>
      </c>
      <c r="CJ28" s="470">
        <v>8129089326</v>
      </c>
      <c r="CK28" s="470">
        <v>7131483136</v>
      </c>
      <c r="CL28" s="470">
        <v>7131483136</v>
      </c>
      <c r="CM28" s="470">
        <v>57570339</v>
      </c>
      <c r="CN28" s="470">
        <v>57570339</v>
      </c>
      <c r="CO28" s="472">
        <v>18683031</v>
      </c>
      <c r="CP28" s="472">
        <v>18683031</v>
      </c>
      <c r="CQ28" s="470">
        <v>184782204</v>
      </c>
      <c r="CR28" s="470">
        <v>25170725</v>
      </c>
      <c r="CS28" s="470">
        <v>1628400</v>
      </c>
      <c r="CT28" s="473">
        <v>33000025</v>
      </c>
      <c r="CU28" s="470">
        <v>407100</v>
      </c>
      <c r="CV28" s="470">
        <v>255278311</v>
      </c>
      <c r="CW28" s="470">
        <v>734535116</v>
      </c>
      <c r="CX28" s="470">
        <v>88753886</v>
      </c>
      <c r="CY28" s="470">
        <v>0</v>
      </c>
      <c r="CZ28" s="470">
        <v>120125450</v>
      </c>
      <c r="DA28" s="470">
        <v>0</v>
      </c>
      <c r="DB28" s="470">
        <v>124516709</v>
      </c>
      <c r="DC28" s="470">
        <v>0</v>
      </c>
      <c r="DD28" s="470"/>
      <c r="DE28" s="470">
        <v>0</v>
      </c>
      <c r="DF28" s="470"/>
      <c r="DG28" s="470">
        <v>0</v>
      </c>
      <c r="DH28" s="470"/>
      <c r="DI28" s="507">
        <f t="shared" si="26"/>
        <v>8129089326</v>
      </c>
      <c r="DJ28" s="471">
        <f t="shared" si="27"/>
        <v>8129089326</v>
      </c>
      <c r="DK28" s="471">
        <f t="shared" si="27"/>
        <v>7854581612</v>
      </c>
      <c r="DL28" s="470">
        <f>DI28</f>
        <v>8129089326</v>
      </c>
      <c r="DM28" s="470">
        <f>DK28</f>
        <v>7854581612</v>
      </c>
      <c r="DN28" s="470">
        <v>0</v>
      </c>
      <c r="DO28" s="470">
        <v>0</v>
      </c>
      <c r="DP28" s="470">
        <v>0</v>
      </c>
      <c r="DQ28" s="470">
        <v>0</v>
      </c>
      <c r="DR28" s="470">
        <v>0</v>
      </c>
      <c r="DS28" s="470">
        <v>0</v>
      </c>
      <c r="DT28" s="470">
        <v>0</v>
      </c>
      <c r="DU28" s="470">
        <v>0</v>
      </c>
      <c r="DV28" s="470">
        <v>0</v>
      </c>
      <c r="DW28" s="470">
        <v>0</v>
      </c>
      <c r="DX28" s="470">
        <v>0</v>
      </c>
      <c r="DY28" s="470">
        <v>0</v>
      </c>
      <c r="DZ28" s="470">
        <v>0</v>
      </c>
      <c r="EA28" s="470">
        <v>0</v>
      </c>
      <c r="EB28" s="470">
        <v>0</v>
      </c>
      <c r="EC28" s="470">
        <v>0</v>
      </c>
      <c r="ED28" s="470">
        <v>0</v>
      </c>
      <c r="EE28" s="470">
        <v>0</v>
      </c>
      <c r="EF28" s="470">
        <v>0</v>
      </c>
      <c r="EG28" s="470">
        <v>0</v>
      </c>
      <c r="EH28" s="470">
        <v>0</v>
      </c>
      <c r="EI28" s="470">
        <v>0</v>
      </c>
      <c r="EJ28" s="470">
        <v>0</v>
      </c>
      <c r="EK28" s="470"/>
      <c r="EL28" s="470">
        <v>0</v>
      </c>
      <c r="EM28" s="470"/>
      <c r="EN28" s="470"/>
      <c r="EO28" s="470"/>
      <c r="EP28" s="470"/>
      <c r="EQ28" s="470">
        <v>0</v>
      </c>
      <c r="ER28" s="468">
        <f t="shared" si="5"/>
        <v>0</v>
      </c>
      <c r="ES28" s="469">
        <f t="shared" si="16"/>
        <v>0.96623143097689712</v>
      </c>
      <c r="ET28" s="468">
        <f t="shared" si="17"/>
        <v>0.96623143097689712</v>
      </c>
      <c r="EU28" s="468">
        <f t="shared" si="18"/>
        <v>0.96886063436186454</v>
      </c>
      <c r="EV28" s="468">
        <f t="shared" si="28"/>
        <v>0.97600828073198664</v>
      </c>
      <c r="EW28" s="788"/>
      <c r="EX28" s="734"/>
      <c r="EY28" s="734"/>
      <c r="EZ28" s="734"/>
      <c r="FA28" s="734"/>
    </row>
    <row r="29" spans="1:157" ht="41.25" customHeight="1" thickBot="1" x14ac:dyDescent="0.3">
      <c r="A29" s="749"/>
      <c r="B29" s="756"/>
      <c r="C29" s="752"/>
      <c r="D29" s="752"/>
      <c r="E29" s="752"/>
      <c r="F29" s="321" t="s">
        <v>106</v>
      </c>
      <c r="G29" s="480">
        <f t="shared" ref="G29:O29" si="29">G24+G27</f>
        <v>590</v>
      </c>
      <c r="H29" s="526">
        <f t="shared" si="29"/>
        <v>54</v>
      </c>
      <c r="I29" s="526">
        <f t="shared" si="29"/>
        <v>54</v>
      </c>
      <c r="J29" s="526">
        <f t="shared" si="29"/>
        <v>0</v>
      </c>
      <c r="K29" s="526">
        <f t="shared" si="29"/>
        <v>54</v>
      </c>
      <c r="L29" s="526">
        <f t="shared" si="29"/>
        <v>0</v>
      </c>
      <c r="M29" s="526">
        <f t="shared" si="29"/>
        <v>54</v>
      </c>
      <c r="N29" s="526">
        <f t="shared" si="29"/>
        <v>0</v>
      </c>
      <c r="O29" s="526">
        <f t="shared" si="29"/>
        <v>54</v>
      </c>
      <c r="P29" s="527">
        <f>+P24</f>
        <v>4.1100000000000003</v>
      </c>
      <c r="Q29" s="526">
        <f>Q24+Q27</f>
        <v>54</v>
      </c>
      <c r="R29" s="527">
        <f>+R24</f>
        <v>4.24</v>
      </c>
      <c r="S29" s="526">
        <f>S24+S27</f>
        <v>54</v>
      </c>
      <c r="T29" s="528">
        <f>T24+T27</f>
        <v>4.8070000000000004</v>
      </c>
      <c r="U29" s="526">
        <v>54</v>
      </c>
      <c r="V29" s="526">
        <v>5.24</v>
      </c>
      <c r="W29" s="526"/>
      <c r="X29" s="526"/>
      <c r="Y29" s="526"/>
      <c r="Z29" s="483">
        <v>54</v>
      </c>
      <c r="AA29" s="480">
        <v>5.24</v>
      </c>
      <c r="AB29" s="526">
        <f t="shared" ref="AB29:BB29" si="30">AB24+AB27</f>
        <v>590</v>
      </c>
      <c r="AC29" s="527">
        <f t="shared" si="30"/>
        <v>1.48</v>
      </c>
      <c r="AD29" s="527">
        <f t="shared" si="30"/>
        <v>1.48</v>
      </c>
      <c r="AE29" s="527">
        <f t="shared" si="30"/>
        <v>0</v>
      </c>
      <c r="AF29" s="527">
        <f t="shared" si="30"/>
        <v>0</v>
      </c>
      <c r="AG29" s="527">
        <f t="shared" si="30"/>
        <v>0</v>
      </c>
      <c r="AH29" s="527">
        <f t="shared" si="30"/>
        <v>0</v>
      </c>
      <c r="AI29" s="527">
        <f t="shared" si="30"/>
        <v>1.38</v>
      </c>
      <c r="AJ29" s="527">
        <f t="shared" si="30"/>
        <v>1.38</v>
      </c>
      <c r="AK29" s="527">
        <f t="shared" si="30"/>
        <v>7.84</v>
      </c>
      <c r="AL29" s="527">
        <f t="shared" si="30"/>
        <v>5.85</v>
      </c>
      <c r="AM29" s="527">
        <f t="shared" si="30"/>
        <v>2.5</v>
      </c>
      <c r="AN29" s="527">
        <f t="shared" si="30"/>
        <v>1.3</v>
      </c>
      <c r="AO29" s="527">
        <f t="shared" si="30"/>
        <v>3</v>
      </c>
      <c r="AP29" s="527">
        <f t="shared" si="30"/>
        <v>19.72</v>
      </c>
      <c r="AQ29" s="527">
        <f t="shared" si="30"/>
        <v>2.81</v>
      </c>
      <c r="AR29" s="527">
        <f t="shared" si="30"/>
        <v>5.75</v>
      </c>
      <c r="AS29" s="527">
        <f t="shared" si="30"/>
        <v>2.99</v>
      </c>
      <c r="AT29" s="527">
        <f t="shared" si="30"/>
        <v>5.24</v>
      </c>
      <c r="AU29" s="527">
        <f t="shared" si="30"/>
        <v>188</v>
      </c>
      <c r="AV29" s="527">
        <f t="shared" si="30"/>
        <v>14.3</v>
      </c>
      <c r="AW29" s="527">
        <f t="shared" si="30"/>
        <v>190</v>
      </c>
      <c r="AX29" s="527">
        <f t="shared" si="30"/>
        <v>2.12</v>
      </c>
      <c r="AY29" s="527">
        <f t="shared" si="30"/>
        <v>190</v>
      </c>
      <c r="AZ29" s="527">
        <f t="shared" si="30"/>
        <v>3.42</v>
      </c>
      <c r="BA29" s="527">
        <f t="shared" si="30"/>
        <v>590</v>
      </c>
      <c r="BB29" s="527">
        <f t="shared" si="30"/>
        <v>590</v>
      </c>
      <c r="BC29" s="482">
        <f>BC24</f>
        <v>60.559999999999995</v>
      </c>
      <c r="BD29" s="483">
        <f>BD24+BD27</f>
        <v>590</v>
      </c>
      <c r="BE29" s="483">
        <f>BE24+BE27</f>
        <v>60.559999999999995</v>
      </c>
      <c r="BF29" s="480">
        <f t="shared" ref="BF29:BQ29" si="31">+BF24</f>
        <v>590</v>
      </c>
      <c r="BG29" s="483">
        <f t="shared" si="31"/>
        <v>0</v>
      </c>
      <c r="BH29" s="483">
        <f t="shared" si="31"/>
        <v>0</v>
      </c>
      <c r="BI29" s="483">
        <f t="shared" si="31"/>
        <v>2.5499999999999998</v>
      </c>
      <c r="BJ29" s="483">
        <f t="shared" si="31"/>
        <v>2.5499999999999998</v>
      </c>
      <c r="BK29" s="483">
        <f t="shared" si="31"/>
        <v>2</v>
      </c>
      <c r="BL29" s="483">
        <f t="shared" si="31"/>
        <v>4.57</v>
      </c>
      <c r="BM29" s="483">
        <f t="shared" si="31"/>
        <v>2</v>
      </c>
      <c r="BN29" s="483">
        <f t="shared" si="31"/>
        <v>6.97</v>
      </c>
      <c r="BO29" s="483">
        <f t="shared" si="31"/>
        <v>2</v>
      </c>
      <c r="BP29" s="483">
        <f t="shared" si="31"/>
        <v>3.46</v>
      </c>
      <c r="BQ29" s="483">
        <f t="shared" si="31"/>
        <v>2</v>
      </c>
      <c r="BR29" s="483">
        <f>BR24+BR27</f>
        <v>6.97</v>
      </c>
      <c r="BS29" s="483">
        <f t="shared" ref="BS29:BX29" si="32">+BS24</f>
        <v>2</v>
      </c>
      <c r="BT29" s="483">
        <f t="shared" si="32"/>
        <v>3.14</v>
      </c>
      <c r="BU29" s="483">
        <f t="shared" si="32"/>
        <v>2</v>
      </c>
      <c r="BV29" s="483">
        <f t="shared" si="32"/>
        <v>7.5</v>
      </c>
      <c r="BW29" s="483">
        <f t="shared" si="32"/>
        <v>148</v>
      </c>
      <c r="BX29" s="483">
        <f t="shared" si="32"/>
        <v>8</v>
      </c>
      <c r="BY29" s="483">
        <f>BY24+BY27</f>
        <v>148</v>
      </c>
      <c r="BZ29" s="483">
        <f>BZ24+BZ27</f>
        <v>25.2</v>
      </c>
      <c r="CA29" s="483">
        <f>+CA24</f>
        <v>148</v>
      </c>
      <c r="CB29" s="480">
        <f>CB24+CB27</f>
        <v>3.03</v>
      </c>
      <c r="CC29" s="483">
        <f>+CC24</f>
        <v>131.44999999999999</v>
      </c>
      <c r="CD29" s="483">
        <f>+CD24</f>
        <v>4.34</v>
      </c>
      <c r="CE29" s="483">
        <f>CE24+CE27</f>
        <v>590</v>
      </c>
      <c r="CF29" s="483">
        <f>CF24+CF27</f>
        <v>590</v>
      </c>
      <c r="CG29" s="483">
        <f>CG24+CG27</f>
        <v>75.73</v>
      </c>
      <c r="CH29" s="483">
        <f>CH24+CH27</f>
        <v>590</v>
      </c>
      <c r="CI29" s="483">
        <f>CI24+CI27</f>
        <v>75.73</v>
      </c>
      <c r="CJ29" s="483">
        <f t="shared" ref="CJ29:DL29" si="33">+CJ24</f>
        <v>590</v>
      </c>
      <c r="CK29" s="511">
        <f t="shared" si="33"/>
        <v>0</v>
      </c>
      <c r="CL29" s="511">
        <f t="shared" si="33"/>
        <v>0</v>
      </c>
      <c r="CM29" s="511">
        <f t="shared" si="33"/>
        <v>0</v>
      </c>
      <c r="CN29" s="511">
        <f t="shared" si="33"/>
        <v>0</v>
      </c>
      <c r="CO29" s="484">
        <f t="shared" si="33"/>
        <v>0</v>
      </c>
      <c r="CP29" s="484">
        <f t="shared" si="33"/>
        <v>0</v>
      </c>
      <c r="CQ29" s="511">
        <f t="shared" si="33"/>
        <v>0</v>
      </c>
      <c r="CR29" s="511">
        <f t="shared" si="33"/>
        <v>0</v>
      </c>
      <c r="CS29" s="511">
        <f t="shared" si="33"/>
        <v>0</v>
      </c>
      <c r="CT29" s="529">
        <f t="shared" si="33"/>
        <v>22.36</v>
      </c>
      <c r="CU29" s="511">
        <f t="shared" si="33"/>
        <v>0</v>
      </c>
      <c r="CV29" s="527">
        <f>+CV24</f>
        <v>151.28</v>
      </c>
      <c r="CW29" s="527">
        <f t="shared" si="33"/>
        <v>0</v>
      </c>
      <c r="CX29" s="482">
        <f>CX24+CX27</f>
        <v>301.27999999999997</v>
      </c>
      <c r="CY29" s="527">
        <f t="shared" si="33"/>
        <v>0</v>
      </c>
      <c r="CZ29" s="527">
        <f>+CZ24</f>
        <v>2.82</v>
      </c>
      <c r="DA29" s="527">
        <f>+DA24</f>
        <v>148</v>
      </c>
      <c r="DB29" s="527">
        <f>+DB24</f>
        <v>64.83</v>
      </c>
      <c r="DC29" s="527">
        <f t="shared" si="33"/>
        <v>148</v>
      </c>
      <c r="DD29" s="527">
        <f t="shared" si="33"/>
        <v>0</v>
      </c>
      <c r="DE29" s="527">
        <f t="shared" si="33"/>
        <v>148</v>
      </c>
      <c r="DF29" s="527">
        <f t="shared" si="33"/>
        <v>0</v>
      </c>
      <c r="DG29" s="527">
        <f t="shared" si="33"/>
        <v>146</v>
      </c>
      <c r="DH29" s="527">
        <f t="shared" si="33"/>
        <v>0</v>
      </c>
      <c r="DI29" s="530">
        <f t="shared" si="26"/>
        <v>590</v>
      </c>
      <c r="DJ29" s="480">
        <f t="shared" si="27"/>
        <v>148</v>
      </c>
      <c r="DK29" s="480">
        <f t="shared" si="27"/>
        <v>542.56999999999994</v>
      </c>
      <c r="DL29" s="527">
        <f t="shared" si="33"/>
        <v>590</v>
      </c>
      <c r="DM29" s="527">
        <f>+DM24</f>
        <v>542.56999999999994</v>
      </c>
      <c r="DN29" s="483">
        <f t="shared" ref="DN29:EJ29" si="34">+DN24</f>
        <v>590</v>
      </c>
      <c r="DO29" s="527">
        <f t="shared" si="34"/>
        <v>0</v>
      </c>
      <c r="DP29" s="527">
        <f t="shared" si="34"/>
        <v>0</v>
      </c>
      <c r="DQ29" s="527">
        <f t="shared" si="34"/>
        <v>0</v>
      </c>
      <c r="DR29" s="527">
        <f t="shared" si="34"/>
        <v>0</v>
      </c>
      <c r="DS29" s="527">
        <f t="shared" si="34"/>
        <v>0</v>
      </c>
      <c r="DT29" s="527">
        <f t="shared" si="34"/>
        <v>0</v>
      </c>
      <c r="DU29" s="527">
        <f t="shared" si="34"/>
        <v>0</v>
      </c>
      <c r="DV29" s="527">
        <f t="shared" si="34"/>
        <v>0</v>
      </c>
      <c r="DW29" s="527">
        <f t="shared" si="34"/>
        <v>0</v>
      </c>
      <c r="DX29" s="527">
        <f t="shared" si="34"/>
        <v>0</v>
      </c>
      <c r="DY29" s="527">
        <f t="shared" si="34"/>
        <v>0</v>
      </c>
      <c r="DZ29" s="527">
        <f t="shared" si="34"/>
        <v>0</v>
      </c>
      <c r="EA29" s="527">
        <f t="shared" si="34"/>
        <v>0</v>
      </c>
      <c r="EB29" s="527">
        <f t="shared" si="34"/>
        <v>0</v>
      </c>
      <c r="EC29" s="527">
        <f t="shared" si="34"/>
        <v>0</v>
      </c>
      <c r="ED29" s="527">
        <f t="shared" si="34"/>
        <v>0</v>
      </c>
      <c r="EE29" s="527">
        <f t="shared" si="34"/>
        <v>0</v>
      </c>
      <c r="EF29" s="527">
        <f t="shared" si="34"/>
        <v>0</v>
      </c>
      <c r="EG29" s="527">
        <f t="shared" si="34"/>
        <v>0</v>
      </c>
      <c r="EH29" s="527">
        <f t="shared" si="34"/>
        <v>0</v>
      </c>
      <c r="EI29" s="527">
        <f t="shared" si="34"/>
        <v>0</v>
      </c>
      <c r="EJ29" s="527">
        <f t="shared" si="34"/>
        <v>0</v>
      </c>
      <c r="EK29" s="527"/>
      <c r="EL29" s="527">
        <f>+EL24</f>
        <v>0</v>
      </c>
      <c r="EM29" s="527"/>
      <c r="EN29" s="527"/>
      <c r="EO29" s="527"/>
      <c r="EP29" s="527"/>
      <c r="EQ29" s="527">
        <f>+EQ24</f>
        <v>0</v>
      </c>
      <c r="ER29" s="486">
        <f t="shared" si="5"/>
        <v>0.43804054054054054</v>
      </c>
      <c r="ES29" s="487">
        <f>IFERROR(DK29/DJ29,0)</f>
        <v>3.666013513513513</v>
      </c>
      <c r="ET29" s="486">
        <f t="shared" si="17"/>
        <v>0.9196101694915253</v>
      </c>
      <c r="EU29" s="486">
        <f t="shared" si="18"/>
        <v>0.49500723589001439</v>
      </c>
      <c r="EV29" s="531">
        <f>(AA29+BE29+CI29+DM29)/2414</f>
        <v>0.28338856669428331</v>
      </c>
      <c r="EW29" s="788"/>
      <c r="EX29" s="734"/>
      <c r="EY29" s="734"/>
      <c r="EZ29" s="734"/>
      <c r="FA29" s="734"/>
    </row>
    <row r="30" spans="1:157" ht="41.25" customHeight="1" thickBot="1" x14ac:dyDescent="0.3">
      <c r="A30" s="749"/>
      <c r="B30" s="757"/>
      <c r="C30" s="753"/>
      <c r="D30" s="753"/>
      <c r="E30" s="753"/>
      <c r="F30" s="322" t="s">
        <v>107</v>
      </c>
      <c r="G30" s="488">
        <f t="shared" ref="G30:T30" si="35">+G25+G28</f>
        <v>53955853262</v>
      </c>
      <c r="H30" s="489">
        <f t="shared" si="35"/>
        <v>846820000</v>
      </c>
      <c r="I30" s="489">
        <f t="shared" si="35"/>
        <v>846820000</v>
      </c>
      <c r="J30" s="489">
        <f t="shared" si="35"/>
        <v>0</v>
      </c>
      <c r="K30" s="489">
        <f t="shared" si="35"/>
        <v>846820000</v>
      </c>
      <c r="L30" s="489">
        <f t="shared" si="35"/>
        <v>0</v>
      </c>
      <c r="M30" s="489">
        <f t="shared" si="35"/>
        <v>846820000</v>
      </c>
      <c r="N30" s="489">
        <f t="shared" si="35"/>
        <v>298980000</v>
      </c>
      <c r="O30" s="489">
        <f t="shared" si="35"/>
        <v>846820000</v>
      </c>
      <c r="P30" s="489">
        <f t="shared" si="35"/>
        <v>316529347</v>
      </c>
      <c r="Q30" s="489">
        <f t="shared" si="35"/>
        <v>846820000</v>
      </c>
      <c r="R30" s="489">
        <f t="shared" si="35"/>
        <v>323308102</v>
      </c>
      <c r="S30" s="489">
        <f t="shared" si="35"/>
        <v>846820000</v>
      </c>
      <c r="T30" s="489" t="e">
        <f t="shared" si="35"/>
        <v>#REF!</v>
      </c>
      <c r="U30" s="489">
        <v>817531593</v>
      </c>
      <c r="V30" s="489">
        <v>755491393</v>
      </c>
      <c r="W30" s="489"/>
      <c r="X30" s="489"/>
      <c r="Y30" s="489"/>
      <c r="Z30" s="489">
        <v>817531593</v>
      </c>
      <c r="AA30" s="532">
        <f>+AA25</f>
        <v>755491393</v>
      </c>
      <c r="AB30" s="489">
        <f t="shared" ref="AB30:DN30" si="36">AB25+AB28</f>
        <v>9280958123</v>
      </c>
      <c r="AC30" s="489">
        <f t="shared" si="36"/>
        <v>56095900</v>
      </c>
      <c r="AD30" s="489">
        <f t="shared" si="36"/>
        <v>56095900</v>
      </c>
      <c r="AE30" s="489">
        <f t="shared" si="36"/>
        <v>57737969</v>
      </c>
      <c r="AF30" s="489">
        <f t="shared" si="36"/>
        <v>57737969</v>
      </c>
      <c r="AG30" s="489">
        <f t="shared" si="36"/>
        <v>315448899</v>
      </c>
      <c r="AH30" s="489">
        <f t="shared" si="36"/>
        <v>315448899</v>
      </c>
      <c r="AI30" s="489">
        <f t="shared" si="36"/>
        <v>291804196</v>
      </c>
      <c r="AJ30" s="489">
        <f t="shared" si="36"/>
        <v>291804196</v>
      </c>
      <c r="AK30" s="489">
        <f t="shared" si="36"/>
        <v>14864513</v>
      </c>
      <c r="AL30" s="489">
        <f t="shared" si="36"/>
        <v>14864513</v>
      </c>
      <c r="AM30" s="489">
        <f t="shared" si="36"/>
        <v>313528518</v>
      </c>
      <c r="AN30" s="489">
        <f t="shared" si="36"/>
        <v>188798284</v>
      </c>
      <c r="AO30" s="489">
        <f t="shared" si="36"/>
        <v>0</v>
      </c>
      <c r="AP30" s="489">
        <f t="shared" si="36"/>
        <v>75428188</v>
      </c>
      <c r="AQ30" s="489">
        <f t="shared" si="36"/>
        <v>210553917</v>
      </c>
      <c r="AR30" s="489">
        <f t="shared" si="36"/>
        <v>177876396</v>
      </c>
      <c r="AS30" s="489">
        <f t="shared" si="36"/>
        <v>0</v>
      </c>
      <c r="AT30" s="489">
        <f t="shared" si="36"/>
        <v>5872067</v>
      </c>
      <c r="AU30" s="489">
        <f t="shared" si="36"/>
        <v>5091394000</v>
      </c>
      <c r="AV30" s="489">
        <f t="shared" si="36"/>
        <v>3025730180</v>
      </c>
      <c r="AW30" s="489">
        <f t="shared" si="36"/>
        <v>0</v>
      </c>
      <c r="AX30" s="489">
        <f t="shared" si="36"/>
        <v>3321023814</v>
      </c>
      <c r="AY30" s="489">
        <f t="shared" si="36"/>
        <v>1442443390</v>
      </c>
      <c r="AZ30" s="489">
        <f t="shared" si="36"/>
        <v>81036078</v>
      </c>
      <c r="BA30" s="489">
        <f t="shared" si="36"/>
        <v>7793871302</v>
      </c>
      <c r="BB30" s="489">
        <f t="shared" si="36"/>
        <v>7793871302</v>
      </c>
      <c r="BC30" s="489">
        <f t="shared" si="36"/>
        <v>7611716484</v>
      </c>
      <c r="BD30" s="489">
        <f t="shared" si="36"/>
        <v>7793871302</v>
      </c>
      <c r="BE30" s="489">
        <f t="shared" si="36"/>
        <v>7611716484</v>
      </c>
      <c r="BF30" s="489">
        <f t="shared" si="36"/>
        <v>13117095004</v>
      </c>
      <c r="BG30" s="489">
        <f t="shared" si="36"/>
        <v>2245792591</v>
      </c>
      <c r="BH30" s="489">
        <f t="shared" si="36"/>
        <v>2245792591</v>
      </c>
      <c r="BI30" s="489">
        <f t="shared" si="36"/>
        <v>72765634</v>
      </c>
      <c r="BJ30" s="489">
        <f t="shared" si="36"/>
        <v>32674033</v>
      </c>
      <c r="BK30" s="489">
        <f t="shared" si="36"/>
        <v>1547545072</v>
      </c>
      <c r="BL30" s="489">
        <f t="shared" si="36"/>
        <v>23579190</v>
      </c>
      <c r="BM30" s="489">
        <f t="shared" si="36"/>
        <v>226689672</v>
      </c>
      <c r="BN30" s="489">
        <f t="shared" si="36"/>
        <v>391784630</v>
      </c>
      <c r="BO30" s="489">
        <f t="shared" si="36"/>
        <v>358365217</v>
      </c>
      <c r="BP30" s="489">
        <f t="shared" si="36"/>
        <v>632653683</v>
      </c>
      <c r="BQ30" s="489">
        <f t="shared" si="36"/>
        <v>39554254</v>
      </c>
      <c r="BR30" s="489">
        <f t="shared" si="36"/>
        <v>560898572</v>
      </c>
      <c r="BS30" s="489">
        <f t="shared" si="36"/>
        <v>34360460</v>
      </c>
      <c r="BT30" s="489">
        <f t="shared" si="36"/>
        <v>159879610</v>
      </c>
      <c r="BU30" s="489">
        <f t="shared" si="36"/>
        <v>0</v>
      </c>
      <c r="BV30" s="489">
        <f t="shared" si="36"/>
        <v>0</v>
      </c>
      <c r="BW30" s="489">
        <f t="shared" si="36"/>
        <v>8103849000</v>
      </c>
      <c r="BX30" s="489">
        <f t="shared" si="36"/>
        <v>0</v>
      </c>
      <c r="BY30" s="489">
        <f t="shared" si="36"/>
        <v>0</v>
      </c>
      <c r="BZ30" s="489">
        <f t="shared" si="36"/>
        <v>0</v>
      </c>
      <c r="CA30" s="489">
        <f t="shared" si="36"/>
        <v>5649027</v>
      </c>
      <c r="CB30" s="489">
        <f t="shared" si="36"/>
        <v>91726780</v>
      </c>
      <c r="CC30" s="489">
        <f t="shared" si="36"/>
        <v>144205937</v>
      </c>
      <c r="CD30" s="489">
        <f t="shared" si="36"/>
        <v>8603466725</v>
      </c>
      <c r="CE30" s="489">
        <f t="shared" si="36"/>
        <v>12778776864</v>
      </c>
      <c r="CF30" s="489">
        <f t="shared" si="36"/>
        <v>12778776864</v>
      </c>
      <c r="CG30" s="489">
        <f t="shared" si="36"/>
        <v>12742455814</v>
      </c>
      <c r="CH30" s="489">
        <f t="shared" si="36"/>
        <v>12778776864</v>
      </c>
      <c r="CI30" s="489">
        <f t="shared" si="36"/>
        <v>12742455814</v>
      </c>
      <c r="CJ30" s="489">
        <f t="shared" si="36"/>
        <v>23945898326</v>
      </c>
      <c r="CK30" s="489">
        <f t="shared" si="36"/>
        <v>20616388839</v>
      </c>
      <c r="CL30" s="489">
        <f t="shared" si="36"/>
        <v>20616388839</v>
      </c>
      <c r="CM30" s="489">
        <f t="shared" si="36"/>
        <v>715462339</v>
      </c>
      <c r="CN30" s="489">
        <f t="shared" si="36"/>
        <v>715462339</v>
      </c>
      <c r="CO30" s="519">
        <f t="shared" si="36"/>
        <v>117611031</v>
      </c>
      <c r="CP30" s="519">
        <f t="shared" si="36"/>
        <v>117611031</v>
      </c>
      <c r="CQ30" s="489">
        <f t="shared" si="36"/>
        <v>184782204</v>
      </c>
      <c r="CR30" s="489">
        <f t="shared" si="36"/>
        <v>25170725</v>
      </c>
      <c r="CS30" s="489">
        <f t="shared" si="36"/>
        <v>81628400</v>
      </c>
      <c r="CT30" s="490">
        <f t="shared" si="36"/>
        <v>61056025</v>
      </c>
      <c r="CU30" s="489">
        <f t="shared" si="36"/>
        <v>200824100</v>
      </c>
      <c r="CV30" s="489">
        <f>CV25+CV28</f>
        <v>255278311</v>
      </c>
      <c r="CW30" s="489">
        <f t="shared" si="36"/>
        <v>935607116</v>
      </c>
      <c r="CX30" s="489">
        <f t="shared" si="36"/>
        <v>88753886</v>
      </c>
      <c r="CY30" s="489">
        <f t="shared" si="36"/>
        <v>0</v>
      </c>
      <c r="CZ30" s="489">
        <f>CZ25+CZ28</f>
        <v>120125450</v>
      </c>
      <c r="DA30" s="489">
        <f t="shared" ref="DA30:DH30" si="37">DA25+DA28</f>
        <v>-319114458</v>
      </c>
      <c r="DB30" s="489">
        <f t="shared" si="37"/>
        <v>126007109</v>
      </c>
      <c r="DC30" s="489">
        <f t="shared" si="37"/>
        <v>0</v>
      </c>
      <c r="DD30" s="489">
        <f t="shared" si="37"/>
        <v>0</v>
      </c>
      <c r="DE30" s="489">
        <f t="shared" si="37"/>
        <v>0</v>
      </c>
      <c r="DF30" s="489">
        <f t="shared" si="37"/>
        <v>0</v>
      </c>
      <c r="DG30" s="489">
        <f t="shared" si="37"/>
        <v>0</v>
      </c>
      <c r="DH30" s="489">
        <f t="shared" si="37"/>
        <v>0</v>
      </c>
      <c r="DI30" s="489">
        <f>DI25+DI28</f>
        <v>22533189571</v>
      </c>
      <c r="DJ30" s="489">
        <f>DJ25+DJ28</f>
        <v>22533189571</v>
      </c>
      <c r="DK30" s="489">
        <f>DK25+DK28</f>
        <v>22125853715</v>
      </c>
      <c r="DL30" s="489">
        <f>DL25+DL28</f>
        <v>22533189571</v>
      </c>
      <c r="DM30" s="489">
        <f>DM25+DM28</f>
        <v>22125853715</v>
      </c>
      <c r="DN30" s="489">
        <f t="shared" si="36"/>
        <v>10313000000</v>
      </c>
      <c r="DO30" s="489">
        <f t="shared" ref="DO30:EJ30" si="38">+DO25</f>
        <v>0</v>
      </c>
      <c r="DP30" s="489">
        <f t="shared" si="38"/>
        <v>0</v>
      </c>
      <c r="DQ30" s="489">
        <f t="shared" si="38"/>
        <v>0</v>
      </c>
      <c r="DR30" s="489">
        <f t="shared" si="38"/>
        <v>0</v>
      </c>
      <c r="DS30" s="489">
        <f t="shared" si="38"/>
        <v>0</v>
      </c>
      <c r="DT30" s="489">
        <f t="shared" si="38"/>
        <v>0</v>
      </c>
      <c r="DU30" s="489">
        <f t="shared" si="38"/>
        <v>0</v>
      </c>
      <c r="DV30" s="489">
        <f t="shared" si="38"/>
        <v>0</v>
      </c>
      <c r="DW30" s="489">
        <f t="shared" si="38"/>
        <v>0</v>
      </c>
      <c r="DX30" s="489">
        <f t="shared" si="38"/>
        <v>0</v>
      </c>
      <c r="DY30" s="489">
        <f t="shared" si="38"/>
        <v>0</v>
      </c>
      <c r="DZ30" s="489">
        <f t="shared" si="38"/>
        <v>0</v>
      </c>
      <c r="EA30" s="489">
        <f t="shared" si="38"/>
        <v>0</v>
      </c>
      <c r="EB30" s="489">
        <f t="shared" si="38"/>
        <v>0</v>
      </c>
      <c r="EC30" s="489">
        <f t="shared" si="38"/>
        <v>0</v>
      </c>
      <c r="ED30" s="489">
        <f t="shared" si="38"/>
        <v>0</v>
      </c>
      <c r="EE30" s="489">
        <f t="shared" si="38"/>
        <v>0</v>
      </c>
      <c r="EF30" s="489">
        <f t="shared" si="38"/>
        <v>0</v>
      </c>
      <c r="EG30" s="489">
        <f t="shared" si="38"/>
        <v>0</v>
      </c>
      <c r="EH30" s="489">
        <f t="shared" si="38"/>
        <v>0</v>
      </c>
      <c r="EI30" s="489">
        <f t="shared" si="38"/>
        <v>0</v>
      </c>
      <c r="EJ30" s="489">
        <f t="shared" si="38"/>
        <v>0</v>
      </c>
      <c r="EK30" s="489"/>
      <c r="EL30" s="489">
        <f>+EL25</f>
        <v>0</v>
      </c>
      <c r="EM30" s="489"/>
      <c r="EN30" s="489"/>
      <c r="EO30" s="489"/>
      <c r="EP30" s="489"/>
      <c r="EQ30" s="489">
        <f>+EQ25</f>
        <v>0</v>
      </c>
      <c r="ER30" s="491">
        <f t="shared" si="5"/>
        <v>-0.3948649327571363</v>
      </c>
      <c r="ES30" s="492">
        <f>DK30/DJ30</f>
        <v>0.98192284963846233</v>
      </c>
      <c r="ET30" s="491">
        <f>DM30/DL30</f>
        <v>0.98192284963846233</v>
      </c>
      <c r="EU30" s="491">
        <f>(AA30+BE30+CI30+DK30)/(Z30+BD30+CH30+DJ30)</f>
        <v>0.98433972770093958</v>
      </c>
      <c r="EV30" s="493">
        <f t="shared" si="28"/>
        <v>0.80131282876866095</v>
      </c>
      <c r="EW30" s="789"/>
      <c r="EX30" s="734"/>
      <c r="EY30" s="734"/>
      <c r="EZ30" s="734"/>
      <c r="FA30" s="734"/>
    </row>
    <row r="31" spans="1:157" ht="26.25" customHeight="1" x14ac:dyDescent="0.25">
      <c r="A31" s="749"/>
      <c r="B31" s="761">
        <v>4</v>
      </c>
      <c r="C31" s="758" t="s">
        <v>77</v>
      </c>
      <c r="D31" s="754" t="s">
        <v>69</v>
      </c>
      <c r="E31" s="751">
        <v>211</v>
      </c>
      <c r="F31" s="318" t="s">
        <v>100</v>
      </c>
      <c r="G31" s="499">
        <f>AA31+BE31+CI31+DL31+DN31</f>
        <v>3.9899999999999998</v>
      </c>
      <c r="H31" s="496">
        <v>0.27</v>
      </c>
      <c r="I31" s="496">
        <v>0.27</v>
      </c>
      <c r="J31" s="521">
        <f>J27+J29</f>
        <v>0</v>
      </c>
      <c r="K31" s="496">
        <v>0.27</v>
      </c>
      <c r="L31" s="521">
        <f>L27+L29</f>
        <v>0</v>
      </c>
      <c r="M31" s="496">
        <v>0.27</v>
      </c>
      <c r="N31" s="496">
        <v>0.02</v>
      </c>
      <c r="O31" s="496">
        <v>0.27</v>
      </c>
      <c r="P31" s="496">
        <v>7.0000000000000007E-2</v>
      </c>
      <c r="Q31" s="496">
        <v>0.27</v>
      </c>
      <c r="R31" s="496">
        <f>+[1]GESTIÓN!T17</f>
        <v>0.14000000000000001</v>
      </c>
      <c r="S31" s="496">
        <v>0.27</v>
      </c>
      <c r="T31" s="496">
        <f>+[1]GESTIÓN!V17</f>
        <v>0.2</v>
      </c>
      <c r="U31" s="496">
        <v>0.27</v>
      </c>
      <c r="V31" s="496">
        <v>0.26</v>
      </c>
      <c r="W31" s="496"/>
      <c r="X31" s="496"/>
      <c r="Y31" s="496"/>
      <c r="Z31" s="494">
        <v>0.27</v>
      </c>
      <c r="AA31" s="494">
        <v>0.26</v>
      </c>
      <c r="AB31" s="496">
        <v>0.73</v>
      </c>
      <c r="AC31" s="498">
        <v>0.05</v>
      </c>
      <c r="AD31" s="498">
        <v>0.05</v>
      </c>
      <c r="AE31" s="499">
        <v>0.05</v>
      </c>
      <c r="AF31" s="499">
        <v>0.05</v>
      </c>
      <c r="AG31" s="498">
        <v>0.04</v>
      </c>
      <c r="AH31" s="498">
        <v>0.04</v>
      </c>
      <c r="AI31" s="498">
        <v>0.06</v>
      </c>
      <c r="AJ31" s="499">
        <v>0.06</v>
      </c>
      <c r="AK31" s="496">
        <v>0.06</v>
      </c>
      <c r="AL31" s="496">
        <v>0.06</v>
      </c>
      <c r="AM31" s="498">
        <v>0.06</v>
      </c>
      <c r="AN31" s="498">
        <v>0.06</v>
      </c>
      <c r="AO31" s="498">
        <v>0.06</v>
      </c>
      <c r="AP31" s="498">
        <v>0.06</v>
      </c>
      <c r="AQ31" s="498">
        <v>7.0000000000000007E-2</v>
      </c>
      <c r="AR31" s="498">
        <v>7.0000000000000007E-2</v>
      </c>
      <c r="AS31" s="498">
        <v>7.0000000000000007E-2</v>
      </c>
      <c r="AT31" s="498">
        <v>7.0000000000000007E-2</v>
      </c>
      <c r="AU31" s="498">
        <v>7.0000000000000007E-2</v>
      </c>
      <c r="AV31" s="498">
        <v>7.0000000000000007E-2</v>
      </c>
      <c r="AW31" s="498">
        <v>7.0000000000000007E-2</v>
      </c>
      <c r="AX31" s="498">
        <v>7.0000000000000007E-2</v>
      </c>
      <c r="AY31" s="498">
        <v>7.0000000000000007E-2</v>
      </c>
      <c r="AZ31" s="498">
        <v>7.0000000000000007E-2</v>
      </c>
      <c r="BA31" s="496">
        <f>AC31+AE31+AG31+AI31+AK31+AM31+AO31+AQ31+AS31+AU31+AW31+AY31</f>
        <v>0.7300000000000002</v>
      </c>
      <c r="BB31" s="496">
        <f t="shared" ref="BB31:BC33" si="39">AC31+AE31+AG31+AI31+AK31+AM31+AO31+AQ31+AS31+AU31+AW31+AY31</f>
        <v>0.7300000000000002</v>
      </c>
      <c r="BC31" s="496">
        <f t="shared" si="39"/>
        <v>0.7300000000000002</v>
      </c>
      <c r="BD31" s="494">
        <f>BA31</f>
        <v>0.7300000000000002</v>
      </c>
      <c r="BE31" s="494">
        <f>BC31</f>
        <v>0.7300000000000002</v>
      </c>
      <c r="BF31" s="494">
        <v>1</v>
      </c>
      <c r="BG31" s="499">
        <v>0</v>
      </c>
      <c r="BH31" s="499">
        <v>0</v>
      </c>
      <c r="BI31" s="499">
        <v>0.09</v>
      </c>
      <c r="BJ31" s="499">
        <v>0.09</v>
      </c>
      <c r="BK31" s="499">
        <v>0.09</v>
      </c>
      <c r="BL31" s="499">
        <v>0.09</v>
      </c>
      <c r="BM31" s="499">
        <v>0.09</v>
      </c>
      <c r="BN31" s="499">
        <v>0.09</v>
      </c>
      <c r="BO31" s="499">
        <v>0.09</v>
      </c>
      <c r="BP31" s="499">
        <v>0.09</v>
      </c>
      <c r="BQ31" s="499">
        <v>0.09</v>
      </c>
      <c r="BR31" s="499">
        <v>0.09</v>
      </c>
      <c r="BS31" s="499">
        <v>0.09</v>
      </c>
      <c r="BT31" s="499">
        <v>0.09</v>
      </c>
      <c r="BU31" s="499">
        <v>0.09</v>
      </c>
      <c r="BV31" s="499">
        <v>0.09</v>
      </c>
      <c r="BW31" s="499">
        <v>0.09</v>
      </c>
      <c r="BX31" s="499">
        <v>0.09</v>
      </c>
      <c r="BY31" s="499">
        <v>0.09</v>
      </c>
      <c r="BZ31" s="499">
        <v>0.09</v>
      </c>
      <c r="CA31" s="499">
        <v>0.09</v>
      </c>
      <c r="CB31" s="499">
        <v>0.09</v>
      </c>
      <c r="CC31" s="499">
        <v>0.1</v>
      </c>
      <c r="CD31" s="494">
        <v>0.1</v>
      </c>
      <c r="CE31" s="499">
        <f>CC31+CA31+BY31+BW31+BS31+BQ31+BO31+BM31+BK31+BI31+BG31+BU31</f>
        <v>0.99999999999999978</v>
      </c>
      <c r="CF31" s="494">
        <f>BG31+BI31+BK31+BM31+BO31+BQ31+BS31+BU31+BW31+BY31+CA31+CC31</f>
        <v>0.99999999999999978</v>
      </c>
      <c r="CG31" s="494">
        <f>BH31+BJ31+BL31+BN31+BP31+BR31+BT31+BV31+BX31+BZ31+CB31+CD31</f>
        <v>0.99999999999999978</v>
      </c>
      <c r="CH31" s="494">
        <f>CE31</f>
        <v>0.99999999999999978</v>
      </c>
      <c r="CI31" s="499">
        <f>CG31</f>
        <v>0.99999999999999978</v>
      </c>
      <c r="CJ31" s="499">
        <v>1</v>
      </c>
      <c r="CK31" s="499">
        <v>0</v>
      </c>
      <c r="CL31" s="499">
        <v>0</v>
      </c>
      <c r="CM31" s="499">
        <v>0.09</v>
      </c>
      <c r="CN31" s="499">
        <v>0.09</v>
      </c>
      <c r="CO31" s="500">
        <v>0.09</v>
      </c>
      <c r="CP31" s="500">
        <v>0.09</v>
      </c>
      <c r="CQ31" s="499">
        <v>0.09</v>
      </c>
      <c r="CR31" s="499">
        <v>0.09</v>
      </c>
      <c r="CS31" s="499">
        <v>0.09</v>
      </c>
      <c r="CT31" s="502">
        <v>0.09</v>
      </c>
      <c r="CU31" s="499">
        <v>0.09</v>
      </c>
      <c r="CV31" s="499">
        <v>0.09</v>
      </c>
      <c r="CW31" s="499">
        <v>0.09</v>
      </c>
      <c r="CX31" s="499">
        <v>0.09</v>
      </c>
      <c r="CY31" s="499">
        <v>0.09</v>
      </c>
      <c r="CZ31" s="499">
        <v>0.09</v>
      </c>
      <c r="DA31" s="499">
        <v>0.09</v>
      </c>
      <c r="DB31" s="499">
        <v>0.09</v>
      </c>
      <c r="DC31" s="499">
        <v>0.09</v>
      </c>
      <c r="DD31" s="499"/>
      <c r="DE31" s="499">
        <v>0.09</v>
      </c>
      <c r="DF31" s="499"/>
      <c r="DG31" s="499">
        <v>0.1</v>
      </c>
      <c r="DH31" s="499"/>
      <c r="DI31" s="494">
        <f>DG31+DE31+DC31+DA31+CW31+CU31+CS31+CQ31+CO31+CM31+CK31+CY31</f>
        <v>0.99999999999999978</v>
      </c>
      <c r="DJ31" s="494">
        <f t="shared" ref="DJ31:DK36" si="40">CK31+CM31+CO31+CQ31+CS31+CU31+CW31+CY31+DA31</f>
        <v>0.71999999999999986</v>
      </c>
      <c r="DK31" s="494">
        <f t="shared" si="40"/>
        <v>0.71999999999999986</v>
      </c>
      <c r="DL31" s="499">
        <f>DI31</f>
        <v>0.99999999999999978</v>
      </c>
      <c r="DM31" s="499">
        <f>+DK31</f>
        <v>0.71999999999999986</v>
      </c>
      <c r="DN31" s="494">
        <v>1</v>
      </c>
      <c r="DO31" s="495"/>
      <c r="DP31" s="495"/>
      <c r="DQ31" s="495"/>
      <c r="DR31" s="495"/>
      <c r="DS31" s="495"/>
      <c r="DT31" s="495"/>
      <c r="DU31" s="495"/>
      <c r="DV31" s="495"/>
      <c r="DW31" s="495"/>
      <c r="DX31" s="495"/>
      <c r="DY31" s="495"/>
      <c r="DZ31" s="495"/>
      <c r="EA31" s="495"/>
      <c r="EB31" s="495"/>
      <c r="EC31" s="495"/>
      <c r="ED31" s="495"/>
      <c r="EE31" s="495"/>
      <c r="EF31" s="495"/>
      <c r="EG31" s="495"/>
      <c r="EH31" s="495"/>
      <c r="EI31" s="495"/>
      <c r="EJ31" s="495"/>
      <c r="EK31" s="495"/>
      <c r="EL31" s="495"/>
      <c r="EM31" s="495"/>
      <c r="EN31" s="495"/>
      <c r="EO31" s="495"/>
      <c r="EP31" s="495"/>
      <c r="EQ31" s="495"/>
      <c r="ER31" s="505">
        <f t="shared" si="5"/>
        <v>1</v>
      </c>
      <c r="ES31" s="506">
        <f>DK31/DJ31</f>
        <v>1</v>
      </c>
      <c r="ET31" s="505">
        <f>DM31/DL31</f>
        <v>0.72</v>
      </c>
      <c r="EU31" s="505">
        <f>(AA31+BE31+CI31+DK31)/(Z31+BD31+CH31+DJ31)</f>
        <v>0.99632352941176483</v>
      </c>
      <c r="EV31" s="505">
        <f>(AA31+BE31+CI31+DM31)/G31</f>
        <v>0.67919799498746869</v>
      </c>
      <c r="EW31" s="785" t="s">
        <v>695</v>
      </c>
      <c r="EX31" s="735" t="s">
        <v>63</v>
      </c>
      <c r="EY31" s="735" t="s">
        <v>63</v>
      </c>
      <c r="EZ31" s="735" t="s">
        <v>109</v>
      </c>
      <c r="FA31" s="735" t="s">
        <v>65</v>
      </c>
    </row>
    <row r="32" spans="1:157" ht="27" customHeight="1" x14ac:dyDescent="0.25">
      <c r="A32" s="749"/>
      <c r="B32" s="756"/>
      <c r="C32" s="752"/>
      <c r="D32" s="752"/>
      <c r="E32" s="752"/>
      <c r="F32" s="319" t="s">
        <v>102</v>
      </c>
      <c r="G32" s="470">
        <f>AA32+BE32+CI32+DL32+DN32</f>
        <v>2606239256</v>
      </c>
      <c r="H32" s="470">
        <v>201000000</v>
      </c>
      <c r="I32" s="470">
        <v>201000000</v>
      </c>
      <c r="J32" s="470">
        <f>J28+J30</f>
        <v>0</v>
      </c>
      <c r="K32" s="470">
        <v>201000000</v>
      </c>
      <c r="L32" s="470">
        <f>L28+L30</f>
        <v>0</v>
      </c>
      <c r="M32" s="470">
        <v>201000000</v>
      </c>
      <c r="N32" s="470">
        <v>71564000</v>
      </c>
      <c r="O32" s="470">
        <v>201000000</v>
      </c>
      <c r="P32" s="470">
        <f>+AA32</f>
        <v>143476093</v>
      </c>
      <c r="Q32" s="470">
        <v>201000000</v>
      </c>
      <c r="R32" s="470">
        <f>+P32</f>
        <v>143476093</v>
      </c>
      <c r="S32" s="470">
        <v>201000000</v>
      </c>
      <c r="T32" s="470">
        <v>76021593</v>
      </c>
      <c r="U32" s="470">
        <v>144912593</v>
      </c>
      <c r="V32" s="470">
        <v>143476093</v>
      </c>
      <c r="W32" s="470"/>
      <c r="X32" s="470"/>
      <c r="Y32" s="470"/>
      <c r="Z32" s="470">
        <v>144912593</v>
      </c>
      <c r="AA32" s="471">
        <v>143476093</v>
      </c>
      <c r="AB32" s="533">
        <v>251240000</v>
      </c>
      <c r="AC32" s="470">
        <v>0</v>
      </c>
      <c r="AD32" s="470">
        <v>0</v>
      </c>
      <c r="AE32" s="470">
        <v>0</v>
      </c>
      <c r="AF32" s="470">
        <v>0</v>
      </c>
      <c r="AG32" s="470">
        <v>133938000</v>
      </c>
      <c r="AH32" s="470">
        <v>133938000</v>
      </c>
      <c r="AI32" s="470">
        <v>56286000</v>
      </c>
      <c r="AJ32" s="470">
        <v>56286000</v>
      </c>
      <c r="AK32" s="470">
        <v>0</v>
      </c>
      <c r="AL32" s="470">
        <v>0</v>
      </c>
      <c r="AM32" s="470">
        <f>30980000-14775233</f>
        <v>16204767</v>
      </c>
      <c r="AN32" s="470">
        <v>10500000</v>
      </c>
      <c r="AO32" s="470">
        <v>0</v>
      </c>
      <c r="AP32" s="470">
        <v>0</v>
      </c>
      <c r="AQ32" s="470">
        <v>0</v>
      </c>
      <c r="AR32" s="470">
        <v>0</v>
      </c>
      <c r="AS32" s="470">
        <v>0</v>
      </c>
      <c r="AT32" s="470">
        <v>0</v>
      </c>
      <c r="AU32" s="470">
        <v>0</v>
      </c>
      <c r="AV32" s="470">
        <v>0</v>
      </c>
      <c r="AW32" s="470">
        <v>0</v>
      </c>
      <c r="AX32" s="470">
        <v>0</v>
      </c>
      <c r="AY32" s="470">
        <v>0</v>
      </c>
      <c r="AZ32" s="470">
        <v>5704767</v>
      </c>
      <c r="BA32" s="476">
        <f>AC32+AE32+AG32+AI32+AK32+AM32+AO32+AQ32+AS32+AU32+AW32+AY32</f>
        <v>206428767</v>
      </c>
      <c r="BB32" s="476">
        <f t="shared" si="39"/>
        <v>206428767</v>
      </c>
      <c r="BC32" s="476">
        <f t="shared" si="39"/>
        <v>206428767</v>
      </c>
      <c r="BD32" s="471">
        <f>AC32+AE32+AG32+AI32+AK32+AM32+AO32+AQ32+AS32+AU32+AW32+AY32</f>
        <v>206428767</v>
      </c>
      <c r="BE32" s="471">
        <f>BC32</f>
        <v>206428767</v>
      </c>
      <c r="BF32" s="470">
        <v>409912000</v>
      </c>
      <c r="BG32" s="470">
        <v>372045000</v>
      </c>
      <c r="BH32" s="470">
        <v>372045000</v>
      </c>
      <c r="BI32" s="470">
        <v>0</v>
      </c>
      <c r="BJ32" s="470">
        <v>0</v>
      </c>
      <c r="BK32" s="470">
        <v>0</v>
      </c>
      <c r="BL32" s="470">
        <v>0</v>
      </c>
      <c r="BM32" s="470">
        <v>0</v>
      </c>
      <c r="BN32" s="470">
        <v>0</v>
      </c>
      <c r="BO32" s="470">
        <v>0</v>
      </c>
      <c r="BP32" s="470">
        <v>0</v>
      </c>
      <c r="BQ32" s="470">
        <f>20000000-6663079</f>
        <v>13336921</v>
      </c>
      <c r="BR32" s="470">
        <v>20000000</v>
      </c>
      <c r="BS32" s="470">
        <v>5000000</v>
      </c>
      <c r="BT32" s="470">
        <v>0</v>
      </c>
      <c r="BU32" s="470">
        <v>0</v>
      </c>
      <c r="BV32" s="470">
        <v>0</v>
      </c>
      <c r="BW32" s="470">
        <v>0</v>
      </c>
      <c r="BX32" s="470">
        <v>0</v>
      </c>
      <c r="BY32" s="470">
        <v>59778100</v>
      </c>
      <c r="BZ32" s="470">
        <v>58929000</v>
      </c>
      <c r="CA32" s="470">
        <f>12867000+250000000</f>
        <v>262867000</v>
      </c>
      <c r="CB32" s="470">
        <v>22617000</v>
      </c>
      <c r="CC32" s="470">
        <f>200000000-11682885</f>
        <v>188317115</v>
      </c>
      <c r="CD32" s="470">
        <v>409818396</v>
      </c>
      <c r="CE32" s="470">
        <f>CC32+CA32+BY32+BW32+BS32+BQ32+BO32+BM32+BK32+BI32+BG32+BU32</f>
        <v>901344136</v>
      </c>
      <c r="CF32" s="470">
        <f>BG32+BI32+BK32+BM32+BO32+BQ32+BS32+BU32+BW32+BY32+CA32+CC32</f>
        <v>901344136</v>
      </c>
      <c r="CG32" s="470">
        <f>BH32+BJ32+BL32+BN32+BP32+BR32+BT32+BV32+BX32+BZ32+CB32+CD32</f>
        <v>883409396</v>
      </c>
      <c r="CH32" s="470">
        <f>CE32</f>
        <v>901344136</v>
      </c>
      <c r="CI32" s="470">
        <f>CG32</f>
        <v>883409396</v>
      </c>
      <c r="CJ32" s="471">
        <v>708083000</v>
      </c>
      <c r="CK32" s="472">
        <v>22681000</v>
      </c>
      <c r="CL32" s="472">
        <v>22681000</v>
      </c>
      <c r="CM32" s="472">
        <v>292820000</v>
      </c>
      <c r="CN32" s="472">
        <v>292820000</v>
      </c>
      <c r="CO32" s="472">
        <v>239573000</v>
      </c>
      <c r="CP32" s="472">
        <v>239573000</v>
      </c>
      <c r="CQ32" s="472">
        <v>0</v>
      </c>
      <c r="CR32" s="470">
        <v>39681000</v>
      </c>
      <c r="CS32" s="472">
        <v>2500000</v>
      </c>
      <c r="CT32" s="473">
        <v>0</v>
      </c>
      <c r="CU32" s="470">
        <v>0</v>
      </c>
      <c r="CV32" s="470">
        <v>0</v>
      </c>
      <c r="CW32" s="470">
        <v>150509000</v>
      </c>
      <c r="CX32" s="470">
        <v>0</v>
      </c>
      <c r="CY32" s="470">
        <v>0</v>
      </c>
      <c r="CZ32" s="470">
        <v>0</v>
      </c>
      <c r="DA32" s="470">
        <v>-80158000</v>
      </c>
      <c r="DB32" s="470">
        <v>0</v>
      </c>
      <c r="DC32" s="470">
        <v>0</v>
      </c>
      <c r="DD32" s="470"/>
      <c r="DE32" s="470">
        <v>0</v>
      </c>
      <c r="DF32" s="470"/>
      <c r="DG32" s="470">
        <v>0</v>
      </c>
      <c r="DH32" s="470"/>
      <c r="DI32" s="471">
        <f>DG32+DE32+DC32+DA32+CW32+CU32+CS32+CQ32+CO32+CM32+CK32+CY32</f>
        <v>627925000</v>
      </c>
      <c r="DJ32" s="471">
        <f t="shared" si="40"/>
        <v>627925000</v>
      </c>
      <c r="DK32" s="471">
        <f t="shared" si="40"/>
        <v>594755000</v>
      </c>
      <c r="DL32" s="470">
        <f>DI32</f>
        <v>627925000</v>
      </c>
      <c r="DM32" s="470">
        <f>DK32</f>
        <v>594755000</v>
      </c>
      <c r="DN32" s="470">
        <v>745000000</v>
      </c>
      <c r="DO32" s="470"/>
      <c r="DP32" s="470"/>
      <c r="DQ32" s="470"/>
      <c r="DR32" s="470"/>
      <c r="DS32" s="470"/>
      <c r="DT32" s="470"/>
      <c r="DU32" s="470"/>
      <c r="DV32" s="470"/>
      <c r="DW32" s="470"/>
      <c r="DX32" s="470"/>
      <c r="DY32" s="470"/>
      <c r="DZ32" s="470"/>
      <c r="EA32" s="470"/>
      <c r="EB32" s="470"/>
      <c r="EC32" s="470"/>
      <c r="ED32" s="470"/>
      <c r="EE32" s="470"/>
      <c r="EF32" s="470"/>
      <c r="EG32" s="470"/>
      <c r="EH32" s="470"/>
      <c r="EI32" s="470"/>
      <c r="EJ32" s="470"/>
      <c r="EK32" s="470"/>
      <c r="EL32" s="470"/>
      <c r="EM32" s="470"/>
      <c r="EN32" s="470"/>
      <c r="EO32" s="470"/>
      <c r="EP32" s="470"/>
      <c r="EQ32" s="470"/>
      <c r="ER32" s="468">
        <f t="shared" si="5"/>
        <v>0</v>
      </c>
      <c r="ES32" s="469">
        <f t="shared" si="16"/>
        <v>0.94717521997053788</v>
      </c>
      <c r="ET32" s="468">
        <f t="shared" si="17"/>
        <v>0.94717521997053788</v>
      </c>
      <c r="EU32" s="468">
        <f t="shared" si="18"/>
        <v>0.97206160440359468</v>
      </c>
      <c r="EV32" s="468">
        <f t="shared" si="19"/>
        <v>0.70142035186964435</v>
      </c>
      <c r="EW32" s="734"/>
      <c r="EX32" s="734"/>
      <c r="EY32" s="734"/>
      <c r="EZ32" s="734"/>
      <c r="FA32" s="734"/>
    </row>
    <row r="33" spans="1:157" ht="28.5" customHeight="1" x14ac:dyDescent="0.25">
      <c r="A33" s="749"/>
      <c r="B33" s="756"/>
      <c r="C33" s="752"/>
      <c r="D33" s="752"/>
      <c r="E33" s="752"/>
      <c r="F33" s="320" t="s">
        <v>103</v>
      </c>
      <c r="G33" s="470"/>
      <c r="H33" s="470"/>
      <c r="I33" s="470"/>
      <c r="J33" s="470"/>
      <c r="K33" s="470"/>
      <c r="L33" s="470"/>
      <c r="M33" s="470"/>
      <c r="N33" s="470"/>
      <c r="O33" s="470"/>
      <c r="P33" s="470"/>
      <c r="Q33" s="470"/>
      <c r="R33" s="470"/>
      <c r="S33" s="470"/>
      <c r="T33" s="470"/>
      <c r="U33" s="470"/>
      <c r="V33" s="470"/>
      <c r="W33" s="470"/>
      <c r="X33" s="470"/>
      <c r="Y33" s="470"/>
      <c r="Z33" s="470"/>
      <c r="AA33" s="471"/>
      <c r="AB33" s="533"/>
      <c r="AC33" s="470">
        <v>0</v>
      </c>
      <c r="AD33" s="470">
        <v>0</v>
      </c>
      <c r="AE33" s="470">
        <v>0</v>
      </c>
      <c r="AF33" s="470">
        <v>0</v>
      </c>
      <c r="AG33" s="470">
        <v>0</v>
      </c>
      <c r="AH33" s="470">
        <v>0</v>
      </c>
      <c r="AI33" s="470">
        <v>1736233</v>
      </c>
      <c r="AJ33" s="470">
        <v>1736233</v>
      </c>
      <c r="AK33" s="470">
        <v>19597833</v>
      </c>
      <c r="AL33" s="470">
        <v>19597833</v>
      </c>
      <c r="AM33" s="470">
        <v>23072000</v>
      </c>
      <c r="AN33" s="470">
        <v>19270400</v>
      </c>
      <c r="AO33" s="470">
        <v>21488000</v>
      </c>
      <c r="AP33" s="470">
        <v>14047000</v>
      </c>
      <c r="AQ33" s="470">
        <v>21488000</v>
      </c>
      <c r="AR33" s="470">
        <v>17215000</v>
      </c>
      <c r="AS33" s="470">
        <v>21488000</v>
      </c>
      <c r="AT33" s="470">
        <v>16279300</v>
      </c>
      <c r="AU33" s="470">
        <f>21488000+30000000</f>
        <v>51488000</v>
      </c>
      <c r="AV33" s="470">
        <v>34137700</v>
      </c>
      <c r="AW33" s="470">
        <v>21488000</v>
      </c>
      <c r="AX33" s="470">
        <v>36221747</v>
      </c>
      <c r="AY33" s="470">
        <f>69357934-44775233</f>
        <v>24582701</v>
      </c>
      <c r="AZ33" s="470">
        <v>24694115</v>
      </c>
      <c r="BA33" s="476">
        <f>AC33+AE33+AG33+AI33+AK33+AM33+AO33+AQ33+AS33+AU33+AW33+AY33</f>
        <v>206428767</v>
      </c>
      <c r="BB33" s="476">
        <f t="shared" si="39"/>
        <v>206428767</v>
      </c>
      <c r="BC33" s="476">
        <f t="shared" si="39"/>
        <v>183199328</v>
      </c>
      <c r="BD33" s="471">
        <f>BA33+AA33</f>
        <v>206428767</v>
      </c>
      <c r="BE33" s="471">
        <f>BC33+AA33</f>
        <v>183199328</v>
      </c>
      <c r="BF33" s="470">
        <v>409912000</v>
      </c>
      <c r="BG33" s="470">
        <v>0</v>
      </c>
      <c r="BH33" s="470">
        <v>0</v>
      </c>
      <c r="BI33" s="470">
        <v>2060000</v>
      </c>
      <c r="BJ33" s="470">
        <v>0</v>
      </c>
      <c r="BK33" s="470">
        <v>34806000</v>
      </c>
      <c r="BL33" s="470">
        <v>28042186</v>
      </c>
      <c r="BM33" s="470">
        <v>34806000</v>
      </c>
      <c r="BN33" s="470">
        <v>30803095</v>
      </c>
      <c r="BO33" s="470">
        <f>34806000-6663079</f>
        <v>28142921</v>
      </c>
      <c r="BP33" s="470">
        <v>47081000</v>
      </c>
      <c r="BQ33" s="470">
        <v>44806000</v>
      </c>
      <c r="BR33" s="470">
        <v>32746000</v>
      </c>
      <c r="BS33" s="470">
        <v>47306000</v>
      </c>
      <c r="BT33" s="470">
        <v>33617615</v>
      </c>
      <c r="BU33" s="470">
        <v>37306000</v>
      </c>
      <c r="BV33" s="470">
        <v>33924670</v>
      </c>
      <c r="BW33" s="470">
        <v>34806000</v>
      </c>
      <c r="BX33" s="470">
        <v>27792097</v>
      </c>
      <c r="BY33" s="470">
        <f>34806000</f>
        <v>34806000</v>
      </c>
      <c r="BZ33" s="470">
        <v>33859227</v>
      </c>
      <c r="CA33" s="470">
        <f>47673000+500000000-290221900</f>
        <v>257451100</v>
      </c>
      <c r="CB33" s="470">
        <v>41245271</v>
      </c>
      <c r="CC33" s="470">
        <f>56731000+300000000-11683885</f>
        <v>345047115</v>
      </c>
      <c r="CD33" s="470">
        <v>73542184</v>
      </c>
      <c r="CE33" s="470">
        <f>CC33+CA33+BY33+BW33+BS33+BQ33+BO33+BM33+BK33+BI33+BG33+BU33</f>
        <v>901343136</v>
      </c>
      <c r="CF33" s="470">
        <f>BG33+BI33+BK33+BM33+BO33+BQ33+BS33+BU33+BW33+BY33+CA33</f>
        <v>556296021</v>
      </c>
      <c r="CG33" s="470">
        <f>BH33+BJ33+BL33+BN33+BP33+BR33+BT33+BV33+BX33+BZ33+CB33+CD33</f>
        <v>382653345</v>
      </c>
      <c r="CH33" s="470">
        <f>CE33</f>
        <v>901343136</v>
      </c>
      <c r="CI33" s="470">
        <f>CG33</f>
        <v>382653345</v>
      </c>
      <c r="CJ33" s="471">
        <v>708083000</v>
      </c>
      <c r="CK33" s="470">
        <v>0</v>
      </c>
      <c r="CL33" s="470">
        <v>0</v>
      </c>
      <c r="CM33" s="472">
        <v>0</v>
      </c>
      <c r="CN33" s="470">
        <v>0</v>
      </c>
      <c r="CO33" s="472">
        <v>1012000</v>
      </c>
      <c r="CP33" s="472">
        <v>1012000</v>
      </c>
      <c r="CQ33" s="472">
        <v>38775000</v>
      </c>
      <c r="CR33" s="470">
        <v>22288867</v>
      </c>
      <c r="CS33" s="472">
        <v>38775000</v>
      </c>
      <c r="CT33" s="473">
        <v>54477533</v>
      </c>
      <c r="CU33" s="472">
        <v>38775000</v>
      </c>
      <c r="CV33" s="470">
        <v>69618807</v>
      </c>
      <c r="CW33" s="472">
        <v>64143909</v>
      </c>
      <c r="CX33" s="470">
        <v>56499962</v>
      </c>
      <c r="CY33" s="472">
        <v>164143909</v>
      </c>
      <c r="CZ33" s="470">
        <v>55786515</v>
      </c>
      <c r="DA33" s="472">
        <v>64143909</v>
      </c>
      <c r="DB33" s="470">
        <v>51450472</v>
      </c>
      <c r="DC33" s="472">
        <f>64143909+39238636-50158000</f>
        <v>53224545</v>
      </c>
      <c r="DD33" s="470"/>
      <c r="DE33" s="472">
        <v>64143909</v>
      </c>
      <c r="DF33" s="470"/>
      <c r="DG33" s="472">
        <f>86299910+44487909-30000000</f>
        <v>100787819</v>
      </c>
      <c r="DH33" s="470"/>
      <c r="DI33" s="471">
        <f>DG33+DE33+DC33+DA33+CW33+CU33+CS33+CQ33+CO33+CM33+CK33+CY33</f>
        <v>627925000</v>
      </c>
      <c r="DJ33" s="471">
        <f t="shared" si="40"/>
        <v>409768727</v>
      </c>
      <c r="DK33" s="471">
        <f t="shared" si="40"/>
        <v>311134156</v>
      </c>
      <c r="DL33" s="470">
        <f>DI33</f>
        <v>627925000</v>
      </c>
      <c r="DM33" s="470">
        <f>DK33</f>
        <v>311134156</v>
      </c>
      <c r="DN33" s="470">
        <v>0</v>
      </c>
      <c r="DO33" s="470"/>
      <c r="DP33" s="470"/>
      <c r="DQ33" s="470"/>
      <c r="DR33" s="470"/>
      <c r="DS33" s="470"/>
      <c r="DT33" s="470"/>
      <c r="DU33" s="470"/>
      <c r="DV33" s="470"/>
      <c r="DW33" s="470"/>
      <c r="DX33" s="470"/>
      <c r="DY33" s="470"/>
      <c r="DZ33" s="470"/>
      <c r="EA33" s="470"/>
      <c r="EB33" s="470"/>
      <c r="EC33" s="470"/>
      <c r="ED33" s="470"/>
      <c r="EE33" s="470"/>
      <c r="EF33" s="470"/>
      <c r="EG33" s="470"/>
      <c r="EH33" s="470"/>
      <c r="EI33" s="470"/>
      <c r="EJ33" s="470"/>
      <c r="EK33" s="470"/>
      <c r="EL33" s="470"/>
      <c r="EM33" s="470"/>
      <c r="EN33" s="470"/>
      <c r="EO33" s="470"/>
      <c r="EP33" s="470"/>
      <c r="EQ33" s="470"/>
      <c r="ER33" s="468">
        <f t="shared" si="5"/>
        <v>0.80211001795977233</v>
      </c>
      <c r="ES33" s="469">
        <f t="shared" si="16"/>
        <v>0.75929209697840117</v>
      </c>
      <c r="ET33" s="468">
        <f t="shared" si="17"/>
        <v>0.49549572958553967</v>
      </c>
      <c r="EU33" s="468">
        <f t="shared" si="18"/>
        <v>0.57790006518639303</v>
      </c>
      <c r="EV33" s="468">
        <f>IFERROR((AA33+BE33+CI33+DM33)/G33,0)</f>
        <v>0</v>
      </c>
      <c r="EW33" s="734"/>
      <c r="EX33" s="734"/>
      <c r="EY33" s="734"/>
      <c r="EZ33" s="734"/>
      <c r="FA33" s="734"/>
    </row>
    <row r="34" spans="1:157" ht="30.75" customHeight="1" x14ac:dyDescent="0.25">
      <c r="A34" s="749"/>
      <c r="B34" s="756"/>
      <c r="C34" s="752"/>
      <c r="D34" s="752"/>
      <c r="E34" s="752"/>
      <c r="F34" s="321" t="s">
        <v>104</v>
      </c>
      <c r="G34" s="464">
        <f>AA34+BE34+CI34+DL34+DN34</f>
        <v>0.01</v>
      </c>
      <c r="H34" s="464">
        <v>0</v>
      </c>
      <c r="I34" s="464">
        <v>0</v>
      </c>
      <c r="J34" s="464">
        <v>0</v>
      </c>
      <c r="K34" s="464">
        <v>0</v>
      </c>
      <c r="L34" s="464">
        <v>0</v>
      </c>
      <c r="M34" s="464">
        <v>0</v>
      </c>
      <c r="N34" s="464">
        <v>0</v>
      </c>
      <c r="O34" s="464">
        <v>0</v>
      </c>
      <c r="P34" s="464">
        <v>0</v>
      </c>
      <c r="Q34" s="464">
        <v>0</v>
      </c>
      <c r="R34" s="464">
        <v>0</v>
      </c>
      <c r="S34" s="464">
        <v>0</v>
      </c>
      <c r="T34" s="464">
        <v>0</v>
      </c>
      <c r="U34" s="464">
        <v>0</v>
      </c>
      <c r="V34" s="464">
        <v>0</v>
      </c>
      <c r="W34" s="464"/>
      <c r="X34" s="464"/>
      <c r="Y34" s="464"/>
      <c r="Z34" s="464">
        <v>0</v>
      </c>
      <c r="AA34" s="464">
        <v>0</v>
      </c>
      <c r="AB34" s="464">
        <v>0.01</v>
      </c>
      <c r="AC34" s="464">
        <v>0</v>
      </c>
      <c r="AD34" s="464">
        <v>0</v>
      </c>
      <c r="AE34" s="464">
        <v>0</v>
      </c>
      <c r="AF34" s="464">
        <v>0</v>
      </c>
      <c r="AG34" s="464">
        <v>0</v>
      </c>
      <c r="AH34" s="464">
        <v>0</v>
      </c>
      <c r="AI34" s="464">
        <v>0</v>
      </c>
      <c r="AJ34" s="464">
        <v>0</v>
      </c>
      <c r="AK34" s="464">
        <v>0.01</v>
      </c>
      <c r="AL34" s="464">
        <v>0.01</v>
      </c>
      <c r="AM34" s="464">
        <v>0</v>
      </c>
      <c r="AN34" s="464">
        <v>0</v>
      </c>
      <c r="AO34" s="464">
        <v>0</v>
      </c>
      <c r="AP34" s="464">
        <v>0</v>
      </c>
      <c r="AQ34" s="464">
        <v>0</v>
      </c>
      <c r="AR34" s="464">
        <v>0</v>
      </c>
      <c r="AS34" s="464">
        <v>0</v>
      </c>
      <c r="AT34" s="464">
        <v>0</v>
      </c>
      <c r="AU34" s="464">
        <v>0</v>
      </c>
      <c r="AV34" s="464">
        <v>0</v>
      </c>
      <c r="AW34" s="464">
        <v>0</v>
      </c>
      <c r="AX34" s="525">
        <v>0</v>
      </c>
      <c r="AY34" s="464">
        <v>0</v>
      </c>
      <c r="AZ34" s="525">
        <v>0</v>
      </c>
      <c r="BA34" s="476">
        <f>AC34+AE34+AG34+AI34+AK34+AM34+AO34+AQ34+AS34+AU34+AW34+AY34</f>
        <v>0.01</v>
      </c>
      <c r="BB34" s="476">
        <f>AC34+AE34+AG34+AI34+AK34</f>
        <v>0.01</v>
      </c>
      <c r="BC34" s="476">
        <f>AD34+AF34+AH34+AJ34+AL34+AN34+AP34+AR34</f>
        <v>0.01</v>
      </c>
      <c r="BD34" s="463">
        <f>BA34+AA34</f>
        <v>0.01</v>
      </c>
      <c r="BE34" s="463">
        <f>BC34+AA34</f>
        <v>0.01</v>
      </c>
      <c r="BF34" s="464">
        <v>0</v>
      </c>
      <c r="BG34" s="477">
        <v>0</v>
      </c>
      <c r="BH34" s="477">
        <v>0</v>
      </c>
      <c r="BI34" s="477">
        <v>0</v>
      </c>
      <c r="BJ34" s="464">
        <v>0</v>
      </c>
      <c r="BK34" s="477">
        <v>0</v>
      </c>
      <c r="BL34" s="464">
        <v>0</v>
      </c>
      <c r="BM34" s="477">
        <v>0</v>
      </c>
      <c r="BN34" s="464">
        <v>0</v>
      </c>
      <c r="BO34" s="477">
        <v>0</v>
      </c>
      <c r="BP34" s="464">
        <v>0</v>
      </c>
      <c r="BQ34" s="477">
        <v>0</v>
      </c>
      <c r="BR34" s="464">
        <v>0</v>
      </c>
      <c r="BS34" s="477">
        <v>0</v>
      </c>
      <c r="BT34" s="464">
        <v>0</v>
      </c>
      <c r="BU34" s="464">
        <v>0</v>
      </c>
      <c r="BV34" s="464">
        <v>0</v>
      </c>
      <c r="BW34" s="464">
        <v>0</v>
      </c>
      <c r="BX34" s="464">
        <v>0</v>
      </c>
      <c r="BY34" s="464">
        <v>0</v>
      </c>
      <c r="BZ34" s="464">
        <v>0</v>
      </c>
      <c r="CA34" s="464">
        <v>0</v>
      </c>
      <c r="CB34" s="464">
        <v>0</v>
      </c>
      <c r="CC34" s="464">
        <v>0</v>
      </c>
      <c r="CD34" s="464">
        <v>0</v>
      </c>
      <c r="CE34" s="464">
        <f>CC34+CA34+BY34+BW34+BS34+BQ34+BO34+BM34+BK34+BI34+BG34+BU34</f>
        <v>0</v>
      </c>
      <c r="CF34" s="464">
        <f>BG34</f>
        <v>0</v>
      </c>
      <c r="CG34" s="464">
        <f>BH34+BJ34+BL34+BN34+BP34+BR34+BT34+BV34+BX34+BZ34+CB34+CD34</f>
        <v>0</v>
      </c>
      <c r="CH34" s="464">
        <f>CE34</f>
        <v>0</v>
      </c>
      <c r="CI34" s="464">
        <f>CG34</f>
        <v>0</v>
      </c>
      <c r="CJ34" s="464">
        <v>0</v>
      </c>
      <c r="CK34" s="464">
        <v>0</v>
      </c>
      <c r="CL34" s="464">
        <v>0</v>
      </c>
      <c r="CM34" s="464">
        <v>0</v>
      </c>
      <c r="CN34" s="464">
        <v>0</v>
      </c>
      <c r="CO34" s="464">
        <v>0</v>
      </c>
      <c r="CP34" s="464">
        <v>0</v>
      </c>
      <c r="CQ34" s="464">
        <v>0</v>
      </c>
      <c r="CR34" s="464">
        <v>0</v>
      </c>
      <c r="CS34" s="464">
        <v>0</v>
      </c>
      <c r="CT34" s="466">
        <v>0</v>
      </c>
      <c r="CU34" s="464">
        <v>0</v>
      </c>
      <c r="CV34" s="464">
        <v>0</v>
      </c>
      <c r="CW34" s="464">
        <v>0</v>
      </c>
      <c r="CX34" s="464">
        <v>0</v>
      </c>
      <c r="CY34" s="464">
        <v>0</v>
      </c>
      <c r="CZ34" s="464">
        <v>0</v>
      </c>
      <c r="DA34" s="464">
        <v>0</v>
      </c>
      <c r="DB34" s="464">
        <v>0</v>
      </c>
      <c r="DC34" s="464">
        <v>0</v>
      </c>
      <c r="DD34" s="464"/>
      <c r="DE34" s="464">
        <v>0</v>
      </c>
      <c r="DF34" s="464"/>
      <c r="DG34" s="464">
        <v>0</v>
      </c>
      <c r="DH34" s="464"/>
      <c r="DI34" s="463">
        <f>DG34+DE34+DC34+DA34+CW34+CU34+CS34+CQ34+CO34+CM34+CK34+CY34</f>
        <v>0</v>
      </c>
      <c r="DJ34" s="463">
        <f t="shared" si="40"/>
        <v>0</v>
      </c>
      <c r="DK34" s="463">
        <f t="shared" si="40"/>
        <v>0</v>
      </c>
      <c r="DL34" s="464">
        <f>CI34+DI34</f>
        <v>0</v>
      </c>
      <c r="DM34" s="464">
        <v>0</v>
      </c>
      <c r="DN34" s="464">
        <v>0</v>
      </c>
      <c r="DO34" s="464">
        <v>0</v>
      </c>
      <c r="DP34" s="464">
        <v>0</v>
      </c>
      <c r="DQ34" s="464">
        <v>0</v>
      </c>
      <c r="DR34" s="464">
        <v>0</v>
      </c>
      <c r="DS34" s="464">
        <v>0</v>
      </c>
      <c r="DT34" s="464">
        <v>0</v>
      </c>
      <c r="DU34" s="464">
        <v>0</v>
      </c>
      <c r="DV34" s="464">
        <v>0</v>
      </c>
      <c r="DW34" s="464">
        <v>0</v>
      </c>
      <c r="DX34" s="464">
        <v>0</v>
      </c>
      <c r="DY34" s="464">
        <v>0</v>
      </c>
      <c r="DZ34" s="464">
        <v>0</v>
      </c>
      <c r="EA34" s="464">
        <v>0</v>
      </c>
      <c r="EB34" s="464">
        <v>0</v>
      </c>
      <c r="EC34" s="464">
        <v>0</v>
      </c>
      <c r="ED34" s="464">
        <v>0</v>
      </c>
      <c r="EE34" s="464">
        <v>0</v>
      </c>
      <c r="EF34" s="464">
        <v>0</v>
      </c>
      <c r="EG34" s="464">
        <v>0</v>
      </c>
      <c r="EH34" s="464">
        <v>0</v>
      </c>
      <c r="EI34" s="464">
        <v>0</v>
      </c>
      <c r="EJ34" s="464">
        <v>0</v>
      </c>
      <c r="EK34" s="464"/>
      <c r="EL34" s="464">
        <v>0</v>
      </c>
      <c r="EM34" s="464"/>
      <c r="EN34" s="464"/>
      <c r="EO34" s="464"/>
      <c r="EP34" s="464"/>
      <c r="EQ34" s="464">
        <v>0</v>
      </c>
      <c r="ER34" s="468">
        <f t="shared" si="5"/>
        <v>0</v>
      </c>
      <c r="ES34" s="469">
        <f>IFERROR(DK34/DJ34,0)</f>
        <v>0</v>
      </c>
      <c r="ET34" s="468">
        <f>IFERROR(DM34/DL34,0)</f>
        <v>0</v>
      </c>
      <c r="EU34" s="468">
        <f t="shared" si="18"/>
        <v>1</v>
      </c>
      <c r="EV34" s="468">
        <f>(AA34+BE34+CI34+DM34)/G34</f>
        <v>1</v>
      </c>
      <c r="EW34" s="734"/>
      <c r="EX34" s="734"/>
      <c r="EY34" s="734"/>
      <c r="EZ34" s="734"/>
      <c r="FA34" s="734"/>
    </row>
    <row r="35" spans="1:157" ht="40.5" customHeight="1" x14ac:dyDescent="0.25">
      <c r="A35" s="749"/>
      <c r="B35" s="756"/>
      <c r="C35" s="752"/>
      <c r="D35" s="752"/>
      <c r="E35" s="752"/>
      <c r="F35" s="319" t="s">
        <v>105</v>
      </c>
      <c r="G35" s="470">
        <f>AA35+BE35+CI35+DL35+DN35</f>
        <v>598754122</v>
      </c>
      <c r="H35" s="470">
        <v>0</v>
      </c>
      <c r="I35" s="470">
        <v>0</v>
      </c>
      <c r="J35" s="470">
        <v>0</v>
      </c>
      <c r="K35" s="470">
        <v>0</v>
      </c>
      <c r="L35" s="470">
        <v>0</v>
      </c>
      <c r="M35" s="470">
        <v>0</v>
      </c>
      <c r="N35" s="470">
        <v>0</v>
      </c>
      <c r="O35" s="470">
        <v>0</v>
      </c>
      <c r="P35" s="470">
        <v>0</v>
      </c>
      <c r="Q35" s="470">
        <v>0</v>
      </c>
      <c r="R35" s="470">
        <v>0</v>
      </c>
      <c r="S35" s="470">
        <v>0</v>
      </c>
      <c r="T35" s="470">
        <v>0</v>
      </c>
      <c r="U35" s="470">
        <v>0</v>
      </c>
      <c r="V35" s="470">
        <v>0</v>
      </c>
      <c r="W35" s="470"/>
      <c r="X35" s="470"/>
      <c r="Y35" s="470"/>
      <c r="Z35" s="470">
        <v>0</v>
      </c>
      <c r="AA35" s="470">
        <v>0</v>
      </c>
      <c r="AB35" s="470">
        <v>89761033</v>
      </c>
      <c r="AC35" s="470">
        <v>0</v>
      </c>
      <c r="AD35" s="470">
        <v>0</v>
      </c>
      <c r="AE35" s="478">
        <v>27209750</v>
      </c>
      <c r="AF35" s="478">
        <v>27209750</v>
      </c>
      <c r="AG35" s="478">
        <v>13322833</v>
      </c>
      <c r="AH35" s="478">
        <v>13322833</v>
      </c>
      <c r="AI35" s="478">
        <v>0</v>
      </c>
      <c r="AJ35" s="478">
        <v>0</v>
      </c>
      <c r="AK35" s="478">
        <v>29738100</v>
      </c>
      <c r="AL35" s="478">
        <v>29738100</v>
      </c>
      <c r="AM35" s="470">
        <f>19490350-14534000</f>
        <v>4956350</v>
      </c>
      <c r="AN35" s="470">
        <v>0</v>
      </c>
      <c r="AO35" s="470">
        <v>0</v>
      </c>
      <c r="AP35" s="470">
        <v>0</v>
      </c>
      <c r="AQ35" s="470">
        <v>0</v>
      </c>
      <c r="AR35" s="470">
        <v>4956350</v>
      </c>
      <c r="AS35" s="470">
        <v>0</v>
      </c>
      <c r="AT35" s="470">
        <v>0</v>
      </c>
      <c r="AU35" s="470">
        <v>0</v>
      </c>
      <c r="AV35" s="470">
        <v>0</v>
      </c>
      <c r="AW35" s="470">
        <v>0</v>
      </c>
      <c r="AX35" s="470">
        <v>0</v>
      </c>
      <c r="AY35" s="470">
        <v>0</v>
      </c>
      <c r="AZ35" s="470">
        <v>0</v>
      </c>
      <c r="BA35" s="476">
        <f>AC35+AE35+AG35+AI35+AK35+AM35+AO35+AQ35+AS35+AU35+AW35+AY35</f>
        <v>75227033</v>
      </c>
      <c r="BB35" s="476">
        <f>AC35+AE35+AG35+AI35+AK35+AM35+AO35+AQ35+AS35+AU35+AW35</f>
        <v>75227033</v>
      </c>
      <c r="BC35" s="476">
        <f>AD35+AF35+AH35+AJ35+AL35+AN35+AP35+AR35+AT35+AV35+AX35</f>
        <v>75227033</v>
      </c>
      <c r="BD35" s="471">
        <f>BA35+AA35</f>
        <v>75227033</v>
      </c>
      <c r="BE35" s="471">
        <f>BC35+AA35</f>
        <v>75227033</v>
      </c>
      <c r="BF35" s="472">
        <v>23229439</v>
      </c>
      <c r="BG35" s="472">
        <v>16583767</v>
      </c>
      <c r="BH35" s="472">
        <f>16583767</f>
        <v>16583767</v>
      </c>
      <c r="BI35" s="472">
        <f>6186134+1138</f>
        <v>6187272</v>
      </c>
      <c r="BJ35" s="470">
        <v>0</v>
      </c>
      <c r="BK35" s="472">
        <v>0</v>
      </c>
      <c r="BL35" s="470">
        <v>6187271</v>
      </c>
      <c r="BM35" s="472">
        <v>0</v>
      </c>
      <c r="BN35" s="470">
        <v>0</v>
      </c>
      <c r="BO35" s="472">
        <v>0</v>
      </c>
      <c r="BP35" s="472">
        <v>0</v>
      </c>
      <c r="BQ35" s="472">
        <v>0</v>
      </c>
      <c r="BR35" s="470">
        <v>0</v>
      </c>
      <c r="BS35" s="472">
        <v>0</v>
      </c>
      <c r="BT35" s="470">
        <v>0</v>
      </c>
      <c r="BU35" s="472">
        <v>0</v>
      </c>
      <c r="BV35" s="470">
        <v>0</v>
      </c>
      <c r="BW35" s="472">
        <v>0</v>
      </c>
      <c r="BX35" s="472">
        <v>0</v>
      </c>
      <c r="BY35" s="472">
        <v>0</v>
      </c>
      <c r="BZ35" s="470">
        <v>0</v>
      </c>
      <c r="CA35" s="472">
        <v>0</v>
      </c>
      <c r="CB35" s="470">
        <v>0</v>
      </c>
      <c r="CC35" s="472">
        <v>0</v>
      </c>
      <c r="CD35" s="470">
        <v>0</v>
      </c>
      <c r="CE35" s="470">
        <f>CC35+CA35+BY35+BW35+BS35+BQ35+BO35+BM35+BK35+BI35+BG35+BU35</f>
        <v>22771039</v>
      </c>
      <c r="CF35" s="470">
        <f>BG35+BI35+BK35+BM35+BO35+BQ35+BS35+BU35+BW35+BY35+CA35+CC35</f>
        <v>22771039</v>
      </c>
      <c r="CG35" s="470">
        <f>BH35+BJ35+BL35+BN35+BP35+BR35+BT35+BV35+BX35+BZ35+CB35+CD35</f>
        <v>22771038</v>
      </c>
      <c r="CH35" s="470">
        <f>CE35</f>
        <v>22771039</v>
      </c>
      <c r="CI35" s="470">
        <f>CG35</f>
        <v>22771038</v>
      </c>
      <c r="CJ35" s="470">
        <v>500756051</v>
      </c>
      <c r="CK35" s="470">
        <v>181541404</v>
      </c>
      <c r="CL35" s="470">
        <v>181541404</v>
      </c>
      <c r="CM35" s="470">
        <v>31975300</v>
      </c>
      <c r="CN35" s="470">
        <v>31975300</v>
      </c>
      <c r="CO35" s="470">
        <v>15946455</v>
      </c>
      <c r="CP35" s="470">
        <v>15946455</v>
      </c>
      <c r="CQ35" s="470">
        <v>14124533</v>
      </c>
      <c r="CR35" s="470">
        <v>6738994</v>
      </c>
      <c r="CS35" s="470">
        <v>120449819</v>
      </c>
      <c r="CT35" s="473">
        <v>13827065</v>
      </c>
      <c r="CU35" s="470">
        <v>80299879</v>
      </c>
      <c r="CV35" s="470">
        <v>2720484</v>
      </c>
      <c r="CW35" s="470">
        <v>56418661</v>
      </c>
      <c r="CX35" s="470">
        <v>1242573</v>
      </c>
      <c r="CY35" s="470">
        <v>0</v>
      </c>
      <c r="CZ35" s="470">
        <v>269195</v>
      </c>
      <c r="DA35" s="470">
        <v>0</v>
      </c>
      <c r="DB35" s="470">
        <v>1855500</v>
      </c>
      <c r="DC35" s="470">
        <v>0</v>
      </c>
      <c r="DD35" s="470"/>
      <c r="DE35" s="470">
        <v>0</v>
      </c>
      <c r="DF35" s="470"/>
      <c r="DG35" s="470">
        <v>0</v>
      </c>
      <c r="DH35" s="470"/>
      <c r="DI35" s="471">
        <f>DG35+DE35+DC35+DA35+CW35+CU35+CS35+CQ35+CO35+CM35+CK35+CY35</f>
        <v>500756051</v>
      </c>
      <c r="DJ35" s="471">
        <f t="shared" si="40"/>
        <v>500756051</v>
      </c>
      <c r="DK35" s="471">
        <f t="shared" si="40"/>
        <v>256116970</v>
      </c>
      <c r="DL35" s="470">
        <f>DI35</f>
        <v>500756051</v>
      </c>
      <c r="DM35" s="470">
        <f>DK35</f>
        <v>256116970</v>
      </c>
      <c r="DN35" s="470">
        <v>0</v>
      </c>
      <c r="DO35" s="470">
        <v>0</v>
      </c>
      <c r="DP35" s="470">
        <v>0</v>
      </c>
      <c r="DQ35" s="470">
        <v>0</v>
      </c>
      <c r="DR35" s="470">
        <v>0</v>
      </c>
      <c r="DS35" s="470">
        <v>0</v>
      </c>
      <c r="DT35" s="470">
        <v>0</v>
      </c>
      <c r="DU35" s="470">
        <v>0</v>
      </c>
      <c r="DV35" s="470">
        <v>0</v>
      </c>
      <c r="DW35" s="470">
        <v>0</v>
      </c>
      <c r="DX35" s="470">
        <v>0</v>
      </c>
      <c r="DY35" s="470">
        <v>0</v>
      </c>
      <c r="DZ35" s="470">
        <v>0</v>
      </c>
      <c r="EA35" s="470">
        <v>0</v>
      </c>
      <c r="EB35" s="470">
        <v>0</v>
      </c>
      <c r="EC35" s="470">
        <v>0</v>
      </c>
      <c r="ED35" s="470">
        <v>0</v>
      </c>
      <c r="EE35" s="470">
        <v>0</v>
      </c>
      <c r="EF35" s="470">
        <v>0</v>
      </c>
      <c r="EG35" s="470">
        <v>0</v>
      </c>
      <c r="EH35" s="470">
        <v>0</v>
      </c>
      <c r="EI35" s="470">
        <v>0</v>
      </c>
      <c r="EJ35" s="470">
        <v>0</v>
      </c>
      <c r="EK35" s="470"/>
      <c r="EL35" s="470">
        <v>0</v>
      </c>
      <c r="EM35" s="470"/>
      <c r="EN35" s="470"/>
      <c r="EO35" s="470"/>
      <c r="EP35" s="470"/>
      <c r="EQ35" s="470">
        <v>0</v>
      </c>
      <c r="ER35" s="468">
        <f t="shared" si="5"/>
        <v>0</v>
      </c>
      <c r="ES35" s="469">
        <f t="shared" si="16"/>
        <v>0.51146055946511171</v>
      </c>
      <c r="ET35" s="468">
        <f>IFERROR(DM35/DL35,0)</f>
        <v>0.51146055946511171</v>
      </c>
      <c r="EU35" s="468">
        <f t="shared" si="18"/>
        <v>0.59141979553433488</v>
      </c>
      <c r="EV35" s="468">
        <f t="shared" si="19"/>
        <v>0.59141979652208554</v>
      </c>
      <c r="EW35" s="734"/>
      <c r="EX35" s="734"/>
      <c r="EY35" s="734"/>
      <c r="EZ35" s="734"/>
      <c r="FA35" s="734"/>
    </row>
    <row r="36" spans="1:157" ht="41.25" customHeight="1" thickBot="1" x14ac:dyDescent="0.3">
      <c r="A36" s="749"/>
      <c r="B36" s="756"/>
      <c r="C36" s="752"/>
      <c r="D36" s="752"/>
      <c r="E36" s="752"/>
      <c r="F36" s="321" t="s">
        <v>106</v>
      </c>
      <c r="G36" s="480">
        <f>G31+G34</f>
        <v>3.9999999999999996</v>
      </c>
      <c r="H36" s="482">
        <f>+H31</f>
        <v>0.27</v>
      </c>
      <c r="I36" s="482">
        <f>+I31</f>
        <v>0.27</v>
      </c>
      <c r="J36" s="481">
        <f>J31+J34</f>
        <v>0</v>
      </c>
      <c r="K36" s="482">
        <f>+K31</f>
        <v>0.27</v>
      </c>
      <c r="L36" s="481">
        <f>L31+L34</f>
        <v>0</v>
      </c>
      <c r="M36" s="482">
        <f>+M31</f>
        <v>0.27</v>
      </c>
      <c r="N36" s="482">
        <f>N31+N34</f>
        <v>0.02</v>
      </c>
      <c r="O36" s="482">
        <f>+O31</f>
        <v>0.27</v>
      </c>
      <c r="P36" s="482">
        <f>+P31</f>
        <v>7.0000000000000007E-2</v>
      </c>
      <c r="Q36" s="482">
        <f>+Q31</f>
        <v>0.27</v>
      </c>
      <c r="R36" s="482">
        <f>+R31</f>
        <v>0.14000000000000001</v>
      </c>
      <c r="S36" s="482">
        <f>+S31</f>
        <v>0.27</v>
      </c>
      <c r="T36" s="482">
        <f>T31+T34</f>
        <v>0.2</v>
      </c>
      <c r="U36" s="482">
        <v>0.27</v>
      </c>
      <c r="V36" s="482">
        <v>0.26</v>
      </c>
      <c r="W36" s="481"/>
      <c r="X36" s="481"/>
      <c r="Y36" s="481"/>
      <c r="Z36" s="480">
        <v>0.27</v>
      </c>
      <c r="AA36" s="480">
        <v>0.26</v>
      </c>
      <c r="AB36" s="482">
        <f t="shared" ref="AB36:CT36" si="41">AB31+AB34</f>
        <v>0.74</v>
      </c>
      <c r="AC36" s="482">
        <f t="shared" si="41"/>
        <v>0.05</v>
      </c>
      <c r="AD36" s="482">
        <f t="shared" si="41"/>
        <v>0.05</v>
      </c>
      <c r="AE36" s="482">
        <f t="shared" si="41"/>
        <v>0.05</v>
      </c>
      <c r="AF36" s="482">
        <f t="shared" si="41"/>
        <v>0.05</v>
      </c>
      <c r="AG36" s="482">
        <f t="shared" si="41"/>
        <v>0.04</v>
      </c>
      <c r="AH36" s="482">
        <f t="shared" si="41"/>
        <v>0.04</v>
      </c>
      <c r="AI36" s="482">
        <f t="shared" si="41"/>
        <v>0.06</v>
      </c>
      <c r="AJ36" s="482">
        <f t="shared" si="41"/>
        <v>0.06</v>
      </c>
      <c r="AK36" s="482">
        <f t="shared" si="41"/>
        <v>6.9999999999999993E-2</v>
      </c>
      <c r="AL36" s="482">
        <f t="shared" si="41"/>
        <v>6.9999999999999993E-2</v>
      </c>
      <c r="AM36" s="482">
        <f t="shared" si="41"/>
        <v>0.06</v>
      </c>
      <c r="AN36" s="482">
        <f t="shared" si="41"/>
        <v>0.06</v>
      </c>
      <c r="AO36" s="482">
        <f t="shared" si="41"/>
        <v>0.06</v>
      </c>
      <c r="AP36" s="482">
        <f t="shared" si="41"/>
        <v>0.06</v>
      </c>
      <c r="AQ36" s="482">
        <f t="shared" si="41"/>
        <v>7.0000000000000007E-2</v>
      </c>
      <c r="AR36" s="482">
        <f t="shared" si="41"/>
        <v>7.0000000000000007E-2</v>
      </c>
      <c r="AS36" s="482">
        <f t="shared" si="41"/>
        <v>7.0000000000000007E-2</v>
      </c>
      <c r="AT36" s="482">
        <f t="shared" si="41"/>
        <v>7.0000000000000007E-2</v>
      </c>
      <c r="AU36" s="482">
        <f t="shared" si="41"/>
        <v>7.0000000000000007E-2</v>
      </c>
      <c r="AV36" s="482">
        <f t="shared" si="41"/>
        <v>7.0000000000000007E-2</v>
      </c>
      <c r="AW36" s="482">
        <f t="shared" si="41"/>
        <v>7.0000000000000007E-2</v>
      </c>
      <c r="AX36" s="482">
        <f t="shared" si="41"/>
        <v>7.0000000000000007E-2</v>
      </c>
      <c r="AY36" s="482">
        <f t="shared" si="41"/>
        <v>7.0000000000000007E-2</v>
      </c>
      <c r="AZ36" s="482">
        <f t="shared" si="41"/>
        <v>7.0000000000000007E-2</v>
      </c>
      <c r="BA36" s="482">
        <f t="shared" si="41"/>
        <v>0.74000000000000021</v>
      </c>
      <c r="BB36" s="482">
        <f t="shared" si="41"/>
        <v>0.74000000000000021</v>
      </c>
      <c r="BC36" s="482">
        <f t="shared" si="41"/>
        <v>0.74000000000000021</v>
      </c>
      <c r="BD36" s="480">
        <f t="shared" si="41"/>
        <v>0.74000000000000021</v>
      </c>
      <c r="BE36" s="480">
        <f t="shared" si="41"/>
        <v>0.74000000000000021</v>
      </c>
      <c r="BF36" s="480">
        <f t="shared" si="41"/>
        <v>1</v>
      </c>
      <c r="BG36" s="480">
        <f t="shared" si="41"/>
        <v>0</v>
      </c>
      <c r="BH36" s="480">
        <f t="shared" si="41"/>
        <v>0</v>
      </c>
      <c r="BI36" s="480">
        <f t="shared" si="41"/>
        <v>0.09</v>
      </c>
      <c r="BJ36" s="480">
        <f t="shared" si="41"/>
        <v>0.09</v>
      </c>
      <c r="BK36" s="480">
        <f t="shared" si="41"/>
        <v>0.09</v>
      </c>
      <c r="BL36" s="480">
        <f t="shared" si="41"/>
        <v>0.09</v>
      </c>
      <c r="BM36" s="480">
        <f t="shared" si="41"/>
        <v>0.09</v>
      </c>
      <c r="BN36" s="480">
        <f t="shared" si="41"/>
        <v>0.09</v>
      </c>
      <c r="BO36" s="480">
        <f t="shared" si="41"/>
        <v>0.09</v>
      </c>
      <c r="BP36" s="480">
        <f t="shared" si="41"/>
        <v>0.09</v>
      </c>
      <c r="BQ36" s="480">
        <f t="shared" si="41"/>
        <v>0.09</v>
      </c>
      <c r="BR36" s="480">
        <f t="shared" si="41"/>
        <v>0.09</v>
      </c>
      <c r="BS36" s="480">
        <f t="shared" si="41"/>
        <v>0.09</v>
      </c>
      <c r="BT36" s="480">
        <f t="shared" si="41"/>
        <v>0.09</v>
      </c>
      <c r="BU36" s="480">
        <f t="shared" si="41"/>
        <v>0.09</v>
      </c>
      <c r="BV36" s="480">
        <f t="shared" si="41"/>
        <v>0.09</v>
      </c>
      <c r="BW36" s="480">
        <f t="shared" si="41"/>
        <v>0.09</v>
      </c>
      <c r="BX36" s="480">
        <f t="shared" si="41"/>
        <v>0.09</v>
      </c>
      <c r="BY36" s="480">
        <f t="shared" si="41"/>
        <v>0.09</v>
      </c>
      <c r="BZ36" s="480">
        <f t="shared" si="41"/>
        <v>0.09</v>
      </c>
      <c r="CA36" s="480">
        <f t="shared" si="41"/>
        <v>0.09</v>
      </c>
      <c r="CB36" s="480">
        <f t="shared" si="41"/>
        <v>0.09</v>
      </c>
      <c r="CC36" s="480">
        <f t="shared" si="41"/>
        <v>0.1</v>
      </c>
      <c r="CD36" s="480">
        <f t="shared" si="41"/>
        <v>0.1</v>
      </c>
      <c r="CE36" s="480">
        <f t="shared" si="41"/>
        <v>0.99999999999999978</v>
      </c>
      <c r="CF36" s="480">
        <f t="shared" si="41"/>
        <v>0.99999999999999978</v>
      </c>
      <c r="CG36" s="480">
        <f t="shared" si="41"/>
        <v>0.99999999999999978</v>
      </c>
      <c r="CH36" s="480">
        <f t="shared" si="41"/>
        <v>0.99999999999999978</v>
      </c>
      <c r="CI36" s="480">
        <f t="shared" si="41"/>
        <v>0.99999999999999978</v>
      </c>
      <c r="CJ36" s="480">
        <f t="shared" si="41"/>
        <v>1</v>
      </c>
      <c r="CK36" s="482">
        <f t="shared" si="41"/>
        <v>0</v>
      </c>
      <c r="CL36" s="482">
        <f t="shared" si="41"/>
        <v>0</v>
      </c>
      <c r="CM36" s="482">
        <f t="shared" si="41"/>
        <v>0.09</v>
      </c>
      <c r="CN36" s="482">
        <f t="shared" si="41"/>
        <v>0.09</v>
      </c>
      <c r="CO36" s="482">
        <f t="shared" si="41"/>
        <v>0.09</v>
      </c>
      <c r="CP36" s="482">
        <f t="shared" si="41"/>
        <v>0.09</v>
      </c>
      <c r="CQ36" s="482">
        <f t="shared" si="41"/>
        <v>0.09</v>
      </c>
      <c r="CR36" s="482">
        <f t="shared" si="41"/>
        <v>0.09</v>
      </c>
      <c r="CS36" s="482">
        <f t="shared" si="41"/>
        <v>0.09</v>
      </c>
      <c r="CT36" s="485">
        <f t="shared" si="41"/>
        <v>0.09</v>
      </c>
      <c r="CU36" s="482">
        <f>CU31+CU34</f>
        <v>0.09</v>
      </c>
      <c r="CV36" s="482">
        <f>CV31+CV34</f>
        <v>0.09</v>
      </c>
      <c r="CW36" s="482">
        <f t="shared" ref="CW36:DM36" si="42">CW31+CW34</f>
        <v>0.09</v>
      </c>
      <c r="CX36" s="482">
        <f>CX31+CX34</f>
        <v>0.09</v>
      </c>
      <c r="CY36" s="482">
        <f t="shared" si="42"/>
        <v>0.09</v>
      </c>
      <c r="CZ36" s="482">
        <f>CZ31+CZ34</f>
        <v>0.09</v>
      </c>
      <c r="DA36" s="482">
        <f>DA31+DA34</f>
        <v>0.09</v>
      </c>
      <c r="DB36" s="482">
        <f>DB31+DB34</f>
        <v>0.09</v>
      </c>
      <c r="DC36" s="482">
        <f t="shared" si="42"/>
        <v>0.09</v>
      </c>
      <c r="DD36" s="482">
        <f t="shared" si="42"/>
        <v>0</v>
      </c>
      <c r="DE36" s="482">
        <f t="shared" si="42"/>
        <v>0.09</v>
      </c>
      <c r="DF36" s="482">
        <f t="shared" si="42"/>
        <v>0</v>
      </c>
      <c r="DG36" s="482">
        <f t="shared" si="42"/>
        <v>0.1</v>
      </c>
      <c r="DH36" s="482">
        <f t="shared" si="42"/>
        <v>0</v>
      </c>
      <c r="DI36" s="482">
        <f t="shared" si="42"/>
        <v>0.99999999999999978</v>
      </c>
      <c r="DJ36" s="480">
        <f t="shared" si="40"/>
        <v>0.71999999999999986</v>
      </c>
      <c r="DK36" s="480">
        <f t="shared" si="40"/>
        <v>0.71999999999999986</v>
      </c>
      <c r="DL36" s="482">
        <f t="shared" si="42"/>
        <v>0.99999999999999978</v>
      </c>
      <c r="DM36" s="482">
        <f t="shared" si="42"/>
        <v>0.71999999999999986</v>
      </c>
      <c r="DN36" s="480">
        <f>DN31+DN34</f>
        <v>1</v>
      </c>
      <c r="DO36" s="482"/>
      <c r="DP36" s="482"/>
      <c r="DQ36" s="482"/>
      <c r="DR36" s="482"/>
      <c r="DS36" s="482"/>
      <c r="DT36" s="482"/>
      <c r="DU36" s="482"/>
      <c r="DV36" s="482"/>
      <c r="DW36" s="482"/>
      <c r="DX36" s="482"/>
      <c r="DY36" s="482"/>
      <c r="DZ36" s="482"/>
      <c r="EA36" s="482"/>
      <c r="EB36" s="482"/>
      <c r="EC36" s="482"/>
      <c r="ED36" s="482"/>
      <c r="EE36" s="482"/>
      <c r="EF36" s="482"/>
      <c r="EG36" s="482"/>
      <c r="EH36" s="482"/>
      <c r="EI36" s="482"/>
      <c r="EJ36" s="482"/>
      <c r="EK36" s="482"/>
      <c r="EL36" s="482"/>
      <c r="EM36" s="482"/>
      <c r="EN36" s="482"/>
      <c r="EO36" s="482"/>
      <c r="EP36" s="482"/>
      <c r="EQ36" s="482"/>
      <c r="ER36" s="486">
        <f t="shared" si="5"/>
        <v>1</v>
      </c>
      <c r="ES36" s="487">
        <f t="shared" si="16"/>
        <v>1</v>
      </c>
      <c r="ET36" s="486">
        <f t="shared" si="17"/>
        <v>0.72</v>
      </c>
      <c r="EU36" s="486">
        <f t="shared" si="18"/>
        <v>0.99633699633699646</v>
      </c>
      <c r="EV36" s="486">
        <f t="shared" si="19"/>
        <v>0.68</v>
      </c>
      <c r="EW36" s="734"/>
      <c r="EX36" s="734"/>
      <c r="EY36" s="734"/>
      <c r="EZ36" s="734"/>
      <c r="FA36" s="734"/>
    </row>
    <row r="37" spans="1:157" ht="41.25" customHeight="1" thickBot="1" x14ac:dyDescent="0.3">
      <c r="A37" s="750"/>
      <c r="B37" s="757"/>
      <c r="C37" s="753"/>
      <c r="D37" s="753"/>
      <c r="E37" s="753"/>
      <c r="F37" s="322" t="s">
        <v>107</v>
      </c>
      <c r="G37" s="488">
        <f>+G32+G35</f>
        <v>3204993378</v>
      </c>
      <c r="H37" s="489">
        <f t="shared" ref="H37:T37" si="43">+H32</f>
        <v>201000000</v>
      </c>
      <c r="I37" s="489">
        <f t="shared" si="43"/>
        <v>201000000</v>
      </c>
      <c r="J37" s="489">
        <f t="shared" si="43"/>
        <v>0</v>
      </c>
      <c r="K37" s="489">
        <f t="shared" si="43"/>
        <v>201000000</v>
      </c>
      <c r="L37" s="489">
        <f t="shared" si="43"/>
        <v>0</v>
      </c>
      <c r="M37" s="489">
        <f t="shared" si="43"/>
        <v>201000000</v>
      </c>
      <c r="N37" s="489">
        <f t="shared" si="43"/>
        <v>71564000</v>
      </c>
      <c r="O37" s="489">
        <f t="shared" si="43"/>
        <v>201000000</v>
      </c>
      <c r="P37" s="489">
        <f t="shared" si="43"/>
        <v>143476093</v>
      </c>
      <c r="Q37" s="489">
        <f t="shared" si="43"/>
        <v>201000000</v>
      </c>
      <c r="R37" s="489">
        <f t="shared" si="43"/>
        <v>143476093</v>
      </c>
      <c r="S37" s="489">
        <f t="shared" si="43"/>
        <v>201000000</v>
      </c>
      <c r="T37" s="489">
        <f t="shared" si="43"/>
        <v>76021593</v>
      </c>
      <c r="U37" s="489">
        <v>144912593</v>
      </c>
      <c r="V37" s="489">
        <v>143476093</v>
      </c>
      <c r="W37" s="489"/>
      <c r="X37" s="489"/>
      <c r="Y37" s="489"/>
      <c r="Z37" s="489">
        <v>144912593</v>
      </c>
      <c r="AA37" s="532">
        <v>143476093</v>
      </c>
      <c r="AB37" s="489">
        <f t="shared" ref="AB37:DN37" si="44">AB32+AB35</f>
        <v>341001033</v>
      </c>
      <c r="AC37" s="489">
        <f t="shared" si="44"/>
        <v>0</v>
      </c>
      <c r="AD37" s="489">
        <f t="shared" si="44"/>
        <v>0</v>
      </c>
      <c r="AE37" s="489">
        <f t="shared" si="44"/>
        <v>27209750</v>
      </c>
      <c r="AF37" s="489">
        <f t="shared" si="44"/>
        <v>27209750</v>
      </c>
      <c r="AG37" s="489">
        <f t="shared" si="44"/>
        <v>147260833</v>
      </c>
      <c r="AH37" s="489">
        <f t="shared" si="44"/>
        <v>147260833</v>
      </c>
      <c r="AI37" s="489">
        <f t="shared" si="44"/>
        <v>56286000</v>
      </c>
      <c r="AJ37" s="489">
        <f t="shared" si="44"/>
        <v>56286000</v>
      </c>
      <c r="AK37" s="489">
        <f t="shared" si="44"/>
        <v>29738100</v>
      </c>
      <c r="AL37" s="489">
        <f t="shared" si="44"/>
        <v>29738100</v>
      </c>
      <c r="AM37" s="489">
        <f t="shared" si="44"/>
        <v>21161117</v>
      </c>
      <c r="AN37" s="489">
        <f t="shared" si="44"/>
        <v>10500000</v>
      </c>
      <c r="AO37" s="489">
        <f t="shared" si="44"/>
        <v>0</v>
      </c>
      <c r="AP37" s="489">
        <f t="shared" si="44"/>
        <v>0</v>
      </c>
      <c r="AQ37" s="489">
        <f t="shared" si="44"/>
        <v>0</v>
      </c>
      <c r="AR37" s="489">
        <f t="shared" si="44"/>
        <v>4956350</v>
      </c>
      <c r="AS37" s="489">
        <f t="shared" si="44"/>
        <v>0</v>
      </c>
      <c r="AT37" s="489">
        <f t="shared" si="44"/>
        <v>0</v>
      </c>
      <c r="AU37" s="489">
        <f t="shared" si="44"/>
        <v>0</v>
      </c>
      <c r="AV37" s="489">
        <f t="shared" si="44"/>
        <v>0</v>
      </c>
      <c r="AW37" s="489">
        <f t="shared" si="44"/>
        <v>0</v>
      </c>
      <c r="AX37" s="489">
        <f t="shared" si="44"/>
        <v>0</v>
      </c>
      <c r="AY37" s="489">
        <f t="shared" si="44"/>
        <v>0</v>
      </c>
      <c r="AZ37" s="489">
        <f t="shared" si="44"/>
        <v>5704767</v>
      </c>
      <c r="BA37" s="489">
        <f t="shared" si="44"/>
        <v>281655800</v>
      </c>
      <c r="BB37" s="489">
        <f t="shared" si="44"/>
        <v>281655800</v>
      </c>
      <c r="BC37" s="489">
        <f t="shared" si="44"/>
        <v>281655800</v>
      </c>
      <c r="BD37" s="489">
        <f t="shared" si="44"/>
        <v>281655800</v>
      </c>
      <c r="BE37" s="489">
        <f t="shared" si="44"/>
        <v>281655800</v>
      </c>
      <c r="BF37" s="489">
        <f t="shared" si="44"/>
        <v>433141439</v>
      </c>
      <c r="BG37" s="489">
        <f t="shared" si="44"/>
        <v>388628767</v>
      </c>
      <c r="BH37" s="489">
        <f t="shared" si="44"/>
        <v>388628767</v>
      </c>
      <c r="BI37" s="489">
        <f t="shared" si="44"/>
        <v>6187272</v>
      </c>
      <c r="BJ37" s="489">
        <f t="shared" si="44"/>
        <v>0</v>
      </c>
      <c r="BK37" s="489">
        <f t="shared" si="44"/>
        <v>0</v>
      </c>
      <c r="BL37" s="489">
        <f t="shared" si="44"/>
        <v>6187271</v>
      </c>
      <c r="BM37" s="489">
        <f t="shared" si="44"/>
        <v>0</v>
      </c>
      <c r="BN37" s="489">
        <f t="shared" si="44"/>
        <v>0</v>
      </c>
      <c r="BO37" s="489">
        <f t="shared" si="44"/>
        <v>0</v>
      </c>
      <c r="BP37" s="489">
        <f t="shared" si="44"/>
        <v>0</v>
      </c>
      <c r="BQ37" s="489">
        <f t="shared" si="44"/>
        <v>13336921</v>
      </c>
      <c r="BR37" s="489">
        <f t="shared" si="44"/>
        <v>20000000</v>
      </c>
      <c r="BS37" s="489">
        <f t="shared" si="44"/>
        <v>5000000</v>
      </c>
      <c r="BT37" s="489">
        <f t="shared" si="44"/>
        <v>0</v>
      </c>
      <c r="BU37" s="489">
        <f t="shared" si="44"/>
        <v>0</v>
      </c>
      <c r="BV37" s="489">
        <f t="shared" si="44"/>
        <v>0</v>
      </c>
      <c r="BW37" s="489">
        <f t="shared" si="44"/>
        <v>0</v>
      </c>
      <c r="BX37" s="489">
        <f t="shared" si="44"/>
        <v>0</v>
      </c>
      <c r="BY37" s="489">
        <f t="shared" si="44"/>
        <v>59778100</v>
      </c>
      <c r="BZ37" s="489">
        <f t="shared" si="44"/>
        <v>58929000</v>
      </c>
      <c r="CA37" s="489">
        <f t="shared" si="44"/>
        <v>262867000</v>
      </c>
      <c r="CB37" s="489">
        <f t="shared" si="44"/>
        <v>22617000</v>
      </c>
      <c r="CC37" s="489">
        <f t="shared" si="44"/>
        <v>188317115</v>
      </c>
      <c r="CD37" s="489">
        <f t="shared" si="44"/>
        <v>409818396</v>
      </c>
      <c r="CE37" s="489">
        <f t="shared" si="44"/>
        <v>924115175</v>
      </c>
      <c r="CF37" s="489">
        <f t="shared" si="44"/>
        <v>924115175</v>
      </c>
      <c r="CG37" s="489">
        <f t="shared" si="44"/>
        <v>906180434</v>
      </c>
      <c r="CH37" s="489">
        <f t="shared" si="44"/>
        <v>924115175</v>
      </c>
      <c r="CI37" s="489">
        <f t="shared" si="44"/>
        <v>906180434</v>
      </c>
      <c r="CJ37" s="489">
        <f t="shared" si="44"/>
        <v>1208839051</v>
      </c>
      <c r="CK37" s="489">
        <f t="shared" si="44"/>
        <v>204222404</v>
      </c>
      <c r="CL37" s="489">
        <f t="shared" si="44"/>
        <v>204222404</v>
      </c>
      <c r="CM37" s="489">
        <f t="shared" si="44"/>
        <v>324795300</v>
      </c>
      <c r="CN37" s="489">
        <f t="shared" si="44"/>
        <v>324795300</v>
      </c>
      <c r="CO37" s="489">
        <f t="shared" si="44"/>
        <v>255519455</v>
      </c>
      <c r="CP37" s="489">
        <f t="shared" si="44"/>
        <v>255519455</v>
      </c>
      <c r="CQ37" s="489">
        <f t="shared" si="44"/>
        <v>14124533</v>
      </c>
      <c r="CR37" s="489">
        <f t="shared" si="44"/>
        <v>46419994</v>
      </c>
      <c r="CS37" s="489">
        <f t="shared" si="44"/>
        <v>122949819</v>
      </c>
      <c r="CT37" s="490">
        <f t="shared" si="44"/>
        <v>13827065</v>
      </c>
      <c r="CU37" s="489">
        <f t="shared" si="44"/>
        <v>80299879</v>
      </c>
      <c r="CV37" s="489">
        <f>CV32+CV35</f>
        <v>2720484</v>
      </c>
      <c r="CW37" s="489">
        <f t="shared" si="44"/>
        <v>206927661</v>
      </c>
      <c r="CX37" s="489">
        <f>CX32+CX35</f>
        <v>1242573</v>
      </c>
      <c r="CY37" s="489">
        <f>CY32+CY35</f>
        <v>0</v>
      </c>
      <c r="CZ37" s="489">
        <f>CZ32+CZ35</f>
        <v>269195</v>
      </c>
      <c r="DA37" s="489">
        <f t="shared" si="44"/>
        <v>-80158000</v>
      </c>
      <c r="DB37" s="489">
        <f>DB32+DB35</f>
        <v>1855500</v>
      </c>
      <c r="DC37" s="489">
        <f t="shared" si="44"/>
        <v>0</v>
      </c>
      <c r="DD37" s="489"/>
      <c r="DE37" s="489">
        <f t="shared" si="44"/>
        <v>0</v>
      </c>
      <c r="DF37" s="489"/>
      <c r="DG37" s="489">
        <f t="shared" si="44"/>
        <v>0</v>
      </c>
      <c r="DH37" s="489"/>
      <c r="DI37" s="489">
        <f>DI32+DI35</f>
        <v>1128681051</v>
      </c>
      <c r="DJ37" s="489">
        <f t="shared" si="44"/>
        <v>1128681051</v>
      </c>
      <c r="DK37" s="489">
        <f t="shared" si="44"/>
        <v>850871970</v>
      </c>
      <c r="DL37" s="489">
        <f t="shared" si="44"/>
        <v>1128681051</v>
      </c>
      <c r="DM37" s="489">
        <f t="shared" si="44"/>
        <v>850871970</v>
      </c>
      <c r="DN37" s="489">
        <f t="shared" si="44"/>
        <v>745000000</v>
      </c>
      <c r="DO37" s="534"/>
      <c r="DP37" s="534"/>
      <c r="DQ37" s="534"/>
      <c r="DR37" s="534"/>
      <c r="DS37" s="534"/>
      <c r="DT37" s="534"/>
      <c r="DU37" s="534"/>
      <c r="DV37" s="534"/>
      <c r="DW37" s="534"/>
      <c r="DX37" s="534"/>
      <c r="DY37" s="534"/>
      <c r="DZ37" s="534"/>
      <c r="EA37" s="534"/>
      <c r="EB37" s="534"/>
      <c r="EC37" s="534"/>
      <c r="ED37" s="534"/>
      <c r="EE37" s="534"/>
      <c r="EF37" s="534"/>
      <c r="EG37" s="534"/>
      <c r="EH37" s="534"/>
      <c r="EI37" s="534"/>
      <c r="EJ37" s="534"/>
      <c r="EK37" s="534"/>
      <c r="EL37" s="534"/>
      <c r="EM37" s="534"/>
      <c r="EN37" s="534"/>
      <c r="EO37" s="534"/>
      <c r="EP37" s="534"/>
      <c r="EQ37" s="534"/>
      <c r="ER37" s="491">
        <f>IFERROR(DB37/DA37,0)</f>
        <v>-2.31480326355448E-2</v>
      </c>
      <c r="ES37" s="492">
        <f>DK37/DJ37</f>
        <v>0.75386396293810021</v>
      </c>
      <c r="ET37" s="491">
        <f>DM37/DL37</f>
        <v>0.75386396293810021</v>
      </c>
      <c r="EU37" s="491">
        <f>(AA37+BE37+CI37+DK37)/(Z37+BD37+CH37+DJ37)</f>
        <v>0.88013851624620609</v>
      </c>
      <c r="EV37" s="493">
        <f>(AA37+BE37+CI37+DM37)/G37</f>
        <v>0.68087014219097708</v>
      </c>
      <c r="EW37" s="786"/>
      <c r="EX37" s="734"/>
      <c r="EY37" s="734"/>
      <c r="EZ37" s="734"/>
      <c r="FA37" s="734"/>
    </row>
    <row r="38" spans="1:157" ht="33" customHeight="1" x14ac:dyDescent="0.25">
      <c r="A38" s="730" t="s">
        <v>110</v>
      </c>
      <c r="B38" s="702"/>
      <c r="C38" s="702"/>
      <c r="D38" s="702"/>
      <c r="E38" s="731"/>
      <c r="F38" s="323" t="s">
        <v>111</v>
      </c>
      <c r="G38" s="535">
        <f>G11+G18+G25+G32</f>
        <v>99819451552</v>
      </c>
      <c r="H38" s="536">
        <f t="shared" ref="H38:BS38" si="45">H11+H18+H25+H32</f>
        <v>3919274028</v>
      </c>
      <c r="I38" s="536">
        <f t="shared" si="45"/>
        <v>3919274028</v>
      </c>
      <c r="J38" s="536">
        <f t="shared" si="45"/>
        <v>15250000</v>
      </c>
      <c r="K38" s="536">
        <f t="shared" si="45"/>
        <v>3919274028</v>
      </c>
      <c r="L38" s="536">
        <f t="shared" si="45"/>
        <v>15250000</v>
      </c>
      <c r="M38" s="536">
        <f t="shared" si="45"/>
        <v>3919274028</v>
      </c>
      <c r="N38" s="536">
        <f t="shared" si="45"/>
        <v>741070000</v>
      </c>
      <c r="O38" s="536">
        <f t="shared" si="45"/>
        <v>3919274028</v>
      </c>
      <c r="P38" s="536">
        <f t="shared" si="45"/>
        <v>858602440</v>
      </c>
      <c r="Q38" s="536">
        <f t="shared" si="45"/>
        <v>3919274028</v>
      </c>
      <c r="R38" s="536">
        <f t="shared" si="45"/>
        <v>865381195</v>
      </c>
      <c r="S38" s="536">
        <f t="shared" si="45"/>
        <v>3919274028</v>
      </c>
      <c r="T38" s="536" t="e">
        <f t="shared" si="45"/>
        <v>#REF!</v>
      </c>
      <c r="U38" s="536">
        <f t="shared" si="45"/>
        <v>3537127981</v>
      </c>
      <c r="V38" s="536">
        <f t="shared" si="45"/>
        <v>2277977002</v>
      </c>
      <c r="W38" s="536">
        <f t="shared" si="45"/>
        <v>0</v>
      </c>
      <c r="X38" s="536">
        <f t="shared" si="45"/>
        <v>0</v>
      </c>
      <c r="Y38" s="536">
        <f t="shared" si="45"/>
        <v>0</v>
      </c>
      <c r="Z38" s="536">
        <f t="shared" si="45"/>
        <v>3537127981</v>
      </c>
      <c r="AA38" s="536">
        <f t="shared" si="45"/>
        <v>2277977002</v>
      </c>
      <c r="AB38" s="536">
        <f t="shared" si="45"/>
        <v>25357104000</v>
      </c>
      <c r="AC38" s="536">
        <f t="shared" si="45"/>
        <v>0</v>
      </c>
      <c r="AD38" s="536">
        <f t="shared" si="45"/>
        <v>0</v>
      </c>
      <c r="AE38" s="536">
        <f t="shared" si="45"/>
        <v>263020000</v>
      </c>
      <c r="AF38" s="536">
        <f t="shared" si="45"/>
        <v>263020000</v>
      </c>
      <c r="AG38" s="536">
        <f t="shared" si="45"/>
        <v>981618000</v>
      </c>
      <c r="AH38" s="536">
        <f t="shared" si="45"/>
        <v>981618000</v>
      </c>
      <c r="AI38" s="536">
        <f t="shared" si="45"/>
        <v>558870996</v>
      </c>
      <c r="AJ38" s="536">
        <f t="shared" si="45"/>
        <v>558870996</v>
      </c>
      <c r="AK38" s="536">
        <f t="shared" si="45"/>
        <v>1446878</v>
      </c>
      <c r="AL38" s="536">
        <f t="shared" si="45"/>
        <v>1446878</v>
      </c>
      <c r="AM38" s="536">
        <f t="shared" si="45"/>
        <v>193964682</v>
      </c>
      <c r="AN38" s="536">
        <f t="shared" si="45"/>
        <v>432433597</v>
      </c>
      <c r="AO38" s="536">
        <f t="shared" si="45"/>
        <v>1038823000</v>
      </c>
      <c r="AP38" s="536">
        <f t="shared" si="45"/>
        <v>0</v>
      </c>
      <c r="AQ38" s="536">
        <f t="shared" si="45"/>
        <v>223940000</v>
      </c>
      <c r="AR38" s="536">
        <f t="shared" si="45"/>
        <v>0</v>
      </c>
      <c r="AS38" s="536">
        <f t="shared" si="45"/>
        <v>713082613</v>
      </c>
      <c r="AT38" s="536">
        <f t="shared" si="45"/>
        <v>25089500</v>
      </c>
      <c r="AU38" s="536">
        <f t="shared" si="45"/>
        <v>13825859942</v>
      </c>
      <c r="AV38" s="536">
        <f t="shared" si="45"/>
        <v>3654225862</v>
      </c>
      <c r="AW38" s="536">
        <f t="shared" si="45"/>
        <v>502548000</v>
      </c>
      <c r="AX38" s="536">
        <f t="shared" si="45"/>
        <v>3599999814</v>
      </c>
      <c r="AY38" s="536">
        <f t="shared" si="45"/>
        <v>3192759847</v>
      </c>
      <c r="AZ38" s="536">
        <f t="shared" si="45"/>
        <v>5376443502</v>
      </c>
      <c r="BA38" s="536">
        <f t="shared" si="45"/>
        <v>21495933958</v>
      </c>
      <c r="BB38" s="536">
        <f t="shared" si="45"/>
        <v>21495933958</v>
      </c>
      <c r="BC38" s="536">
        <f t="shared" si="45"/>
        <v>14893148149</v>
      </c>
      <c r="BD38" s="536">
        <f t="shared" si="45"/>
        <v>21495933958</v>
      </c>
      <c r="BE38" s="536">
        <f t="shared" si="45"/>
        <v>14893148149</v>
      </c>
      <c r="BF38" s="536">
        <f t="shared" si="45"/>
        <v>26671425000</v>
      </c>
      <c r="BG38" s="536">
        <f t="shared" si="45"/>
        <v>3363224000</v>
      </c>
      <c r="BH38" s="536">
        <f t="shared" si="45"/>
        <v>3363224000</v>
      </c>
      <c r="BI38" s="536">
        <f t="shared" si="45"/>
        <v>0</v>
      </c>
      <c r="BJ38" s="536">
        <f t="shared" si="45"/>
        <v>0</v>
      </c>
      <c r="BK38" s="536">
        <f t="shared" si="45"/>
        <v>421048371</v>
      </c>
      <c r="BL38" s="536">
        <f t="shared" si="45"/>
        <v>0</v>
      </c>
      <c r="BM38" s="536">
        <f t="shared" si="45"/>
        <v>374611602</v>
      </c>
      <c r="BN38" s="536">
        <f t="shared" si="45"/>
        <v>570260589</v>
      </c>
      <c r="BO38" s="536">
        <f t="shared" si="45"/>
        <v>17139000</v>
      </c>
      <c r="BP38" s="536">
        <f t="shared" si="45"/>
        <v>63054700</v>
      </c>
      <c r="BQ38" s="536">
        <f t="shared" si="45"/>
        <v>13336921</v>
      </c>
      <c r="BR38" s="536">
        <f t="shared" si="45"/>
        <v>50000000</v>
      </c>
      <c r="BS38" s="536">
        <f t="shared" si="45"/>
        <v>476808000</v>
      </c>
      <c r="BT38" s="536">
        <f t="shared" ref="BT38:DN38" si="46">BT11+BT18+BT25+BT32</f>
        <v>60378633</v>
      </c>
      <c r="BU38" s="536">
        <f t="shared" si="46"/>
        <v>0</v>
      </c>
      <c r="BV38" s="536">
        <f t="shared" si="46"/>
        <v>20114014</v>
      </c>
      <c r="BW38" s="536">
        <f t="shared" si="46"/>
        <v>8103849000</v>
      </c>
      <c r="BX38" s="536">
        <f t="shared" si="46"/>
        <v>16029937</v>
      </c>
      <c r="BY38" s="536">
        <f t="shared" si="46"/>
        <v>13780127100</v>
      </c>
      <c r="BZ38" s="536">
        <f t="shared" si="46"/>
        <v>58929000</v>
      </c>
      <c r="CA38" s="536">
        <f t="shared" si="46"/>
        <v>375164054</v>
      </c>
      <c r="CB38" s="536">
        <f t="shared" si="46"/>
        <v>5916852433</v>
      </c>
      <c r="CC38" s="536">
        <f t="shared" si="46"/>
        <v>704004839</v>
      </c>
      <c r="CD38" s="536">
        <f t="shared" si="46"/>
        <v>16958336110</v>
      </c>
      <c r="CE38" s="536">
        <f t="shared" si="46"/>
        <v>27629312887</v>
      </c>
      <c r="CF38" s="536">
        <f t="shared" si="46"/>
        <v>27629312887</v>
      </c>
      <c r="CG38" s="536">
        <f t="shared" si="46"/>
        <v>27077179416</v>
      </c>
      <c r="CH38" s="536">
        <f t="shared" si="46"/>
        <v>27629312887</v>
      </c>
      <c r="CI38" s="536">
        <f t="shared" si="46"/>
        <v>27077179416</v>
      </c>
      <c r="CJ38" s="536">
        <f t="shared" si="46"/>
        <v>39475813000</v>
      </c>
      <c r="CK38" s="536">
        <f t="shared" si="46"/>
        <v>32089737544</v>
      </c>
      <c r="CL38" s="536">
        <f t="shared" si="46"/>
        <v>32089737544</v>
      </c>
      <c r="CM38" s="536">
        <f t="shared" si="46"/>
        <v>2169350000</v>
      </c>
      <c r="CN38" s="536">
        <f t="shared" si="46"/>
        <v>2169350000</v>
      </c>
      <c r="CO38" s="536">
        <f t="shared" si="46"/>
        <v>602515000</v>
      </c>
      <c r="CP38" s="536">
        <f t="shared" si="46"/>
        <v>602515000</v>
      </c>
      <c r="CQ38" s="536">
        <f t="shared" si="46"/>
        <v>306885000</v>
      </c>
      <c r="CR38" s="536">
        <f t="shared" si="46"/>
        <v>61105000</v>
      </c>
      <c r="CS38" s="536">
        <f t="shared" si="46"/>
        <v>190660984</v>
      </c>
      <c r="CT38" s="537">
        <f>CT11+CT18+CT25+CT32</f>
        <v>30243493</v>
      </c>
      <c r="CU38" s="536">
        <f t="shared" si="46"/>
        <v>3765083472</v>
      </c>
      <c r="CV38" s="536">
        <f>CV11+CV18+CV25+CV32</f>
        <v>2734503</v>
      </c>
      <c r="CW38" s="536">
        <f t="shared" si="46"/>
        <v>351581000</v>
      </c>
      <c r="CX38" s="536">
        <f>CX11+CX18+CX25+CX32</f>
        <v>20936000</v>
      </c>
      <c r="CY38" s="536">
        <f>CY11+CY18+CY25+CY32</f>
        <v>0</v>
      </c>
      <c r="CZ38" s="536">
        <f>CZ11+CZ18+CZ25+CZ32</f>
        <v>0</v>
      </c>
      <c r="DA38" s="536">
        <f t="shared" si="46"/>
        <v>-489666015</v>
      </c>
      <c r="DB38" s="536">
        <f>DB11+DB18+DB25+DB32</f>
        <v>-30873100</v>
      </c>
      <c r="DC38" s="536">
        <f t="shared" si="46"/>
        <v>0</v>
      </c>
      <c r="DD38" s="536"/>
      <c r="DE38" s="536">
        <f t="shared" si="46"/>
        <v>0</v>
      </c>
      <c r="DF38" s="536"/>
      <c r="DG38" s="536">
        <f t="shared" si="46"/>
        <v>0</v>
      </c>
      <c r="DH38" s="536"/>
      <c r="DI38" s="536">
        <f t="shared" si="46"/>
        <v>38986146985</v>
      </c>
      <c r="DJ38" s="536">
        <f t="shared" si="46"/>
        <v>38986146985</v>
      </c>
      <c r="DK38" s="536">
        <f t="shared" si="46"/>
        <v>34945748440</v>
      </c>
      <c r="DL38" s="536">
        <f t="shared" si="46"/>
        <v>38986146985</v>
      </c>
      <c r="DM38" s="536">
        <f t="shared" si="46"/>
        <v>34945748440</v>
      </c>
      <c r="DN38" s="538">
        <f t="shared" si="46"/>
        <v>16585000000</v>
      </c>
      <c r="DO38" s="539">
        <f t="shared" ref="DO38:EJ38" si="47">DO11+DO18+DO25+DO32</f>
        <v>0</v>
      </c>
      <c r="DP38" s="507">
        <f t="shared" si="47"/>
        <v>0</v>
      </c>
      <c r="DQ38" s="507">
        <f t="shared" si="47"/>
        <v>0</v>
      </c>
      <c r="DR38" s="507">
        <f t="shared" si="47"/>
        <v>0</v>
      </c>
      <c r="DS38" s="507">
        <f t="shared" si="47"/>
        <v>0</v>
      </c>
      <c r="DT38" s="507">
        <f t="shared" si="47"/>
        <v>0</v>
      </c>
      <c r="DU38" s="507">
        <f t="shared" si="47"/>
        <v>0</v>
      </c>
      <c r="DV38" s="507">
        <f t="shared" si="47"/>
        <v>0</v>
      </c>
      <c r="DW38" s="507">
        <f t="shared" si="47"/>
        <v>0</v>
      </c>
      <c r="DX38" s="507">
        <f t="shared" si="47"/>
        <v>0</v>
      </c>
      <c r="DY38" s="507">
        <f t="shared" si="47"/>
        <v>0</v>
      </c>
      <c r="DZ38" s="507">
        <f t="shared" si="47"/>
        <v>0</v>
      </c>
      <c r="EA38" s="507">
        <f t="shared" si="47"/>
        <v>0</v>
      </c>
      <c r="EB38" s="507">
        <f t="shared" si="47"/>
        <v>0</v>
      </c>
      <c r="EC38" s="507">
        <f t="shared" si="47"/>
        <v>0</v>
      </c>
      <c r="ED38" s="507">
        <f t="shared" si="47"/>
        <v>0</v>
      </c>
      <c r="EE38" s="507">
        <f t="shared" si="47"/>
        <v>0</v>
      </c>
      <c r="EF38" s="507">
        <f t="shared" si="47"/>
        <v>0</v>
      </c>
      <c r="EG38" s="507">
        <f t="shared" si="47"/>
        <v>0</v>
      </c>
      <c r="EH38" s="507">
        <f t="shared" si="47"/>
        <v>0</v>
      </c>
      <c r="EI38" s="507">
        <f t="shared" si="47"/>
        <v>0</v>
      </c>
      <c r="EJ38" s="507">
        <f t="shared" si="47"/>
        <v>0</v>
      </c>
      <c r="EK38" s="507"/>
      <c r="EL38" s="507">
        <f>EL11+EL18+EL25+EL32</f>
        <v>0</v>
      </c>
      <c r="EM38" s="507"/>
      <c r="EN38" s="507"/>
      <c r="EO38" s="507"/>
      <c r="EP38" s="507"/>
      <c r="EQ38" s="507">
        <f>EQ11+EQ18+EQ25+EQ32</f>
        <v>0</v>
      </c>
      <c r="ER38" s="722"/>
      <c r="ES38" s="723"/>
      <c r="ET38" s="723"/>
      <c r="EU38" s="723"/>
      <c r="EV38" s="723"/>
      <c r="EW38" s="724"/>
      <c r="EX38" s="724"/>
      <c r="EY38" s="724"/>
      <c r="EZ38" s="724"/>
      <c r="FA38" s="725"/>
    </row>
    <row r="39" spans="1:157" ht="35.25" customHeight="1" x14ac:dyDescent="0.25">
      <c r="A39" s="703"/>
      <c r="B39" s="704"/>
      <c r="C39" s="704"/>
      <c r="D39" s="704"/>
      <c r="E39" s="732"/>
      <c r="F39" s="324" t="s">
        <v>112</v>
      </c>
      <c r="G39" s="540">
        <f>G14+G21+G28+G35</f>
        <v>27007973806</v>
      </c>
      <c r="H39" s="541">
        <f t="shared" ref="H39:BS39" si="48">H14+H21+H28+H35</f>
        <v>0</v>
      </c>
      <c r="I39" s="541">
        <f t="shared" si="48"/>
        <v>0</v>
      </c>
      <c r="J39" s="541">
        <f t="shared" si="48"/>
        <v>0</v>
      </c>
      <c r="K39" s="541">
        <f t="shared" si="48"/>
        <v>0</v>
      </c>
      <c r="L39" s="541">
        <f t="shared" si="48"/>
        <v>0</v>
      </c>
      <c r="M39" s="541">
        <f t="shared" si="48"/>
        <v>0</v>
      </c>
      <c r="N39" s="541">
        <f t="shared" si="48"/>
        <v>0</v>
      </c>
      <c r="O39" s="541">
        <f t="shared" si="48"/>
        <v>0</v>
      </c>
      <c r="P39" s="541">
        <f t="shared" si="48"/>
        <v>0</v>
      </c>
      <c r="Q39" s="541">
        <f t="shared" si="48"/>
        <v>0</v>
      </c>
      <c r="R39" s="541">
        <f t="shared" si="48"/>
        <v>0</v>
      </c>
      <c r="S39" s="541">
        <f t="shared" si="48"/>
        <v>0</v>
      </c>
      <c r="T39" s="541">
        <f t="shared" si="48"/>
        <v>0</v>
      </c>
      <c r="U39" s="541">
        <f t="shared" si="48"/>
        <v>0</v>
      </c>
      <c r="V39" s="541">
        <f t="shared" si="48"/>
        <v>0</v>
      </c>
      <c r="W39" s="541">
        <f t="shared" si="48"/>
        <v>0</v>
      </c>
      <c r="X39" s="541">
        <f t="shared" si="48"/>
        <v>0</v>
      </c>
      <c r="Y39" s="541">
        <f t="shared" si="48"/>
        <v>0</v>
      </c>
      <c r="Z39" s="541">
        <f t="shared" si="48"/>
        <v>0</v>
      </c>
      <c r="AA39" s="541">
        <f t="shared" si="48"/>
        <v>0</v>
      </c>
      <c r="AB39" s="541">
        <f t="shared" si="48"/>
        <v>1602274659</v>
      </c>
      <c r="AC39" s="541">
        <f t="shared" si="48"/>
        <v>109143900</v>
      </c>
      <c r="AD39" s="541">
        <f t="shared" si="48"/>
        <v>109143900</v>
      </c>
      <c r="AE39" s="541">
        <f t="shared" si="48"/>
        <v>153059773</v>
      </c>
      <c r="AF39" s="541">
        <f t="shared" si="48"/>
        <v>153059773</v>
      </c>
      <c r="AG39" s="541">
        <f t="shared" si="48"/>
        <v>133961735</v>
      </c>
      <c r="AH39" s="541">
        <f t="shared" si="48"/>
        <v>133961735</v>
      </c>
      <c r="AI39" s="541">
        <f t="shared" si="48"/>
        <v>463722465</v>
      </c>
      <c r="AJ39" s="541">
        <f t="shared" si="48"/>
        <v>463722465</v>
      </c>
      <c r="AK39" s="541">
        <f t="shared" si="48"/>
        <v>81307355</v>
      </c>
      <c r="AL39" s="541">
        <f t="shared" si="48"/>
        <v>81307355</v>
      </c>
      <c r="AM39" s="541">
        <f t="shared" si="48"/>
        <v>140724953</v>
      </c>
      <c r="AN39" s="541">
        <f t="shared" si="48"/>
        <v>19373987</v>
      </c>
      <c r="AO39" s="541">
        <f t="shared" si="48"/>
        <v>31268253</v>
      </c>
      <c r="AP39" s="541">
        <f t="shared" si="48"/>
        <v>79828188</v>
      </c>
      <c r="AQ39" s="541">
        <f t="shared" si="48"/>
        <v>474552225</v>
      </c>
      <c r="AR39" s="541">
        <f t="shared" si="48"/>
        <v>208850754</v>
      </c>
      <c r="AS39" s="541">
        <f t="shared" si="48"/>
        <v>0</v>
      </c>
      <c r="AT39" s="541">
        <f t="shared" si="48"/>
        <v>2372067</v>
      </c>
      <c r="AU39" s="541">
        <f t="shared" si="48"/>
        <v>-163345</v>
      </c>
      <c r="AV39" s="541">
        <f t="shared" si="48"/>
        <v>25730180</v>
      </c>
      <c r="AW39" s="541">
        <f t="shared" si="48"/>
        <v>0</v>
      </c>
      <c r="AX39" s="541">
        <f t="shared" si="48"/>
        <v>0</v>
      </c>
      <c r="AY39" s="541">
        <f t="shared" si="48"/>
        <v>0</v>
      </c>
      <c r="AZ39" s="541">
        <f t="shared" si="48"/>
        <v>202446406</v>
      </c>
      <c r="BA39" s="541">
        <f t="shared" si="48"/>
        <v>1587577314</v>
      </c>
      <c r="BB39" s="541">
        <f t="shared" si="48"/>
        <v>1587577314</v>
      </c>
      <c r="BC39" s="541">
        <f t="shared" si="48"/>
        <v>1479796810</v>
      </c>
      <c r="BD39" s="541">
        <f t="shared" si="48"/>
        <v>1587577314</v>
      </c>
      <c r="BE39" s="541">
        <f t="shared" si="48"/>
        <v>1479796810</v>
      </c>
      <c r="BF39" s="541">
        <f t="shared" si="48"/>
        <v>7477815895</v>
      </c>
      <c r="BG39" s="541">
        <f t="shared" si="48"/>
        <v>1466782159</v>
      </c>
      <c r="BH39" s="541">
        <f t="shared" si="48"/>
        <v>1466782159</v>
      </c>
      <c r="BI39" s="541">
        <f t="shared" si="48"/>
        <v>185133562</v>
      </c>
      <c r="BJ39" s="541">
        <f t="shared" si="48"/>
        <v>70298833</v>
      </c>
      <c r="BK39" s="541">
        <f t="shared" si="48"/>
        <v>2458385894</v>
      </c>
      <c r="BL39" s="541">
        <f t="shared" si="48"/>
        <v>168913266</v>
      </c>
      <c r="BM39" s="541">
        <f t="shared" si="48"/>
        <v>488645833</v>
      </c>
      <c r="BN39" s="541">
        <f t="shared" si="48"/>
        <v>144424391</v>
      </c>
      <c r="BO39" s="541">
        <f t="shared" si="48"/>
        <v>1976711411</v>
      </c>
      <c r="BP39" s="541">
        <f t="shared" si="48"/>
        <v>1865467938</v>
      </c>
      <c r="BQ39" s="541">
        <f t="shared" si="48"/>
        <v>67630169</v>
      </c>
      <c r="BR39" s="541">
        <f t="shared" si="48"/>
        <v>711086955</v>
      </c>
      <c r="BS39" s="541">
        <f t="shared" si="48"/>
        <v>254488987</v>
      </c>
      <c r="BT39" s="541">
        <f t="shared" ref="BT39:DN39" si="49">BT14+BT21+BT28+BT35</f>
        <v>718359544</v>
      </c>
      <c r="BU39" s="541">
        <f t="shared" si="49"/>
        <v>0</v>
      </c>
      <c r="BV39" s="541">
        <f t="shared" si="49"/>
        <v>340987443</v>
      </c>
      <c r="BW39" s="541">
        <f t="shared" si="49"/>
        <v>0</v>
      </c>
      <c r="BX39" s="541">
        <f t="shared" si="49"/>
        <v>279599995</v>
      </c>
      <c r="BY39" s="541">
        <f t="shared" si="49"/>
        <v>0</v>
      </c>
      <c r="BZ39" s="541">
        <f t="shared" si="49"/>
        <v>175609762</v>
      </c>
      <c r="CA39" s="541">
        <f t="shared" si="49"/>
        <v>0</v>
      </c>
      <c r="CB39" s="541">
        <f t="shared" si="49"/>
        <v>47608880</v>
      </c>
      <c r="CC39" s="541">
        <f t="shared" si="49"/>
        <v>94640352</v>
      </c>
      <c r="CD39" s="541">
        <f t="shared" si="49"/>
        <v>942734667</v>
      </c>
      <c r="CE39" s="541">
        <f t="shared" si="49"/>
        <v>6992418367</v>
      </c>
      <c r="CF39" s="541">
        <f t="shared" si="49"/>
        <v>6992418367</v>
      </c>
      <c r="CG39" s="541">
        <f t="shared" si="49"/>
        <v>6931873833</v>
      </c>
      <c r="CH39" s="541">
        <f t="shared" si="49"/>
        <v>6992418367</v>
      </c>
      <c r="CI39" s="541">
        <f t="shared" si="49"/>
        <v>6931873833</v>
      </c>
      <c r="CJ39" s="541">
        <f t="shared" si="49"/>
        <v>18596303163</v>
      </c>
      <c r="CK39" s="541">
        <f t="shared" si="49"/>
        <v>7381246363</v>
      </c>
      <c r="CL39" s="541">
        <f t="shared" si="49"/>
        <v>7381246363</v>
      </c>
      <c r="CM39" s="541">
        <f t="shared" si="49"/>
        <v>2073846108</v>
      </c>
      <c r="CN39" s="541">
        <f t="shared" si="49"/>
        <v>2073846108</v>
      </c>
      <c r="CO39" s="541">
        <f t="shared" si="49"/>
        <v>130391300</v>
      </c>
      <c r="CP39" s="541">
        <f t="shared" si="49"/>
        <v>130391300</v>
      </c>
      <c r="CQ39" s="541">
        <f t="shared" si="49"/>
        <v>1947418691</v>
      </c>
      <c r="CR39" s="541">
        <f t="shared" si="49"/>
        <v>348708788</v>
      </c>
      <c r="CS39" s="541">
        <f t="shared" si="49"/>
        <v>1883901419</v>
      </c>
      <c r="CT39" s="542">
        <f t="shared" si="49"/>
        <v>673603243</v>
      </c>
      <c r="CU39" s="541">
        <f t="shared" si="49"/>
        <v>3280153675</v>
      </c>
      <c r="CV39" s="541">
        <f>CV14+CV21+CV28+CV35</f>
        <v>856314062</v>
      </c>
      <c r="CW39" s="541">
        <f t="shared" si="49"/>
        <v>1899345607</v>
      </c>
      <c r="CX39" s="541">
        <f>CX14+CX21+CX28+CX35</f>
        <v>938363870</v>
      </c>
      <c r="CY39" s="541">
        <f>CY14+CY21+CY28+CY35</f>
        <v>0</v>
      </c>
      <c r="CZ39" s="541">
        <f>CZ14+CZ21+CZ28+CZ35</f>
        <v>1275686598</v>
      </c>
      <c r="DA39" s="541">
        <f t="shared" si="49"/>
        <v>0</v>
      </c>
      <c r="DB39" s="541">
        <f>DB14+DB21+DB28+DB35</f>
        <v>1092488140</v>
      </c>
      <c r="DC39" s="541">
        <f t="shared" si="49"/>
        <v>0</v>
      </c>
      <c r="DD39" s="541"/>
      <c r="DE39" s="541">
        <f t="shared" si="49"/>
        <v>0</v>
      </c>
      <c r="DF39" s="541"/>
      <c r="DG39" s="541">
        <f t="shared" si="49"/>
        <v>0</v>
      </c>
      <c r="DH39" s="541"/>
      <c r="DI39" s="541">
        <f t="shared" si="49"/>
        <v>18596303163</v>
      </c>
      <c r="DJ39" s="541">
        <f t="shared" si="49"/>
        <v>18596303163</v>
      </c>
      <c r="DK39" s="541">
        <f t="shared" si="49"/>
        <v>14770648472</v>
      </c>
      <c r="DL39" s="541">
        <f t="shared" si="49"/>
        <v>18596303163</v>
      </c>
      <c r="DM39" s="541">
        <f t="shared" si="49"/>
        <v>14770648472</v>
      </c>
      <c r="DN39" s="543">
        <f t="shared" si="49"/>
        <v>0</v>
      </c>
      <c r="DO39" s="544">
        <f t="shared" ref="DO39:EQ39" si="50">DO14+DO21+DO28+DO35</f>
        <v>0</v>
      </c>
      <c r="DP39" s="470">
        <f t="shared" si="50"/>
        <v>0</v>
      </c>
      <c r="DQ39" s="470">
        <f t="shared" si="50"/>
        <v>0</v>
      </c>
      <c r="DR39" s="470">
        <f t="shared" si="50"/>
        <v>0</v>
      </c>
      <c r="DS39" s="470">
        <f t="shared" si="50"/>
        <v>0</v>
      </c>
      <c r="DT39" s="470">
        <f t="shared" si="50"/>
        <v>0</v>
      </c>
      <c r="DU39" s="470">
        <f t="shared" si="50"/>
        <v>0</v>
      </c>
      <c r="DV39" s="470">
        <f t="shared" si="50"/>
        <v>0</v>
      </c>
      <c r="DW39" s="470">
        <f t="shared" si="50"/>
        <v>0</v>
      </c>
      <c r="DX39" s="470">
        <f t="shared" si="50"/>
        <v>0</v>
      </c>
      <c r="DY39" s="470">
        <f t="shared" si="50"/>
        <v>0</v>
      </c>
      <c r="DZ39" s="470">
        <f t="shared" si="50"/>
        <v>0</v>
      </c>
      <c r="EA39" s="470">
        <f t="shared" si="50"/>
        <v>0</v>
      </c>
      <c r="EB39" s="470">
        <f t="shared" si="50"/>
        <v>0</v>
      </c>
      <c r="EC39" s="470">
        <f t="shared" si="50"/>
        <v>0</v>
      </c>
      <c r="ED39" s="470">
        <f t="shared" si="50"/>
        <v>0</v>
      </c>
      <c r="EE39" s="470">
        <f t="shared" si="50"/>
        <v>0</v>
      </c>
      <c r="EF39" s="470">
        <f t="shared" si="50"/>
        <v>0</v>
      </c>
      <c r="EG39" s="470">
        <f t="shared" si="50"/>
        <v>0</v>
      </c>
      <c r="EH39" s="470">
        <f t="shared" si="50"/>
        <v>0</v>
      </c>
      <c r="EI39" s="470">
        <f t="shared" si="50"/>
        <v>0</v>
      </c>
      <c r="EJ39" s="470">
        <f t="shared" si="50"/>
        <v>0</v>
      </c>
      <c r="EK39" s="470">
        <f t="shared" si="50"/>
        <v>0</v>
      </c>
      <c r="EL39" s="470">
        <f t="shared" si="50"/>
        <v>0</v>
      </c>
      <c r="EM39" s="470">
        <f t="shared" si="50"/>
        <v>0</v>
      </c>
      <c r="EN39" s="470">
        <f t="shared" si="50"/>
        <v>0</v>
      </c>
      <c r="EO39" s="470">
        <f t="shared" si="50"/>
        <v>0</v>
      </c>
      <c r="EP39" s="470">
        <f t="shared" si="50"/>
        <v>0</v>
      </c>
      <c r="EQ39" s="470">
        <f t="shared" si="50"/>
        <v>0</v>
      </c>
      <c r="ER39" s="722"/>
      <c r="ES39" s="723"/>
      <c r="ET39" s="723"/>
      <c r="EU39" s="723"/>
      <c r="EV39" s="723"/>
      <c r="EW39" s="723"/>
      <c r="EX39" s="723"/>
      <c r="EY39" s="723"/>
      <c r="EZ39" s="723"/>
      <c r="FA39" s="726"/>
    </row>
    <row r="40" spans="1:157" ht="39.75" customHeight="1" thickBot="1" x14ac:dyDescent="0.3">
      <c r="A40" s="705"/>
      <c r="B40" s="706"/>
      <c r="C40" s="706"/>
      <c r="D40" s="706"/>
      <c r="E40" s="714"/>
      <c r="F40" s="325" t="s">
        <v>113</v>
      </c>
      <c r="G40" s="545">
        <f>+G38+G39</f>
        <v>126827425358</v>
      </c>
      <c r="H40" s="546">
        <f t="shared" ref="H40:BS40" si="51">+H38+H39</f>
        <v>3919274028</v>
      </c>
      <c r="I40" s="546">
        <f t="shared" si="51"/>
        <v>3919274028</v>
      </c>
      <c r="J40" s="546">
        <f t="shared" si="51"/>
        <v>15250000</v>
      </c>
      <c r="K40" s="546">
        <f t="shared" si="51"/>
        <v>3919274028</v>
      </c>
      <c r="L40" s="546">
        <f t="shared" si="51"/>
        <v>15250000</v>
      </c>
      <c r="M40" s="546">
        <f t="shared" si="51"/>
        <v>3919274028</v>
      </c>
      <c r="N40" s="546">
        <f t="shared" si="51"/>
        <v>741070000</v>
      </c>
      <c r="O40" s="546">
        <f t="shared" si="51"/>
        <v>3919274028</v>
      </c>
      <c r="P40" s="546">
        <f t="shared" si="51"/>
        <v>858602440</v>
      </c>
      <c r="Q40" s="546">
        <f t="shared" si="51"/>
        <v>3919274028</v>
      </c>
      <c r="R40" s="546">
        <f t="shared" si="51"/>
        <v>865381195</v>
      </c>
      <c r="S40" s="546">
        <f t="shared" si="51"/>
        <v>3919274028</v>
      </c>
      <c r="T40" s="546" t="e">
        <f t="shared" si="51"/>
        <v>#REF!</v>
      </c>
      <c r="U40" s="546">
        <f t="shared" si="51"/>
        <v>3537127981</v>
      </c>
      <c r="V40" s="546">
        <f t="shared" si="51"/>
        <v>2277977002</v>
      </c>
      <c r="W40" s="546">
        <f t="shared" si="51"/>
        <v>0</v>
      </c>
      <c r="X40" s="546">
        <f t="shared" si="51"/>
        <v>0</v>
      </c>
      <c r="Y40" s="546">
        <f t="shared" si="51"/>
        <v>0</v>
      </c>
      <c r="Z40" s="546">
        <f t="shared" si="51"/>
        <v>3537127981</v>
      </c>
      <c r="AA40" s="546">
        <f t="shared" si="51"/>
        <v>2277977002</v>
      </c>
      <c r="AB40" s="546">
        <f t="shared" si="51"/>
        <v>26959378659</v>
      </c>
      <c r="AC40" s="546">
        <f t="shared" si="51"/>
        <v>109143900</v>
      </c>
      <c r="AD40" s="546">
        <f t="shared" si="51"/>
        <v>109143900</v>
      </c>
      <c r="AE40" s="546">
        <f t="shared" si="51"/>
        <v>416079773</v>
      </c>
      <c r="AF40" s="546">
        <f t="shared" si="51"/>
        <v>416079773</v>
      </c>
      <c r="AG40" s="546">
        <f t="shared" si="51"/>
        <v>1115579735</v>
      </c>
      <c r="AH40" s="546">
        <f t="shared" si="51"/>
        <v>1115579735</v>
      </c>
      <c r="AI40" s="546">
        <f t="shared" si="51"/>
        <v>1022593461</v>
      </c>
      <c r="AJ40" s="546">
        <f t="shared" si="51"/>
        <v>1022593461</v>
      </c>
      <c r="AK40" s="546">
        <f t="shared" si="51"/>
        <v>82754233</v>
      </c>
      <c r="AL40" s="546">
        <f t="shared" si="51"/>
        <v>82754233</v>
      </c>
      <c r="AM40" s="546">
        <f t="shared" si="51"/>
        <v>334689635</v>
      </c>
      <c r="AN40" s="546">
        <f t="shared" si="51"/>
        <v>451807584</v>
      </c>
      <c r="AO40" s="546">
        <f t="shared" si="51"/>
        <v>1070091253</v>
      </c>
      <c r="AP40" s="546">
        <f t="shared" si="51"/>
        <v>79828188</v>
      </c>
      <c r="AQ40" s="546">
        <f t="shared" si="51"/>
        <v>698492225</v>
      </c>
      <c r="AR40" s="546">
        <f t="shared" si="51"/>
        <v>208850754</v>
      </c>
      <c r="AS40" s="546">
        <f t="shared" si="51"/>
        <v>713082613</v>
      </c>
      <c r="AT40" s="546">
        <f t="shared" si="51"/>
        <v>27461567</v>
      </c>
      <c r="AU40" s="546">
        <f t="shared" si="51"/>
        <v>13825696597</v>
      </c>
      <c r="AV40" s="546">
        <f t="shared" si="51"/>
        <v>3679956042</v>
      </c>
      <c r="AW40" s="546">
        <f t="shared" si="51"/>
        <v>502548000</v>
      </c>
      <c r="AX40" s="546">
        <f t="shared" si="51"/>
        <v>3599999814</v>
      </c>
      <c r="AY40" s="546">
        <f t="shared" si="51"/>
        <v>3192759847</v>
      </c>
      <c r="AZ40" s="546">
        <f t="shared" si="51"/>
        <v>5578889908</v>
      </c>
      <c r="BA40" s="546">
        <f t="shared" si="51"/>
        <v>23083511272</v>
      </c>
      <c r="BB40" s="546">
        <f t="shared" si="51"/>
        <v>23083511272</v>
      </c>
      <c r="BC40" s="546">
        <f t="shared" si="51"/>
        <v>16372944959</v>
      </c>
      <c r="BD40" s="546">
        <f t="shared" si="51"/>
        <v>23083511272</v>
      </c>
      <c r="BE40" s="546">
        <f t="shared" si="51"/>
        <v>16372944959</v>
      </c>
      <c r="BF40" s="546">
        <f t="shared" si="51"/>
        <v>34149240895</v>
      </c>
      <c r="BG40" s="546">
        <f t="shared" si="51"/>
        <v>4830006159</v>
      </c>
      <c r="BH40" s="546">
        <f t="shared" si="51"/>
        <v>4830006159</v>
      </c>
      <c r="BI40" s="546">
        <f t="shared" si="51"/>
        <v>185133562</v>
      </c>
      <c r="BJ40" s="546">
        <f t="shared" si="51"/>
        <v>70298833</v>
      </c>
      <c r="BK40" s="546">
        <f t="shared" si="51"/>
        <v>2879434265</v>
      </c>
      <c r="BL40" s="546">
        <f t="shared" si="51"/>
        <v>168913266</v>
      </c>
      <c r="BM40" s="546">
        <f t="shared" si="51"/>
        <v>863257435</v>
      </c>
      <c r="BN40" s="546">
        <f t="shared" si="51"/>
        <v>714684980</v>
      </c>
      <c r="BO40" s="546">
        <f t="shared" si="51"/>
        <v>1993850411</v>
      </c>
      <c r="BP40" s="546">
        <f t="shared" si="51"/>
        <v>1928522638</v>
      </c>
      <c r="BQ40" s="546">
        <f t="shared" si="51"/>
        <v>80967090</v>
      </c>
      <c r="BR40" s="546">
        <f t="shared" si="51"/>
        <v>761086955</v>
      </c>
      <c r="BS40" s="546">
        <f t="shared" si="51"/>
        <v>731296987</v>
      </c>
      <c r="BT40" s="546">
        <f t="shared" ref="BT40:DN40" si="52">+BT38+BT39</f>
        <v>778738177</v>
      </c>
      <c r="BU40" s="546">
        <f t="shared" si="52"/>
        <v>0</v>
      </c>
      <c r="BV40" s="546">
        <f t="shared" si="52"/>
        <v>361101457</v>
      </c>
      <c r="BW40" s="546">
        <f t="shared" si="52"/>
        <v>8103849000</v>
      </c>
      <c r="BX40" s="546">
        <f t="shared" si="52"/>
        <v>295629932</v>
      </c>
      <c r="BY40" s="546">
        <f t="shared" si="52"/>
        <v>13780127100</v>
      </c>
      <c r="BZ40" s="546">
        <f t="shared" si="52"/>
        <v>234538762</v>
      </c>
      <c r="CA40" s="546">
        <f t="shared" si="52"/>
        <v>375164054</v>
      </c>
      <c r="CB40" s="546">
        <f t="shared" si="52"/>
        <v>5964461313</v>
      </c>
      <c r="CC40" s="546">
        <f t="shared" si="52"/>
        <v>798645191</v>
      </c>
      <c r="CD40" s="546">
        <f t="shared" si="52"/>
        <v>17901070777</v>
      </c>
      <c r="CE40" s="546">
        <f t="shared" si="52"/>
        <v>34621731254</v>
      </c>
      <c r="CF40" s="546">
        <f t="shared" si="52"/>
        <v>34621731254</v>
      </c>
      <c r="CG40" s="546">
        <f t="shared" si="52"/>
        <v>34009053249</v>
      </c>
      <c r="CH40" s="546">
        <f t="shared" si="52"/>
        <v>34621731254</v>
      </c>
      <c r="CI40" s="546">
        <f t="shared" si="52"/>
        <v>34009053249</v>
      </c>
      <c r="CJ40" s="546">
        <f t="shared" si="52"/>
        <v>58072116163</v>
      </c>
      <c r="CK40" s="546">
        <f t="shared" si="52"/>
        <v>39470983907</v>
      </c>
      <c r="CL40" s="546">
        <f t="shared" si="52"/>
        <v>39470983907</v>
      </c>
      <c r="CM40" s="546">
        <f t="shared" si="52"/>
        <v>4243196108</v>
      </c>
      <c r="CN40" s="546">
        <f t="shared" si="52"/>
        <v>4243196108</v>
      </c>
      <c r="CO40" s="546">
        <f t="shared" si="52"/>
        <v>732906300</v>
      </c>
      <c r="CP40" s="546">
        <f t="shared" si="52"/>
        <v>732906300</v>
      </c>
      <c r="CQ40" s="546">
        <f t="shared" si="52"/>
        <v>2254303691</v>
      </c>
      <c r="CR40" s="546">
        <f t="shared" si="52"/>
        <v>409813788</v>
      </c>
      <c r="CS40" s="546">
        <f t="shared" si="52"/>
        <v>2074562403</v>
      </c>
      <c r="CT40" s="547">
        <f t="shared" si="52"/>
        <v>703846736</v>
      </c>
      <c r="CU40" s="546">
        <f t="shared" si="52"/>
        <v>7045237147</v>
      </c>
      <c r="CV40" s="546">
        <f>+CV38+CV39</f>
        <v>859048565</v>
      </c>
      <c r="CW40" s="546">
        <f t="shared" si="52"/>
        <v>2250926607</v>
      </c>
      <c r="CX40" s="546">
        <f>+CX38+CX39</f>
        <v>959299870</v>
      </c>
      <c r="CY40" s="546">
        <f>+CY38+CY39</f>
        <v>0</v>
      </c>
      <c r="CZ40" s="546">
        <f>+CZ38+CZ39</f>
        <v>1275686598</v>
      </c>
      <c r="DA40" s="546">
        <f t="shared" si="52"/>
        <v>-489666015</v>
      </c>
      <c r="DB40" s="546">
        <f>+DB38+DB39</f>
        <v>1061615040</v>
      </c>
      <c r="DC40" s="546">
        <f t="shared" si="52"/>
        <v>0</v>
      </c>
      <c r="DD40" s="546"/>
      <c r="DE40" s="546">
        <f t="shared" si="52"/>
        <v>0</v>
      </c>
      <c r="DF40" s="546"/>
      <c r="DG40" s="546">
        <f t="shared" si="52"/>
        <v>0</v>
      </c>
      <c r="DH40" s="546"/>
      <c r="DI40" s="546">
        <f t="shared" si="52"/>
        <v>57582450148</v>
      </c>
      <c r="DJ40" s="546">
        <f t="shared" si="52"/>
        <v>57582450148</v>
      </c>
      <c r="DK40" s="546">
        <f t="shared" si="52"/>
        <v>49716396912</v>
      </c>
      <c r="DL40" s="546">
        <f t="shared" si="52"/>
        <v>57582450148</v>
      </c>
      <c r="DM40" s="546">
        <f t="shared" si="52"/>
        <v>49716396912</v>
      </c>
      <c r="DN40" s="548">
        <f t="shared" si="52"/>
        <v>16585000000</v>
      </c>
      <c r="DO40" s="549">
        <f t="shared" ref="DO40:EQ40" si="53">DO38+DO39</f>
        <v>0</v>
      </c>
      <c r="DP40" s="471">
        <f t="shared" si="53"/>
        <v>0</v>
      </c>
      <c r="DQ40" s="471">
        <f t="shared" si="53"/>
        <v>0</v>
      </c>
      <c r="DR40" s="471">
        <f t="shared" si="53"/>
        <v>0</v>
      </c>
      <c r="DS40" s="471">
        <f t="shared" si="53"/>
        <v>0</v>
      </c>
      <c r="DT40" s="471">
        <f t="shared" si="53"/>
        <v>0</v>
      </c>
      <c r="DU40" s="471">
        <f t="shared" si="53"/>
        <v>0</v>
      </c>
      <c r="DV40" s="471">
        <f t="shared" si="53"/>
        <v>0</v>
      </c>
      <c r="DW40" s="471">
        <f t="shared" si="53"/>
        <v>0</v>
      </c>
      <c r="DX40" s="471">
        <f t="shared" si="53"/>
        <v>0</v>
      </c>
      <c r="DY40" s="471">
        <f t="shared" si="53"/>
        <v>0</v>
      </c>
      <c r="DZ40" s="471">
        <f t="shared" si="53"/>
        <v>0</v>
      </c>
      <c r="EA40" s="471">
        <f t="shared" si="53"/>
        <v>0</v>
      </c>
      <c r="EB40" s="471">
        <f t="shared" si="53"/>
        <v>0</v>
      </c>
      <c r="EC40" s="471">
        <f t="shared" si="53"/>
        <v>0</v>
      </c>
      <c r="ED40" s="471">
        <f t="shared" si="53"/>
        <v>0</v>
      </c>
      <c r="EE40" s="471">
        <f t="shared" si="53"/>
        <v>0</v>
      </c>
      <c r="EF40" s="471">
        <f t="shared" si="53"/>
        <v>0</v>
      </c>
      <c r="EG40" s="471">
        <f t="shared" si="53"/>
        <v>0</v>
      </c>
      <c r="EH40" s="471">
        <f t="shared" si="53"/>
        <v>0</v>
      </c>
      <c r="EI40" s="471">
        <f t="shared" si="53"/>
        <v>0</v>
      </c>
      <c r="EJ40" s="471">
        <f t="shared" si="53"/>
        <v>0</v>
      </c>
      <c r="EK40" s="471">
        <f t="shared" si="53"/>
        <v>0</v>
      </c>
      <c r="EL40" s="471">
        <f t="shared" si="53"/>
        <v>0</v>
      </c>
      <c r="EM40" s="471">
        <f t="shared" si="53"/>
        <v>0</v>
      </c>
      <c r="EN40" s="471">
        <f t="shared" si="53"/>
        <v>0</v>
      </c>
      <c r="EO40" s="471">
        <f t="shared" si="53"/>
        <v>0</v>
      </c>
      <c r="EP40" s="471">
        <f t="shared" si="53"/>
        <v>0</v>
      </c>
      <c r="EQ40" s="471">
        <f t="shared" si="53"/>
        <v>0</v>
      </c>
      <c r="ER40" s="727"/>
      <c r="ES40" s="728"/>
      <c r="ET40" s="728"/>
      <c r="EU40" s="728"/>
      <c r="EV40" s="728"/>
      <c r="EW40" s="728"/>
      <c r="EX40" s="728"/>
      <c r="EY40" s="728"/>
      <c r="EZ40" s="728"/>
      <c r="FA40" s="729"/>
    </row>
    <row r="41" spans="1:157" ht="15.75" customHeight="1" x14ac:dyDescent="0.25">
      <c r="D41" s="326"/>
      <c r="E41" s="326"/>
      <c r="F41" s="327"/>
      <c r="G41" s="328"/>
      <c r="H41" s="329"/>
      <c r="I41" s="329"/>
      <c r="J41" s="329"/>
      <c r="K41" s="329"/>
      <c r="L41" s="329"/>
      <c r="M41" s="329"/>
      <c r="N41" s="329"/>
      <c r="O41" s="329"/>
      <c r="P41" s="329"/>
      <c r="Q41" s="329"/>
      <c r="R41" s="329"/>
      <c r="S41" s="329"/>
      <c r="T41" s="329"/>
      <c r="U41" s="329"/>
      <c r="V41" s="329"/>
      <c r="W41" s="329"/>
      <c r="X41" s="329"/>
      <c r="Y41" s="329"/>
      <c r="Z41" s="329"/>
      <c r="AA41" s="329"/>
      <c r="AB41" s="329"/>
      <c r="AC41" s="329"/>
      <c r="AD41" s="329"/>
      <c r="AE41" s="329"/>
      <c r="AF41" s="329"/>
      <c r="AG41" s="329"/>
      <c r="AH41" s="329"/>
      <c r="AI41" s="329"/>
      <c r="AJ41" s="329"/>
      <c r="AK41" s="329"/>
      <c r="AL41" s="329"/>
      <c r="AM41" s="329"/>
      <c r="AN41" s="329"/>
      <c r="AO41" s="329"/>
      <c r="AP41" s="329"/>
      <c r="AQ41" s="329"/>
      <c r="AR41" s="329"/>
      <c r="AS41" s="329"/>
      <c r="AT41" s="329"/>
      <c r="AU41" s="329"/>
      <c r="AV41" s="329"/>
      <c r="AW41" s="329"/>
      <c r="AX41" s="329"/>
      <c r="AY41" s="329"/>
      <c r="AZ41" s="329"/>
      <c r="BA41" s="329"/>
      <c r="BB41" s="329"/>
      <c r="BC41" s="329"/>
      <c r="BD41" s="329"/>
      <c r="BE41" s="329"/>
      <c r="BF41" s="329"/>
      <c r="BG41" s="329"/>
      <c r="BH41" s="329"/>
      <c r="BI41" s="329"/>
      <c r="BJ41" s="329"/>
      <c r="BK41" s="329"/>
      <c r="BL41" s="329"/>
      <c r="BM41" s="329"/>
      <c r="BN41" s="329"/>
      <c r="BO41" s="329"/>
      <c r="BP41" s="329"/>
      <c r="BQ41" s="329"/>
      <c r="BR41" s="329"/>
      <c r="BS41" s="329"/>
      <c r="BT41" s="329"/>
      <c r="BU41" s="329"/>
      <c r="BV41" s="329"/>
      <c r="BW41" s="329"/>
      <c r="BX41" s="329"/>
      <c r="BY41" s="329"/>
      <c r="BZ41" s="329"/>
      <c r="CA41" s="329"/>
      <c r="CB41" s="329"/>
      <c r="CC41" s="329"/>
      <c r="CD41" s="329"/>
      <c r="CE41" s="329"/>
      <c r="CF41" s="329"/>
      <c r="CG41" s="329"/>
      <c r="CH41" s="329"/>
      <c r="CI41" s="328"/>
      <c r="CJ41" s="329"/>
      <c r="CK41" s="329"/>
      <c r="CL41" s="329"/>
      <c r="CM41" s="329"/>
      <c r="CN41" s="329"/>
      <c r="CO41" s="329"/>
      <c r="CP41" s="329"/>
      <c r="CQ41" s="329"/>
      <c r="CR41" s="329"/>
      <c r="CS41" s="329"/>
      <c r="CT41" s="329"/>
      <c r="CU41" s="329"/>
      <c r="CV41" s="329"/>
      <c r="CW41" s="329"/>
      <c r="CX41" s="329"/>
      <c r="CY41" s="329"/>
      <c r="CZ41" s="329"/>
      <c r="DA41" s="329"/>
      <c r="DB41" s="329"/>
      <c r="DC41" s="329"/>
      <c r="DD41" s="329"/>
      <c r="DE41" s="329"/>
      <c r="DF41" s="329"/>
      <c r="DG41" s="329"/>
      <c r="DH41" s="329"/>
      <c r="DI41" s="329"/>
      <c r="DJ41" s="329"/>
      <c r="DK41" s="329"/>
      <c r="DL41" s="329"/>
      <c r="DM41" s="329"/>
      <c r="DN41" s="329"/>
      <c r="DO41" s="328"/>
      <c r="DP41" s="328"/>
      <c r="DQ41" s="328"/>
      <c r="DR41" s="328"/>
      <c r="DS41" s="328"/>
      <c r="DT41" s="328"/>
      <c r="DU41" s="328"/>
      <c r="DV41" s="328"/>
      <c r="DW41" s="328"/>
      <c r="DX41" s="328"/>
      <c r="DY41" s="328"/>
      <c r="DZ41" s="328"/>
      <c r="EA41" s="328"/>
      <c r="EB41" s="328"/>
      <c r="EC41" s="328"/>
      <c r="ED41" s="328"/>
      <c r="EE41" s="328"/>
      <c r="EF41" s="328"/>
      <c r="EG41" s="328"/>
      <c r="EH41" s="328"/>
      <c r="EI41" s="328"/>
      <c r="EJ41" s="328"/>
      <c r="EK41" s="328"/>
      <c r="EL41" s="328"/>
      <c r="EM41" s="328"/>
      <c r="EN41" s="328"/>
      <c r="EO41" s="328"/>
      <c r="EP41" s="328"/>
      <c r="EQ41" s="328"/>
      <c r="ER41" s="1"/>
      <c r="ES41" s="1"/>
      <c r="ET41" s="1"/>
    </row>
    <row r="42" spans="1:157" ht="15.75" customHeight="1" x14ac:dyDescent="0.25">
      <c r="D42" s="326"/>
      <c r="E42" s="326"/>
      <c r="F42" s="327"/>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c r="AU42" s="328"/>
      <c r="AV42" s="328"/>
      <c r="AW42" s="328"/>
      <c r="AX42" s="328"/>
      <c r="AY42" s="328"/>
      <c r="AZ42" s="328"/>
      <c r="BA42" s="328"/>
      <c r="BB42" s="328"/>
      <c r="BC42" s="328"/>
      <c r="BD42" s="328"/>
      <c r="BE42" s="328"/>
      <c r="BF42" s="328"/>
      <c r="BG42" s="328"/>
      <c r="BH42" s="328"/>
      <c r="BI42" s="328"/>
      <c r="BJ42" s="328"/>
      <c r="BK42" s="328"/>
      <c r="BL42" s="328"/>
      <c r="BM42" s="328"/>
      <c r="BN42" s="328"/>
      <c r="BO42" s="328"/>
      <c r="BP42" s="328"/>
      <c r="BQ42" s="328"/>
      <c r="BR42" s="328"/>
      <c r="BS42" s="328"/>
      <c r="BT42" s="328"/>
      <c r="BU42" s="328"/>
      <c r="BV42" s="328"/>
      <c r="BW42" s="328"/>
      <c r="BX42" s="328"/>
      <c r="BY42" s="328"/>
      <c r="BZ42" s="328"/>
      <c r="CA42" s="328"/>
      <c r="CB42" s="328"/>
      <c r="CC42" s="328"/>
      <c r="CD42" s="328"/>
      <c r="CE42" s="328"/>
      <c r="CF42" s="328"/>
      <c r="CG42" s="328"/>
      <c r="CH42" s="328"/>
      <c r="CI42" s="328"/>
      <c r="CJ42" s="328"/>
      <c r="CK42" s="328"/>
      <c r="CL42" s="328"/>
      <c r="CM42" s="328"/>
      <c r="CN42" s="328"/>
      <c r="CO42" s="328"/>
      <c r="CP42" s="328"/>
      <c r="CQ42" s="328"/>
      <c r="CR42" s="328"/>
      <c r="CS42" s="328"/>
      <c r="CT42" s="328"/>
      <c r="CU42" s="328"/>
      <c r="CV42" s="328"/>
      <c r="CW42" s="328"/>
      <c r="CX42" s="328"/>
      <c r="CY42" s="328"/>
      <c r="CZ42" s="328"/>
      <c r="DA42" s="328"/>
      <c r="DB42" s="328"/>
      <c r="DC42" s="328"/>
      <c r="DD42" s="328"/>
      <c r="DE42" s="328"/>
      <c r="DF42" s="328"/>
      <c r="DG42" s="328"/>
      <c r="DH42" s="328"/>
      <c r="DI42" s="328"/>
      <c r="DJ42" s="328"/>
      <c r="DK42" s="328"/>
      <c r="DL42" s="395"/>
      <c r="DM42" s="395"/>
      <c r="DN42" s="328"/>
      <c r="DO42" s="328"/>
      <c r="DP42" s="328"/>
      <c r="DQ42" s="328"/>
      <c r="DR42" s="328"/>
      <c r="DS42" s="328"/>
      <c r="DT42" s="328"/>
      <c r="DU42" s="328"/>
      <c r="DV42" s="328"/>
      <c r="DW42" s="328"/>
      <c r="DX42" s="328"/>
      <c r="DY42" s="328"/>
      <c r="DZ42" s="328"/>
      <c r="EA42" s="328"/>
      <c r="EB42" s="328"/>
      <c r="EC42" s="328"/>
      <c r="ED42" s="328"/>
      <c r="EE42" s="328"/>
      <c r="EF42" s="328"/>
      <c r="EG42" s="328"/>
      <c r="EH42" s="328"/>
      <c r="EI42" s="328"/>
      <c r="EJ42" s="328"/>
      <c r="EK42" s="328"/>
      <c r="EL42" s="328"/>
      <c r="EM42" s="328"/>
      <c r="EN42" s="328"/>
      <c r="EO42" s="328"/>
      <c r="EP42" s="328"/>
      <c r="EQ42" s="328"/>
      <c r="ER42" s="1"/>
      <c r="ES42" s="1"/>
      <c r="ET42" s="1"/>
    </row>
    <row r="43" spans="1:157" ht="15.75" customHeight="1" x14ac:dyDescent="0.25">
      <c r="D43" s="16"/>
      <c r="E43" s="790" t="s">
        <v>80</v>
      </c>
      <c r="F43" s="791"/>
      <c r="G43" s="791"/>
      <c r="H43" s="791"/>
      <c r="I43" s="791"/>
      <c r="J43" s="791"/>
      <c r="K43" s="791"/>
      <c r="L43" s="791"/>
      <c r="M43" s="791"/>
      <c r="N43" s="791"/>
      <c r="O43" s="791"/>
      <c r="P43" s="791"/>
      <c r="Q43" s="791"/>
      <c r="R43" s="791"/>
      <c r="S43" s="791"/>
      <c r="T43" s="791"/>
      <c r="U43" s="792"/>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c r="AU43" s="328"/>
      <c r="AV43" s="328"/>
      <c r="AW43" s="328"/>
      <c r="AX43" s="328"/>
      <c r="AY43" s="328"/>
      <c r="AZ43" s="328"/>
      <c r="BA43" s="328"/>
      <c r="BB43" s="328"/>
      <c r="BC43" s="328"/>
      <c r="BD43" s="328"/>
      <c r="BE43" s="328"/>
      <c r="BF43" s="328"/>
      <c r="BG43" s="328"/>
      <c r="BH43" s="328"/>
      <c r="BI43" s="328"/>
      <c r="BJ43" s="328"/>
      <c r="BK43" s="328"/>
      <c r="BL43" s="328"/>
      <c r="BM43" s="328"/>
      <c r="BN43" s="328"/>
      <c r="BO43" s="328"/>
      <c r="BP43" s="328"/>
      <c r="BQ43" s="328"/>
      <c r="BR43" s="328"/>
      <c r="BS43" s="328"/>
      <c r="BT43" s="328"/>
      <c r="BU43" s="328"/>
      <c r="BV43" s="328"/>
      <c r="BW43" s="328"/>
      <c r="BX43" s="328"/>
      <c r="BY43" s="328"/>
      <c r="BZ43" s="328"/>
      <c r="CA43" s="328"/>
      <c r="CB43" s="328"/>
      <c r="CC43" s="328"/>
      <c r="CD43" s="328"/>
      <c r="CE43" s="328"/>
      <c r="CF43" s="328"/>
      <c r="CG43" s="328"/>
      <c r="CH43" s="328"/>
      <c r="CI43" s="328"/>
      <c r="CJ43" s="328"/>
      <c r="CK43" s="328"/>
      <c r="CL43" s="328"/>
      <c r="CM43" s="328"/>
      <c r="CN43" s="328"/>
      <c r="CO43" s="328"/>
      <c r="CP43" s="328"/>
      <c r="CQ43" s="328"/>
      <c r="CR43" s="328"/>
      <c r="CS43" s="328"/>
      <c r="CT43" s="328"/>
      <c r="CU43" s="328"/>
      <c r="CV43" s="328"/>
      <c r="CW43" s="328"/>
      <c r="CX43" s="328"/>
      <c r="CY43" s="328"/>
      <c r="CZ43" s="328"/>
      <c r="DA43" s="328"/>
      <c r="DB43" s="328"/>
      <c r="DC43" s="328"/>
      <c r="DD43" s="328"/>
      <c r="DE43" s="328"/>
      <c r="DF43" s="328"/>
      <c r="DG43" s="328"/>
      <c r="DH43" s="328"/>
      <c r="DI43" s="328"/>
      <c r="DJ43" s="328"/>
      <c r="DK43" s="328"/>
      <c r="DL43" s="328"/>
      <c r="DM43" s="328"/>
      <c r="DN43" s="328"/>
      <c r="DO43" s="328"/>
      <c r="DP43" s="328"/>
      <c r="DQ43" s="328"/>
      <c r="DR43" s="328"/>
      <c r="DS43" s="328"/>
      <c r="DT43" s="328"/>
      <c r="DU43" s="328"/>
      <c r="DV43" s="328"/>
      <c r="DW43" s="328"/>
      <c r="DX43" s="328"/>
      <c r="DY43" s="328"/>
      <c r="DZ43" s="328"/>
      <c r="EA43" s="328"/>
      <c r="EB43" s="328"/>
      <c r="EC43" s="328"/>
      <c r="ED43" s="328"/>
      <c r="EE43" s="328"/>
      <c r="EF43" s="328"/>
      <c r="EG43" s="328"/>
      <c r="EH43" s="328"/>
      <c r="EI43" s="328"/>
      <c r="EJ43" s="328"/>
      <c r="EK43" s="328"/>
      <c r="EL43" s="328"/>
      <c r="EM43" s="328"/>
      <c r="EN43" s="328"/>
      <c r="EO43" s="328"/>
      <c r="EP43" s="328"/>
      <c r="EQ43" s="328"/>
      <c r="ER43" s="1"/>
      <c r="ES43" s="1"/>
      <c r="ET43" s="1"/>
    </row>
    <row r="44" spans="1:157" ht="15.75" customHeight="1" x14ac:dyDescent="0.25">
      <c r="D44" s="13" t="s">
        <v>81</v>
      </c>
      <c r="E44" s="686" t="s">
        <v>82</v>
      </c>
      <c r="F44" s="683"/>
      <c r="G44" s="683"/>
      <c r="H44" s="683"/>
      <c r="I44" s="683"/>
      <c r="J44" s="683"/>
      <c r="K44" s="684"/>
      <c r="L44" s="687" t="s">
        <v>83</v>
      </c>
      <c r="M44" s="683"/>
      <c r="N44" s="683"/>
      <c r="O44" s="683"/>
      <c r="P44" s="683"/>
      <c r="Q44" s="683"/>
      <c r="R44" s="684"/>
      <c r="S44" s="17"/>
      <c r="T44" s="17"/>
      <c r="U44" s="17"/>
      <c r="V44" s="328"/>
      <c r="W44" s="328"/>
      <c r="X44" s="328"/>
      <c r="Y44" s="328"/>
      <c r="Z44" s="328"/>
      <c r="AA44" s="328"/>
      <c r="AB44" s="328"/>
      <c r="AC44" s="328"/>
      <c r="AD44" s="328"/>
      <c r="AE44" s="328"/>
      <c r="AF44" s="328"/>
      <c r="AG44" s="328"/>
      <c r="AH44" s="328"/>
      <c r="AI44" s="328"/>
      <c r="AJ44" s="328"/>
      <c r="AK44" s="328"/>
      <c r="AL44" s="328"/>
      <c r="AM44" s="328"/>
      <c r="AN44" s="328"/>
      <c r="AO44" s="328"/>
      <c r="AP44" s="328"/>
      <c r="AQ44" s="328"/>
      <c r="AR44" s="328"/>
      <c r="AS44" s="328"/>
      <c r="AT44" s="328"/>
      <c r="AU44" s="328"/>
      <c r="AV44" s="328"/>
      <c r="AW44" s="328"/>
      <c r="AX44" s="328"/>
      <c r="AY44" s="328"/>
      <c r="AZ44" s="328"/>
      <c r="BA44" s="328"/>
      <c r="BB44" s="328"/>
      <c r="BC44" s="328"/>
      <c r="BD44" s="328"/>
      <c r="BE44" s="328"/>
      <c r="BF44" s="328"/>
      <c r="BG44" s="328"/>
      <c r="BH44" s="328"/>
      <c r="BI44" s="328"/>
      <c r="BJ44" s="328"/>
      <c r="BK44" s="328"/>
      <c r="BL44" s="328"/>
      <c r="BM44" s="328"/>
      <c r="BN44" s="328"/>
      <c r="BO44" s="328"/>
      <c r="BP44" s="328"/>
      <c r="BQ44" s="328"/>
      <c r="BR44" s="328"/>
      <c r="BS44" s="328"/>
      <c r="BT44" s="328"/>
      <c r="BU44" s="328"/>
      <c r="BV44" s="328"/>
      <c r="BW44" s="328"/>
      <c r="BX44" s="328"/>
      <c r="BY44" s="328"/>
      <c r="BZ44" s="328"/>
      <c r="CA44" s="328"/>
      <c r="CB44" s="328"/>
      <c r="CC44" s="328"/>
      <c r="CD44" s="328"/>
      <c r="CE44" s="328"/>
      <c r="CF44" s="328"/>
      <c r="CG44" s="328"/>
      <c r="CH44" s="328"/>
      <c r="CI44" s="328"/>
      <c r="CJ44" s="328"/>
      <c r="CK44" s="328"/>
      <c r="CL44" s="328"/>
      <c r="CM44" s="328"/>
      <c r="CN44" s="328"/>
      <c r="CO44" s="328"/>
      <c r="CP44" s="328"/>
      <c r="CQ44" s="328"/>
      <c r="CR44" s="328"/>
      <c r="CS44" s="328"/>
      <c r="CT44" s="328"/>
      <c r="CU44" s="328"/>
      <c r="CV44" s="328"/>
      <c r="CW44" s="328"/>
      <c r="CX44" s="328"/>
      <c r="CY44" s="328"/>
      <c r="CZ44" s="328"/>
      <c r="DA44" s="328"/>
      <c r="DB44" s="328"/>
      <c r="DC44" s="328"/>
      <c r="DD44" s="328"/>
      <c r="DE44" s="328"/>
      <c r="DF44" s="328"/>
      <c r="DG44" s="328"/>
      <c r="DH44" s="328"/>
      <c r="DI44" s="328"/>
      <c r="DJ44" s="328"/>
      <c r="DK44" s="328"/>
      <c r="DL44" s="328"/>
      <c r="DM44" s="328"/>
      <c r="DN44" s="328"/>
      <c r="DO44" s="328"/>
      <c r="DP44" s="328"/>
      <c r="DQ44" s="328"/>
      <c r="DR44" s="328"/>
      <c r="DS44" s="328"/>
      <c r="DT44" s="328"/>
      <c r="DU44" s="328"/>
      <c r="DV44" s="328"/>
      <c r="DW44" s="328"/>
      <c r="DX44" s="328"/>
      <c r="DY44" s="328"/>
      <c r="DZ44" s="328"/>
      <c r="EA44" s="328"/>
      <c r="EB44" s="328"/>
      <c r="EC44" s="328"/>
      <c r="ED44" s="328"/>
      <c r="EE44" s="328"/>
      <c r="EF44" s="328"/>
      <c r="EG44" s="328"/>
      <c r="EH44" s="328"/>
      <c r="EI44" s="328"/>
      <c r="EJ44" s="328"/>
      <c r="EK44" s="328"/>
      <c r="EL44" s="328"/>
      <c r="EM44" s="328"/>
      <c r="EN44" s="328"/>
      <c r="EO44" s="328"/>
      <c r="EP44" s="328"/>
      <c r="EQ44" s="328"/>
      <c r="ER44" s="1"/>
      <c r="ES44" s="1"/>
      <c r="ET44" s="1"/>
    </row>
    <row r="45" spans="1:157" ht="15.75" customHeight="1" x14ac:dyDescent="0.25">
      <c r="D45" s="15">
        <v>13</v>
      </c>
      <c r="E45" s="682" t="s">
        <v>161</v>
      </c>
      <c r="F45" s="683"/>
      <c r="G45" s="683"/>
      <c r="H45" s="683"/>
      <c r="I45" s="683"/>
      <c r="J45" s="683"/>
      <c r="K45" s="684"/>
      <c r="L45" s="682" t="s">
        <v>85</v>
      </c>
      <c r="M45" s="683"/>
      <c r="N45" s="683"/>
      <c r="O45" s="683"/>
      <c r="P45" s="683"/>
      <c r="Q45" s="683"/>
      <c r="R45" s="684"/>
      <c r="S45" s="17"/>
      <c r="T45" s="17"/>
      <c r="U45" s="17"/>
      <c r="V45" s="328"/>
      <c r="W45" s="328"/>
      <c r="X45" s="328"/>
      <c r="Y45" s="328"/>
      <c r="Z45" s="328"/>
      <c r="AA45" s="328"/>
      <c r="AB45" s="328"/>
      <c r="AC45" s="328"/>
      <c r="AD45" s="328"/>
      <c r="AE45" s="328"/>
      <c r="AF45" s="328"/>
      <c r="AG45" s="328"/>
      <c r="AH45" s="328"/>
      <c r="AI45" s="328"/>
      <c r="AJ45" s="328"/>
      <c r="AK45" s="328"/>
      <c r="AL45" s="328"/>
      <c r="AM45" s="328"/>
      <c r="AN45" s="328"/>
      <c r="AO45" s="328"/>
      <c r="AP45" s="328"/>
      <c r="AQ45" s="328"/>
      <c r="AR45" s="328"/>
      <c r="AS45" s="328"/>
      <c r="AT45" s="328"/>
      <c r="AU45" s="328"/>
      <c r="AV45" s="328"/>
      <c r="AW45" s="328"/>
      <c r="AX45" s="328"/>
      <c r="AY45" s="328"/>
      <c r="AZ45" s="328"/>
      <c r="BA45" s="328"/>
      <c r="BB45" s="328"/>
      <c r="BC45" s="328"/>
      <c r="BD45" s="328"/>
      <c r="BE45" s="328"/>
      <c r="BF45" s="328"/>
      <c r="BG45" s="328"/>
      <c r="BH45" s="328"/>
      <c r="BI45" s="328"/>
      <c r="BJ45" s="328"/>
      <c r="BK45" s="328"/>
      <c r="BL45" s="328"/>
      <c r="BM45" s="328"/>
      <c r="BN45" s="328"/>
      <c r="BO45" s="328"/>
      <c r="BP45" s="328"/>
      <c r="BQ45" s="328"/>
      <c r="BR45" s="328"/>
      <c r="BS45" s="328"/>
      <c r="BT45" s="328"/>
      <c r="BU45" s="328"/>
      <c r="BV45" s="328"/>
      <c r="BW45" s="328"/>
      <c r="BX45" s="328"/>
      <c r="BY45" s="328"/>
      <c r="BZ45" s="328"/>
      <c r="CA45" s="328"/>
      <c r="CB45" s="328"/>
      <c r="CC45" s="328"/>
      <c r="CD45" s="328"/>
      <c r="CE45" s="328"/>
      <c r="CF45" s="328"/>
      <c r="CG45" s="328"/>
      <c r="CH45" s="328"/>
      <c r="CI45" s="328"/>
      <c r="CJ45" s="328"/>
      <c r="CK45" s="328"/>
      <c r="CL45" s="328"/>
      <c r="CM45" s="328"/>
      <c r="CN45" s="328"/>
      <c r="CO45" s="328"/>
      <c r="CP45" s="328"/>
      <c r="CQ45" s="328"/>
      <c r="CR45" s="328"/>
      <c r="CS45" s="328"/>
      <c r="CT45" s="328"/>
      <c r="CU45" s="328"/>
      <c r="CV45" s="328"/>
      <c r="CW45" s="328"/>
      <c r="CX45" s="328"/>
      <c r="CY45" s="328"/>
      <c r="CZ45" s="328"/>
      <c r="DA45" s="328"/>
      <c r="DB45" s="328"/>
      <c r="DC45" s="328"/>
      <c r="DD45" s="328"/>
      <c r="DE45" s="328"/>
      <c r="DF45" s="328"/>
      <c r="DG45" s="328"/>
      <c r="DH45" s="328"/>
      <c r="DI45" s="328"/>
      <c r="DJ45" s="328"/>
      <c r="DK45" s="328"/>
      <c r="DL45" s="328"/>
      <c r="DM45" s="328"/>
      <c r="DN45" s="328"/>
      <c r="DO45" s="328"/>
      <c r="DP45" s="328"/>
      <c r="DQ45" s="328"/>
      <c r="DR45" s="328"/>
      <c r="DS45" s="328"/>
      <c r="DT45" s="328"/>
      <c r="DU45" s="328"/>
      <c r="DV45" s="328"/>
      <c r="DW45" s="328"/>
      <c r="DX45" s="328"/>
      <c r="DY45" s="328"/>
      <c r="DZ45" s="328"/>
      <c r="EA45" s="328"/>
      <c r="EB45" s="328"/>
      <c r="EC45" s="328"/>
      <c r="ED45" s="328"/>
      <c r="EE45" s="328"/>
      <c r="EF45" s="328"/>
      <c r="EG45" s="328"/>
      <c r="EH45" s="328"/>
      <c r="EI45" s="328"/>
      <c r="EJ45" s="328"/>
      <c r="EK45" s="328"/>
      <c r="EL45" s="328"/>
      <c r="EM45" s="328"/>
      <c r="EN45" s="328"/>
      <c r="EO45" s="328"/>
      <c r="EP45" s="328"/>
      <c r="EQ45" s="328"/>
      <c r="ER45" s="1"/>
      <c r="ES45" s="1"/>
      <c r="ET45" s="1"/>
    </row>
    <row r="46" spans="1:157" ht="15.75" customHeight="1" x14ac:dyDescent="0.25">
      <c r="D46" s="15">
        <v>14</v>
      </c>
      <c r="E46" s="682" t="s">
        <v>86</v>
      </c>
      <c r="F46" s="683"/>
      <c r="G46" s="683"/>
      <c r="H46" s="683"/>
      <c r="I46" s="683"/>
      <c r="J46" s="683"/>
      <c r="K46" s="684"/>
      <c r="L46" s="685" t="s">
        <v>162</v>
      </c>
      <c r="M46" s="683"/>
      <c r="N46" s="683"/>
      <c r="O46" s="683"/>
      <c r="P46" s="683"/>
      <c r="Q46" s="683"/>
      <c r="R46" s="684"/>
      <c r="S46" s="17"/>
      <c r="T46" s="17"/>
      <c r="U46" s="17"/>
      <c r="V46" s="328"/>
      <c r="W46" s="328"/>
      <c r="X46" s="328"/>
      <c r="Y46" s="328"/>
      <c r="Z46" s="328"/>
      <c r="AA46" s="328"/>
      <c r="AB46" s="328"/>
      <c r="AC46" s="328"/>
      <c r="AD46" s="328"/>
      <c r="AE46" s="328"/>
      <c r="AF46" s="328"/>
      <c r="AG46" s="328"/>
      <c r="AH46" s="328"/>
      <c r="AI46" s="328"/>
      <c r="AJ46" s="328"/>
      <c r="AK46" s="328"/>
      <c r="AL46" s="328"/>
      <c r="AM46" s="328"/>
      <c r="AN46" s="328"/>
      <c r="AO46" s="328"/>
      <c r="AP46" s="328"/>
      <c r="AQ46" s="328"/>
      <c r="AR46" s="328"/>
      <c r="AS46" s="328"/>
      <c r="AT46" s="328"/>
      <c r="AU46" s="328"/>
      <c r="AV46" s="328"/>
      <c r="AW46" s="328"/>
      <c r="AX46" s="328"/>
      <c r="AY46" s="328"/>
      <c r="AZ46" s="328"/>
      <c r="BA46" s="328"/>
      <c r="BB46" s="328"/>
      <c r="BC46" s="328"/>
      <c r="BD46" s="328"/>
      <c r="BE46" s="328"/>
      <c r="BF46" s="328"/>
      <c r="BG46" s="328"/>
      <c r="BH46" s="328"/>
      <c r="BI46" s="328"/>
      <c r="BJ46" s="328"/>
      <c r="BK46" s="328"/>
      <c r="BL46" s="328"/>
      <c r="BM46" s="328"/>
      <c r="BN46" s="328"/>
      <c r="BO46" s="328"/>
      <c r="BP46" s="328"/>
      <c r="BQ46" s="328"/>
      <c r="BR46" s="328"/>
      <c r="BS46" s="328"/>
      <c r="BT46" s="328"/>
      <c r="BU46" s="328"/>
      <c r="BV46" s="328"/>
      <c r="BW46" s="328"/>
      <c r="BX46" s="328"/>
      <c r="BY46" s="328"/>
      <c r="BZ46" s="328"/>
      <c r="CA46" s="328"/>
      <c r="CB46" s="328"/>
      <c r="CC46" s="328"/>
      <c r="CD46" s="328"/>
      <c r="CE46" s="328"/>
      <c r="CF46" s="328"/>
      <c r="CG46" s="328"/>
      <c r="CH46" s="328"/>
      <c r="CI46" s="328"/>
      <c r="CJ46" s="328"/>
      <c r="CK46" s="328"/>
      <c r="CL46" s="328"/>
      <c r="CM46" s="328"/>
      <c r="CN46" s="328"/>
      <c r="CO46" s="328"/>
      <c r="CP46" s="328"/>
      <c r="CQ46" s="328"/>
      <c r="CR46" s="328"/>
      <c r="CS46" s="328"/>
      <c r="CT46" s="328"/>
      <c r="CU46" s="328"/>
      <c r="CV46" s="328"/>
      <c r="CW46" s="328"/>
      <c r="CX46" s="328"/>
      <c r="CY46" s="328"/>
      <c r="CZ46" s="328"/>
      <c r="DA46" s="328"/>
      <c r="DB46" s="328"/>
      <c r="DC46" s="328"/>
      <c r="DD46" s="328"/>
      <c r="DE46" s="328"/>
      <c r="DF46" s="328"/>
      <c r="DG46" s="328"/>
      <c r="DH46" s="328"/>
      <c r="DI46" s="328"/>
      <c r="DJ46" s="328"/>
      <c r="DK46" s="328"/>
      <c r="DL46" s="328"/>
      <c r="DM46" s="328"/>
      <c r="DN46" s="328"/>
      <c r="DO46" s="328"/>
      <c r="DP46" s="328"/>
      <c r="DQ46" s="328"/>
      <c r="DR46" s="328"/>
      <c r="DS46" s="328"/>
      <c r="DT46" s="328"/>
      <c r="DU46" s="328"/>
      <c r="DV46" s="328"/>
      <c r="DW46" s="328"/>
      <c r="DX46" s="328"/>
      <c r="DY46" s="328"/>
      <c r="DZ46" s="328"/>
      <c r="EA46" s="328"/>
      <c r="EB46" s="328"/>
      <c r="EC46" s="328"/>
      <c r="ED46" s="328"/>
      <c r="EE46" s="328"/>
      <c r="EF46" s="328"/>
      <c r="EG46" s="328"/>
      <c r="EH46" s="328"/>
      <c r="EI46" s="328"/>
      <c r="EJ46" s="328"/>
      <c r="EK46" s="328"/>
      <c r="EL46" s="328"/>
      <c r="EM46" s="328"/>
      <c r="EN46" s="328"/>
      <c r="EO46" s="328"/>
      <c r="EP46" s="328"/>
      <c r="EQ46" s="328"/>
      <c r="ER46" s="1"/>
      <c r="ES46" s="1"/>
      <c r="ET46" s="1"/>
    </row>
    <row r="47" spans="1:157" ht="15.75" customHeight="1" x14ac:dyDescent="0.25">
      <c r="D47" s="326"/>
      <c r="E47" s="326"/>
      <c r="F47" s="327"/>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8"/>
      <c r="AL47" s="328"/>
      <c r="AM47" s="328"/>
      <c r="AN47" s="328"/>
      <c r="AO47" s="328"/>
      <c r="AP47" s="328"/>
      <c r="AQ47" s="328"/>
      <c r="AR47" s="328"/>
      <c r="AS47" s="328"/>
      <c r="AT47" s="328"/>
      <c r="AU47" s="328"/>
      <c r="AV47" s="328"/>
      <c r="AW47" s="328"/>
      <c r="AX47" s="328"/>
      <c r="AY47" s="328"/>
      <c r="AZ47" s="328"/>
      <c r="BA47" s="328"/>
      <c r="BB47" s="328"/>
      <c r="BC47" s="328"/>
      <c r="BD47" s="328"/>
      <c r="BE47" s="328"/>
      <c r="BF47" s="328"/>
      <c r="BG47" s="328"/>
      <c r="BH47" s="328"/>
      <c r="BI47" s="328"/>
      <c r="BJ47" s="328"/>
      <c r="BK47" s="328"/>
      <c r="BL47" s="328"/>
      <c r="BM47" s="328"/>
      <c r="BN47" s="328"/>
      <c r="BO47" s="328"/>
      <c r="BP47" s="328"/>
      <c r="BQ47" s="328"/>
      <c r="BR47" s="328"/>
      <c r="BS47" s="328"/>
      <c r="BT47" s="328"/>
      <c r="BU47" s="328"/>
      <c r="BV47" s="328"/>
      <c r="BW47" s="328"/>
      <c r="BX47" s="328"/>
      <c r="BY47" s="328"/>
      <c r="BZ47" s="328"/>
      <c r="CA47" s="328"/>
      <c r="CB47" s="328"/>
      <c r="CC47" s="328"/>
      <c r="CD47" s="328"/>
      <c r="CE47" s="328"/>
      <c r="CF47" s="328"/>
      <c r="CG47" s="328"/>
      <c r="CH47" s="328"/>
      <c r="CI47" s="328"/>
      <c r="CJ47" s="328"/>
      <c r="CK47" s="328"/>
      <c r="CL47" s="328"/>
      <c r="CM47" s="328"/>
      <c r="CN47" s="328"/>
      <c r="CO47" s="328"/>
      <c r="CP47" s="328"/>
      <c r="CQ47" s="328"/>
      <c r="CR47" s="328"/>
      <c r="CS47" s="328"/>
      <c r="CT47" s="328"/>
      <c r="CU47" s="328"/>
      <c r="CV47" s="328"/>
      <c r="CW47" s="328"/>
      <c r="CX47" s="328"/>
      <c r="CY47" s="328"/>
      <c r="CZ47" s="328"/>
      <c r="DA47" s="328"/>
      <c r="DB47" s="328"/>
      <c r="DC47" s="328"/>
      <c r="DD47" s="328"/>
      <c r="DE47" s="328"/>
      <c r="DF47" s="328"/>
      <c r="DG47" s="328"/>
      <c r="DH47" s="328"/>
      <c r="DI47" s="328"/>
      <c r="DJ47" s="328"/>
      <c r="DK47" s="328"/>
      <c r="DL47" s="328"/>
      <c r="DM47" s="328"/>
      <c r="DN47" s="328"/>
      <c r="DO47" s="328"/>
      <c r="DP47" s="328"/>
      <c r="DQ47" s="328"/>
      <c r="DR47" s="328"/>
      <c r="DS47" s="328"/>
      <c r="DT47" s="328"/>
      <c r="DU47" s="328"/>
      <c r="DV47" s="328"/>
      <c r="DW47" s="328"/>
      <c r="DX47" s="328"/>
      <c r="DY47" s="328"/>
      <c r="DZ47" s="328"/>
      <c r="EA47" s="328"/>
      <c r="EB47" s="328"/>
      <c r="EC47" s="328"/>
      <c r="ED47" s="328"/>
      <c r="EE47" s="328"/>
      <c r="EF47" s="328"/>
      <c r="EG47" s="328"/>
      <c r="EH47" s="328"/>
      <c r="EI47" s="328"/>
      <c r="EJ47" s="328"/>
      <c r="EK47" s="328"/>
      <c r="EL47" s="328"/>
      <c r="EM47" s="328"/>
      <c r="EN47" s="328"/>
      <c r="EO47" s="328"/>
      <c r="EP47" s="328"/>
      <c r="EQ47" s="328"/>
      <c r="ER47" s="1"/>
      <c r="ES47" s="1"/>
      <c r="ET47" s="1"/>
    </row>
    <row r="48" spans="1:157" ht="15.75" customHeight="1" x14ac:dyDescent="0.25">
      <c r="D48" s="326"/>
      <c r="E48" s="326"/>
      <c r="F48" s="327"/>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8"/>
      <c r="AT48" s="328"/>
      <c r="AU48" s="328"/>
      <c r="AV48" s="328"/>
      <c r="AW48" s="328"/>
      <c r="AX48" s="328"/>
      <c r="AY48" s="328"/>
      <c r="AZ48" s="328"/>
      <c r="BA48" s="328"/>
      <c r="BB48" s="328"/>
      <c r="BC48" s="328"/>
      <c r="BD48" s="328"/>
      <c r="BE48" s="328"/>
      <c r="BF48" s="328"/>
      <c r="BG48" s="328"/>
      <c r="BH48" s="328"/>
      <c r="BI48" s="328"/>
      <c r="BJ48" s="328"/>
      <c r="BK48" s="328"/>
      <c r="BL48" s="328"/>
      <c r="BM48" s="328"/>
      <c r="BN48" s="328"/>
      <c r="BO48" s="328"/>
      <c r="BP48" s="328"/>
      <c r="BQ48" s="328"/>
      <c r="BR48" s="328"/>
      <c r="BS48" s="328"/>
      <c r="BT48" s="328"/>
      <c r="BU48" s="328"/>
      <c r="BV48" s="328"/>
      <c r="BW48" s="328"/>
      <c r="BX48" s="328"/>
      <c r="BY48" s="328"/>
      <c r="BZ48" s="328"/>
      <c r="CA48" s="328"/>
      <c r="CB48" s="328"/>
      <c r="CC48" s="328"/>
      <c r="CD48" s="328"/>
      <c r="CE48" s="328"/>
      <c r="CF48" s="328"/>
      <c r="CG48" s="328"/>
      <c r="CH48" s="328"/>
      <c r="CI48" s="328"/>
      <c r="CJ48" s="328"/>
      <c r="CK48" s="328"/>
      <c r="CL48" s="328"/>
      <c r="CM48" s="328"/>
      <c r="CN48" s="328"/>
      <c r="CO48" s="328"/>
      <c r="CP48" s="328"/>
      <c r="CQ48" s="328"/>
      <c r="CR48" s="328"/>
      <c r="CS48" s="328"/>
      <c r="CT48" s="328"/>
      <c r="CU48" s="328"/>
      <c r="CV48" s="328"/>
      <c r="CW48" s="328"/>
      <c r="CX48" s="328"/>
      <c r="CY48" s="328"/>
      <c r="CZ48" s="328"/>
      <c r="DA48" s="328"/>
      <c r="DB48" s="328"/>
      <c r="DC48" s="328"/>
      <c r="DD48" s="328"/>
      <c r="DE48" s="328"/>
      <c r="DF48" s="328"/>
      <c r="DG48" s="328"/>
      <c r="DH48" s="328"/>
      <c r="DI48" s="328"/>
      <c r="DJ48" s="328"/>
      <c r="DK48" s="328"/>
      <c r="DL48" s="328"/>
      <c r="DM48" s="328"/>
      <c r="DN48" s="328"/>
      <c r="DO48" s="328"/>
      <c r="DP48" s="328"/>
      <c r="DQ48" s="328"/>
      <c r="DR48" s="328"/>
      <c r="DS48" s="328"/>
      <c r="DT48" s="328"/>
      <c r="DU48" s="328"/>
      <c r="DV48" s="328"/>
      <c r="DW48" s="328"/>
      <c r="DX48" s="328"/>
      <c r="DY48" s="328"/>
      <c r="DZ48" s="328"/>
      <c r="EA48" s="328"/>
      <c r="EB48" s="328"/>
      <c r="EC48" s="328"/>
      <c r="ED48" s="328"/>
      <c r="EE48" s="328"/>
      <c r="EF48" s="328"/>
      <c r="EG48" s="328"/>
      <c r="EH48" s="328"/>
      <c r="EI48" s="328"/>
      <c r="EJ48" s="328"/>
      <c r="EK48" s="328"/>
      <c r="EL48" s="328"/>
      <c r="EM48" s="328"/>
      <c r="EN48" s="328"/>
      <c r="EO48" s="328"/>
      <c r="EP48" s="328"/>
      <c r="EQ48" s="328"/>
      <c r="ER48" s="1"/>
      <c r="ES48" s="1"/>
      <c r="ET48" s="1"/>
    </row>
    <row r="49" spans="4:150" ht="15.75" customHeight="1" x14ac:dyDescent="0.25">
      <c r="D49" s="326"/>
      <c r="E49" s="326"/>
      <c r="F49" s="327"/>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328"/>
      <c r="AY49" s="328"/>
      <c r="AZ49" s="328"/>
      <c r="BA49" s="328"/>
      <c r="BB49" s="328"/>
      <c r="BC49" s="328"/>
      <c r="BD49" s="328"/>
      <c r="BE49" s="328"/>
      <c r="BF49" s="328"/>
      <c r="BG49" s="328"/>
      <c r="BH49" s="328"/>
      <c r="BI49" s="328"/>
      <c r="BJ49" s="328"/>
      <c r="BK49" s="328"/>
      <c r="BL49" s="328"/>
      <c r="BM49" s="328"/>
      <c r="BN49" s="328"/>
      <c r="BO49" s="328"/>
      <c r="BP49" s="328"/>
      <c r="BQ49" s="328"/>
      <c r="BR49" s="328"/>
      <c r="BS49" s="328"/>
      <c r="BT49" s="328"/>
      <c r="BU49" s="328"/>
      <c r="BV49" s="328"/>
      <c r="BW49" s="328"/>
      <c r="BX49" s="328"/>
      <c r="BY49" s="328"/>
      <c r="BZ49" s="328"/>
      <c r="CA49" s="328"/>
      <c r="CB49" s="328"/>
      <c r="CC49" s="328"/>
      <c r="CD49" s="328"/>
      <c r="CE49" s="328"/>
      <c r="CF49" s="328"/>
      <c r="CG49" s="328"/>
      <c r="CH49" s="328"/>
      <c r="CI49" s="328"/>
      <c r="CJ49" s="328"/>
      <c r="CK49" s="328"/>
      <c r="CL49" s="328"/>
      <c r="CM49" s="328"/>
      <c r="CN49" s="328"/>
      <c r="CO49" s="328"/>
      <c r="CP49" s="328"/>
      <c r="CQ49" s="328"/>
      <c r="CR49" s="328"/>
      <c r="CS49" s="328"/>
      <c r="CT49" s="328"/>
      <c r="CU49" s="328"/>
      <c r="CV49" s="328"/>
      <c r="CW49" s="328"/>
      <c r="CX49" s="328"/>
      <c r="CY49" s="328"/>
      <c r="CZ49" s="328"/>
      <c r="DA49" s="328"/>
      <c r="DB49" s="328"/>
      <c r="DC49" s="328"/>
      <c r="DD49" s="328"/>
      <c r="DE49" s="328"/>
      <c r="DF49" s="328"/>
      <c r="DG49" s="328"/>
      <c r="DH49" s="328"/>
      <c r="DI49" s="328"/>
      <c r="DJ49" s="328"/>
      <c r="DK49" s="328"/>
      <c r="DL49" s="328"/>
      <c r="DM49" s="328"/>
      <c r="DN49" s="328"/>
      <c r="DO49" s="328"/>
      <c r="DP49" s="328"/>
      <c r="DQ49" s="328"/>
      <c r="DR49" s="328"/>
      <c r="DS49" s="328"/>
      <c r="DT49" s="328"/>
      <c r="DU49" s="328"/>
      <c r="DV49" s="328"/>
      <c r="DW49" s="328"/>
      <c r="DX49" s="328"/>
      <c r="DY49" s="328"/>
      <c r="DZ49" s="328"/>
      <c r="EA49" s="328"/>
      <c r="EB49" s="328"/>
      <c r="EC49" s="328"/>
      <c r="ED49" s="328"/>
      <c r="EE49" s="328"/>
      <c r="EF49" s="328"/>
      <c r="EG49" s="328"/>
      <c r="EH49" s="328"/>
      <c r="EI49" s="328"/>
      <c r="EJ49" s="328"/>
      <c r="EK49" s="328"/>
      <c r="EL49" s="328"/>
      <c r="EM49" s="328"/>
      <c r="EN49" s="328"/>
      <c r="EO49" s="328"/>
      <c r="EP49" s="328"/>
      <c r="EQ49" s="328"/>
      <c r="ER49" s="1"/>
      <c r="ES49" s="1"/>
      <c r="ET49" s="1"/>
    </row>
    <row r="50" spans="4:150" ht="15.75" customHeight="1" x14ac:dyDescent="0.25">
      <c r="D50" s="326"/>
      <c r="E50" s="326"/>
      <c r="F50" s="327"/>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c r="BH50" s="328"/>
      <c r="BI50" s="328"/>
      <c r="BJ50" s="328"/>
      <c r="BK50" s="328"/>
      <c r="BL50" s="328"/>
      <c r="BM50" s="328"/>
      <c r="BN50" s="328"/>
      <c r="BO50" s="328"/>
      <c r="BP50" s="328"/>
      <c r="BQ50" s="328"/>
      <c r="BR50" s="328"/>
      <c r="BS50" s="328"/>
      <c r="BT50" s="328"/>
      <c r="BU50" s="328"/>
      <c r="BV50" s="328"/>
      <c r="BW50" s="328"/>
      <c r="BX50" s="328"/>
      <c r="BY50" s="328"/>
      <c r="BZ50" s="328"/>
      <c r="CA50" s="328"/>
      <c r="CB50" s="328"/>
      <c r="CC50" s="328"/>
      <c r="CD50" s="328"/>
      <c r="CE50" s="328"/>
      <c r="CF50" s="328"/>
      <c r="CG50" s="328"/>
      <c r="CH50" s="328"/>
      <c r="CI50" s="328"/>
      <c r="CJ50" s="328"/>
      <c r="CK50" s="328"/>
      <c r="CL50" s="328"/>
      <c r="CM50" s="328"/>
      <c r="CN50" s="328"/>
      <c r="CO50" s="328"/>
      <c r="CP50" s="328"/>
      <c r="CQ50" s="328"/>
      <c r="CR50" s="328"/>
      <c r="CS50" s="328"/>
      <c r="CT50" s="328"/>
      <c r="CU50" s="328"/>
      <c r="CV50" s="328"/>
      <c r="CW50" s="328"/>
      <c r="CX50" s="328"/>
      <c r="CY50" s="328"/>
      <c r="CZ50" s="328"/>
      <c r="DA50" s="328"/>
      <c r="DB50" s="328"/>
      <c r="DC50" s="328"/>
      <c r="DD50" s="328"/>
      <c r="DE50" s="328"/>
      <c r="DF50" s="328"/>
      <c r="DG50" s="328"/>
      <c r="DH50" s="328"/>
      <c r="DI50" s="328"/>
      <c r="DJ50" s="328"/>
      <c r="DK50" s="328"/>
      <c r="DL50" s="328"/>
      <c r="DM50" s="328"/>
      <c r="DN50" s="328"/>
      <c r="DO50" s="328"/>
      <c r="DP50" s="328"/>
      <c r="DQ50" s="328"/>
      <c r="DR50" s="328"/>
      <c r="DS50" s="328"/>
      <c r="DT50" s="328"/>
      <c r="DU50" s="328"/>
      <c r="DV50" s="328"/>
      <c r="DW50" s="328"/>
      <c r="DX50" s="328"/>
      <c r="DY50" s="328"/>
      <c r="DZ50" s="328"/>
      <c r="EA50" s="328"/>
      <c r="EB50" s="328"/>
      <c r="EC50" s="328"/>
      <c r="ED50" s="328"/>
      <c r="EE50" s="328"/>
      <c r="EF50" s="328"/>
      <c r="EG50" s="328"/>
      <c r="EH50" s="328"/>
      <c r="EI50" s="328"/>
      <c r="EJ50" s="328"/>
      <c r="EK50" s="328"/>
      <c r="EL50" s="328"/>
      <c r="EM50" s="328"/>
      <c r="EN50" s="328"/>
      <c r="EO50" s="328"/>
      <c r="EP50" s="328"/>
      <c r="EQ50" s="328"/>
      <c r="ER50" s="1"/>
      <c r="ES50" s="1"/>
      <c r="ET50" s="1"/>
    </row>
    <row r="51" spans="4:150" ht="15.75" customHeight="1" x14ac:dyDescent="0.25">
      <c r="D51" s="326"/>
      <c r="E51" s="326"/>
      <c r="F51" s="327"/>
      <c r="G51" s="328"/>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c r="AN51" s="328"/>
      <c r="AO51" s="328"/>
      <c r="AP51" s="328"/>
      <c r="AQ51" s="328"/>
      <c r="AR51" s="328"/>
      <c r="AS51" s="328"/>
      <c r="AT51" s="328"/>
      <c r="AU51" s="328"/>
      <c r="AV51" s="328"/>
      <c r="AW51" s="328"/>
      <c r="AX51" s="328"/>
      <c r="AY51" s="328"/>
      <c r="AZ51" s="328"/>
      <c r="BA51" s="328"/>
      <c r="BB51" s="328"/>
      <c r="BC51" s="328"/>
      <c r="BD51" s="328"/>
      <c r="BE51" s="328"/>
      <c r="BF51" s="328"/>
      <c r="BG51" s="328"/>
      <c r="BH51" s="328"/>
      <c r="BI51" s="328"/>
      <c r="BJ51" s="328"/>
      <c r="BK51" s="328"/>
      <c r="BL51" s="328"/>
      <c r="BM51" s="328"/>
      <c r="BN51" s="328"/>
      <c r="BO51" s="328"/>
      <c r="BP51" s="328"/>
      <c r="BQ51" s="328"/>
      <c r="BR51" s="328"/>
      <c r="BS51" s="328"/>
      <c r="BT51" s="328"/>
      <c r="BU51" s="328"/>
      <c r="BV51" s="328"/>
      <c r="BW51" s="328"/>
      <c r="BX51" s="328"/>
      <c r="BY51" s="328"/>
      <c r="BZ51" s="328"/>
      <c r="CA51" s="328"/>
      <c r="CB51" s="328"/>
      <c r="CC51" s="328"/>
      <c r="CD51" s="328"/>
      <c r="CE51" s="328"/>
      <c r="CF51" s="328"/>
      <c r="CG51" s="328"/>
      <c r="CH51" s="328"/>
      <c r="CI51" s="328"/>
      <c r="CJ51" s="328"/>
      <c r="CK51" s="328"/>
      <c r="CL51" s="328"/>
      <c r="CM51" s="328"/>
      <c r="CN51" s="328"/>
      <c r="CO51" s="328"/>
      <c r="CP51" s="328"/>
      <c r="CQ51" s="328"/>
      <c r="CR51" s="328"/>
      <c r="CS51" s="328"/>
      <c r="CT51" s="328"/>
      <c r="CU51" s="328"/>
      <c r="CV51" s="328"/>
      <c r="CW51" s="328"/>
      <c r="CX51" s="328"/>
      <c r="CY51" s="328"/>
      <c r="CZ51" s="328"/>
      <c r="DA51" s="328"/>
      <c r="DB51" s="328"/>
      <c r="DC51" s="328"/>
      <c r="DD51" s="328"/>
      <c r="DE51" s="328"/>
      <c r="DF51" s="328"/>
      <c r="DG51" s="328"/>
      <c r="DH51" s="328"/>
      <c r="DI51" s="328"/>
      <c r="DJ51" s="328"/>
      <c r="DK51" s="328"/>
      <c r="DL51" s="328"/>
      <c r="DM51" s="328"/>
      <c r="DN51" s="328"/>
      <c r="DO51" s="328"/>
      <c r="DP51" s="328"/>
      <c r="DQ51" s="328"/>
      <c r="DR51" s="328"/>
      <c r="DS51" s="328"/>
      <c r="DT51" s="328"/>
      <c r="DU51" s="328"/>
      <c r="DV51" s="328"/>
      <c r="DW51" s="328"/>
      <c r="DX51" s="328"/>
      <c r="DY51" s="328"/>
      <c r="DZ51" s="328"/>
      <c r="EA51" s="328"/>
      <c r="EB51" s="328"/>
      <c r="EC51" s="328"/>
      <c r="ED51" s="328"/>
      <c r="EE51" s="328"/>
      <c r="EF51" s="328"/>
      <c r="EG51" s="328"/>
      <c r="EH51" s="328"/>
      <c r="EI51" s="328"/>
      <c r="EJ51" s="328"/>
      <c r="EK51" s="328"/>
      <c r="EL51" s="328"/>
      <c r="EM51" s="328"/>
      <c r="EN51" s="328"/>
      <c r="EO51" s="328"/>
      <c r="EP51" s="328"/>
      <c r="EQ51" s="328"/>
      <c r="ER51" s="1"/>
      <c r="ES51" s="1"/>
      <c r="ET51" s="1"/>
    </row>
    <row r="52" spans="4:150" ht="15.75" customHeight="1" x14ac:dyDescent="0.25">
      <c r="D52" s="326"/>
      <c r="E52" s="326"/>
      <c r="F52" s="327"/>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8"/>
      <c r="AO52" s="328"/>
      <c r="AP52" s="328"/>
      <c r="AQ52" s="328"/>
      <c r="AR52" s="328"/>
      <c r="AS52" s="328"/>
      <c r="AT52" s="328"/>
      <c r="AU52" s="328"/>
      <c r="AV52" s="328"/>
      <c r="AW52" s="328"/>
      <c r="AX52" s="328"/>
      <c r="AY52" s="328"/>
      <c r="AZ52" s="328"/>
      <c r="BA52" s="328"/>
      <c r="BB52" s="328"/>
      <c r="BC52" s="328"/>
      <c r="BD52" s="328"/>
      <c r="BE52" s="328"/>
      <c r="BF52" s="328"/>
      <c r="BG52" s="328"/>
      <c r="BH52" s="328"/>
      <c r="BI52" s="328"/>
      <c r="BJ52" s="328"/>
      <c r="BK52" s="328"/>
      <c r="BL52" s="328"/>
      <c r="BM52" s="328"/>
      <c r="BN52" s="328"/>
      <c r="BO52" s="328"/>
      <c r="BP52" s="328"/>
      <c r="BQ52" s="328"/>
      <c r="BR52" s="328"/>
      <c r="BS52" s="328"/>
      <c r="BT52" s="328"/>
      <c r="BU52" s="328"/>
      <c r="BV52" s="328"/>
      <c r="BW52" s="328"/>
      <c r="BX52" s="328"/>
      <c r="BY52" s="328"/>
      <c r="BZ52" s="328"/>
      <c r="CA52" s="328"/>
      <c r="CB52" s="328"/>
      <c r="CC52" s="328"/>
      <c r="CD52" s="328"/>
      <c r="CE52" s="328"/>
      <c r="CF52" s="328"/>
      <c r="CG52" s="328"/>
      <c r="CH52" s="328"/>
      <c r="CI52" s="328"/>
      <c r="CJ52" s="328"/>
      <c r="CK52" s="328"/>
      <c r="CL52" s="328"/>
      <c r="CM52" s="328"/>
      <c r="CN52" s="328"/>
      <c r="CO52" s="328"/>
      <c r="CP52" s="328"/>
      <c r="CQ52" s="328"/>
      <c r="CR52" s="328"/>
      <c r="CS52" s="328"/>
      <c r="CT52" s="328"/>
      <c r="CU52" s="328"/>
      <c r="CV52" s="328"/>
      <c r="CW52" s="328"/>
      <c r="CX52" s="328"/>
      <c r="CY52" s="328"/>
      <c r="CZ52" s="328"/>
      <c r="DA52" s="328"/>
      <c r="DB52" s="328"/>
      <c r="DC52" s="328"/>
      <c r="DD52" s="328"/>
      <c r="DE52" s="328"/>
      <c r="DF52" s="328"/>
      <c r="DG52" s="328"/>
      <c r="DH52" s="328"/>
      <c r="DI52" s="328"/>
      <c r="DJ52" s="328"/>
      <c r="DK52" s="328"/>
      <c r="DL52" s="328"/>
      <c r="DM52" s="328"/>
      <c r="DN52" s="328"/>
      <c r="DO52" s="328"/>
      <c r="DP52" s="328"/>
      <c r="DQ52" s="328"/>
      <c r="DR52" s="328"/>
      <c r="DS52" s="328"/>
      <c r="DT52" s="328"/>
      <c r="DU52" s="328"/>
      <c r="DV52" s="328"/>
      <c r="DW52" s="328"/>
      <c r="DX52" s="328"/>
      <c r="DY52" s="328"/>
      <c r="DZ52" s="328"/>
      <c r="EA52" s="328"/>
      <c r="EB52" s="328"/>
      <c r="EC52" s="328"/>
      <c r="ED52" s="328"/>
      <c r="EE52" s="328"/>
      <c r="EF52" s="328"/>
      <c r="EG52" s="328"/>
      <c r="EH52" s="328"/>
      <c r="EI52" s="328"/>
      <c r="EJ52" s="328"/>
      <c r="EK52" s="328"/>
      <c r="EL52" s="328"/>
      <c r="EM52" s="328"/>
      <c r="EN52" s="328"/>
      <c r="EO52" s="328"/>
      <c r="EP52" s="328"/>
      <c r="EQ52" s="328"/>
      <c r="ER52" s="1"/>
      <c r="ES52" s="1"/>
      <c r="ET52" s="1"/>
    </row>
    <row r="53" spans="4:150" ht="15.75" customHeight="1" x14ac:dyDescent="0.25">
      <c r="D53" s="326"/>
      <c r="E53" s="326"/>
      <c r="F53" s="327"/>
      <c r="G53" s="328"/>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c r="AN53" s="328"/>
      <c r="AO53" s="328"/>
      <c r="AP53" s="328"/>
      <c r="AQ53" s="328"/>
      <c r="AR53" s="328"/>
      <c r="AS53" s="328"/>
      <c r="AT53" s="328"/>
      <c r="AU53" s="328"/>
      <c r="AV53" s="328"/>
      <c r="AW53" s="328"/>
      <c r="AX53" s="328"/>
      <c r="AY53" s="328"/>
      <c r="AZ53" s="328"/>
      <c r="BA53" s="328"/>
      <c r="BB53" s="328"/>
      <c r="BC53" s="328"/>
      <c r="BD53" s="328"/>
      <c r="BE53" s="328"/>
      <c r="BF53" s="328"/>
      <c r="BG53" s="328"/>
      <c r="BH53" s="328"/>
      <c r="BI53" s="328"/>
      <c r="BJ53" s="328"/>
      <c r="BK53" s="328"/>
      <c r="BL53" s="328"/>
      <c r="BM53" s="328"/>
      <c r="BN53" s="328"/>
      <c r="BO53" s="328"/>
      <c r="BP53" s="328"/>
      <c r="BQ53" s="328"/>
      <c r="BR53" s="328"/>
      <c r="BS53" s="328"/>
      <c r="BT53" s="328"/>
      <c r="BU53" s="328"/>
      <c r="BV53" s="328"/>
      <c r="BW53" s="328"/>
      <c r="BX53" s="328"/>
      <c r="BY53" s="328"/>
      <c r="BZ53" s="328"/>
      <c r="CA53" s="328"/>
      <c r="CB53" s="328"/>
      <c r="CC53" s="328"/>
      <c r="CD53" s="328"/>
      <c r="CE53" s="328"/>
      <c r="CF53" s="328"/>
      <c r="CG53" s="328"/>
      <c r="CH53" s="328"/>
      <c r="CI53" s="328"/>
      <c r="CJ53" s="328"/>
      <c r="CK53" s="328"/>
      <c r="CL53" s="328"/>
      <c r="CM53" s="328"/>
      <c r="CN53" s="328"/>
      <c r="CO53" s="328"/>
      <c r="CP53" s="328"/>
      <c r="CQ53" s="328"/>
      <c r="CR53" s="328"/>
      <c r="CS53" s="328"/>
      <c r="CT53" s="328"/>
      <c r="CU53" s="328"/>
      <c r="CV53" s="328"/>
      <c r="CW53" s="328"/>
      <c r="CX53" s="328"/>
      <c r="CY53" s="328"/>
      <c r="CZ53" s="328"/>
      <c r="DA53" s="328"/>
      <c r="DB53" s="328"/>
      <c r="DC53" s="328"/>
      <c r="DD53" s="328"/>
      <c r="DE53" s="328"/>
      <c r="DF53" s="328"/>
      <c r="DG53" s="328"/>
      <c r="DH53" s="328"/>
      <c r="DI53" s="328"/>
      <c r="DJ53" s="328"/>
      <c r="DK53" s="328"/>
      <c r="DL53" s="328"/>
      <c r="DM53" s="328"/>
      <c r="DN53" s="328"/>
      <c r="DO53" s="328"/>
      <c r="DP53" s="328"/>
      <c r="DQ53" s="328"/>
      <c r="DR53" s="328"/>
      <c r="DS53" s="328"/>
      <c r="DT53" s="328"/>
      <c r="DU53" s="328"/>
      <c r="DV53" s="328"/>
      <c r="DW53" s="328"/>
      <c r="DX53" s="328"/>
      <c r="DY53" s="328"/>
      <c r="DZ53" s="328"/>
      <c r="EA53" s="328"/>
      <c r="EB53" s="328"/>
      <c r="EC53" s="328"/>
      <c r="ED53" s="328"/>
      <c r="EE53" s="328"/>
      <c r="EF53" s="328"/>
      <c r="EG53" s="328"/>
      <c r="EH53" s="328"/>
      <c r="EI53" s="328"/>
      <c r="EJ53" s="328"/>
      <c r="EK53" s="328"/>
      <c r="EL53" s="328"/>
      <c r="EM53" s="328"/>
      <c r="EN53" s="328"/>
      <c r="EO53" s="328"/>
      <c r="EP53" s="328"/>
      <c r="EQ53" s="328"/>
      <c r="ER53" s="1"/>
      <c r="ES53" s="1"/>
      <c r="ET53" s="1"/>
    </row>
    <row r="54" spans="4:150" ht="15.75" customHeight="1" x14ac:dyDescent="0.25">
      <c r="D54" s="326"/>
      <c r="E54" s="326"/>
      <c r="F54" s="327"/>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c r="AN54" s="328"/>
      <c r="AO54" s="328"/>
      <c r="AP54" s="328"/>
      <c r="AQ54" s="328"/>
      <c r="AR54" s="328"/>
      <c r="AS54" s="328"/>
      <c r="AT54" s="328"/>
      <c r="AU54" s="328"/>
      <c r="AV54" s="328"/>
      <c r="AW54" s="328"/>
      <c r="AX54" s="328"/>
      <c r="AY54" s="328"/>
      <c r="AZ54" s="328"/>
      <c r="BA54" s="328"/>
      <c r="BB54" s="328"/>
      <c r="BC54" s="328"/>
      <c r="BD54" s="328"/>
      <c r="BE54" s="328"/>
      <c r="BF54" s="328"/>
      <c r="BG54" s="328"/>
      <c r="BH54" s="328"/>
      <c r="BI54" s="328"/>
      <c r="BJ54" s="328"/>
      <c r="BK54" s="328"/>
      <c r="BL54" s="328"/>
      <c r="BM54" s="328"/>
      <c r="BN54" s="328"/>
      <c r="BO54" s="328"/>
      <c r="BP54" s="328"/>
      <c r="BQ54" s="328"/>
      <c r="BR54" s="328"/>
      <c r="BS54" s="328"/>
      <c r="BT54" s="328"/>
      <c r="BU54" s="328"/>
      <c r="BV54" s="328"/>
      <c r="BW54" s="328"/>
      <c r="BX54" s="328"/>
      <c r="BY54" s="328"/>
      <c r="BZ54" s="328"/>
      <c r="CA54" s="328"/>
      <c r="CB54" s="328"/>
      <c r="CC54" s="328"/>
      <c r="CD54" s="328"/>
      <c r="CE54" s="328"/>
      <c r="CF54" s="328"/>
      <c r="CG54" s="328"/>
      <c r="CH54" s="328"/>
      <c r="CI54" s="328"/>
      <c r="CJ54" s="328"/>
      <c r="CK54" s="328"/>
      <c r="CL54" s="328"/>
      <c r="CM54" s="328"/>
      <c r="CN54" s="328"/>
      <c r="CO54" s="328"/>
      <c r="CP54" s="328"/>
      <c r="CQ54" s="328"/>
      <c r="CR54" s="328"/>
      <c r="CS54" s="328"/>
      <c r="CT54" s="328"/>
      <c r="CU54" s="328"/>
      <c r="CV54" s="328"/>
      <c r="CW54" s="328"/>
      <c r="CX54" s="328"/>
      <c r="CY54" s="328"/>
      <c r="CZ54" s="328"/>
      <c r="DA54" s="328"/>
      <c r="DB54" s="328"/>
      <c r="DC54" s="328"/>
      <c r="DD54" s="328"/>
      <c r="DE54" s="328"/>
      <c r="DF54" s="328"/>
      <c r="DG54" s="328"/>
      <c r="DH54" s="328"/>
      <c r="DI54" s="328"/>
      <c r="DJ54" s="328"/>
      <c r="DK54" s="328"/>
      <c r="DL54" s="328"/>
      <c r="DM54" s="328"/>
      <c r="DN54" s="328"/>
      <c r="DO54" s="328"/>
      <c r="DP54" s="328"/>
      <c r="DQ54" s="328"/>
      <c r="DR54" s="328"/>
      <c r="DS54" s="328"/>
      <c r="DT54" s="328"/>
      <c r="DU54" s="328"/>
      <c r="DV54" s="328"/>
      <c r="DW54" s="328"/>
      <c r="DX54" s="328"/>
      <c r="DY54" s="328"/>
      <c r="DZ54" s="328"/>
      <c r="EA54" s="328"/>
      <c r="EB54" s="328"/>
      <c r="EC54" s="328"/>
      <c r="ED54" s="328"/>
      <c r="EE54" s="328"/>
      <c r="EF54" s="328"/>
      <c r="EG54" s="328"/>
      <c r="EH54" s="328"/>
      <c r="EI54" s="328"/>
      <c r="EJ54" s="328"/>
      <c r="EK54" s="328"/>
      <c r="EL54" s="328"/>
      <c r="EM54" s="328"/>
      <c r="EN54" s="328"/>
      <c r="EO54" s="328"/>
      <c r="EP54" s="328"/>
      <c r="EQ54" s="328"/>
      <c r="ER54" s="1"/>
      <c r="ES54" s="1"/>
      <c r="ET54" s="1"/>
    </row>
    <row r="55" spans="4:150" ht="15.75" customHeight="1" x14ac:dyDescent="0.25">
      <c r="D55" s="326"/>
      <c r="E55" s="326"/>
      <c r="F55" s="327"/>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328"/>
      <c r="AO55" s="328"/>
      <c r="AP55" s="328"/>
      <c r="AQ55" s="328"/>
      <c r="AR55" s="328"/>
      <c r="AS55" s="328"/>
      <c r="AT55" s="328"/>
      <c r="AU55" s="328"/>
      <c r="AV55" s="328"/>
      <c r="AW55" s="328"/>
      <c r="AX55" s="328"/>
      <c r="AY55" s="328"/>
      <c r="AZ55" s="328"/>
      <c r="BA55" s="328"/>
      <c r="BB55" s="328"/>
      <c r="BC55" s="328"/>
      <c r="BD55" s="328"/>
      <c r="BE55" s="328"/>
      <c r="BF55" s="328"/>
      <c r="BG55" s="328"/>
      <c r="BH55" s="328"/>
      <c r="BI55" s="328"/>
      <c r="BJ55" s="328"/>
      <c r="BK55" s="328"/>
      <c r="BL55" s="328"/>
      <c r="BM55" s="328"/>
      <c r="BN55" s="328"/>
      <c r="BO55" s="328"/>
      <c r="BP55" s="328"/>
      <c r="BQ55" s="328"/>
      <c r="BR55" s="328"/>
      <c r="BS55" s="328"/>
      <c r="BT55" s="328"/>
      <c r="BU55" s="328"/>
      <c r="BV55" s="328"/>
      <c r="BW55" s="328"/>
      <c r="BX55" s="328"/>
      <c r="BY55" s="328"/>
      <c r="BZ55" s="328"/>
      <c r="CA55" s="328"/>
      <c r="CB55" s="328"/>
      <c r="CC55" s="328"/>
      <c r="CD55" s="328"/>
      <c r="CE55" s="328"/>
      <c r="CF55" s="328"/>
      <c r="CG55" s="328"/>
      <c r="CH55" s="328"/>
      <c r="CI55" s="328"/>
      <c r="CJ55" s="328"/>
      <c r="CK55" s="328"/>
      <c r="CL55" s="328"/>
      <c r="CM55" s="328"/>
      <c r="CN55" s="328"/>
      <c r="CO55" s="328"/>
      <c r="CP55" s="328"/>
      <c r="CQ55" s="328"/>
      <c r="CR55" s="328"/>
      <c r="CS55" s="328"/>
      <c r="CT55" s="328"/>
      <c r="CU55" s="328"/>
      <c r="CV55" s="328"/>
      <c r="CW55" s="328"/>
      <c r="CX55" s="328"/>
      <c r="CY55" s="328"/>
      <c r="CZ55" s="328"/>
      <c r="DA55" s="328"/>
      <c r="DB55" s="328"/>
      <c r="DC55" s="328"/>
      <c r="DD55" s="328"/>
      <c r="DE55" s="328"/>
      <c r="DF55" s="328"/>
      <c r="DG55" s="328"/>
      <c r="DH55" s="328"/>
      <c r="DI55" s="328"/>
      <c r="DJ55" s="328"/>
      <c r="DK55" s="328"/>
      <c r="DL55" s="328"/>
      <c r="DM55" s="328"/>
      <c r="DN55" s="328"/>
      <c r="DO55" s="328"/>
      <c r="DP55" s="328"/>
      <c r="DQ55" s="328"/>
      <c r="DR55" s="328"/>
      <c r="DS55" s="328"/>
      <c r="DT55" s="328"/>
      <c r="DU55" s="328"/>
      <c r="DV55" s="328"/>
      <c r="DW55" s="328"/>
      <c r="DX55" s="328"/>
      <c r="DY55" s="328"/>
      <c r="DZ55" s="328"/>
      <c r="EA55" s="328"/>
      <c r="EB55" s="328"/>
      <c r="EC55" s="328"/>
      <c r="ED55" s="328"/>
      <c r="EE55" s="328"/>
      <c r="EF55" s="328"/>
      <c r="EG55" s="328"/>
      <c r="EH55" s="328"/>
      <c r="EI55" s="328"/>
      <c r="EJ55" s="328"/>
      <c r="EK55" s="328"/>
      <c r="EL55" s="328"/>
      <c r="EM55" s="328"/>
      <c r="EN55" s="328"/>
      <c r="EO55" s="328"/>
      <c r="EP55" s="328"/>
      <c r="EQ55" s="328"/>
      <c r="ER55" s="1"/>
      <c r="ES55" s="1"/>
      <c r="ET55" s="1"/>
    </row>
  </sheetData>
  <mergeCells count="73">
    <mergeCell ref="E45:K45"/>
    <mergeCell ref="L45:R45"/>
    <mergeCell ref="E46:K46"/>
    <mergeCell ref="L46:R46"/>
    <mergeCell ref="E43:U43"/>
    <mergeCell ref="E44:K44"/>
    <mergeCell ref="L44:R44"/>
    <mergeCell ref="D17:D23"/>
    <mergeCell ref="EW10:EW16"/>
    <mergeCell ref="EY31:EY37"/>
    <mergeCell ref="EW17:EW23"/>
    <mergeCell ref="EW31:EW37"/>
    <mergeCell ref="EY17:EY23"/>
    <mergeCell ref="EX31:EX37"/>
    <mergeCell ref="EW24:EW30"/>
    <mergeCell ref="EX24:EX30"/>
    <mergeCell ref="EY24:EY30"/>
    <mergeCell ref="FA10:FA16"/>
    <mergeCell ref="FA17:FA23"/>
    <mergeCell ref="FA31:FA37"/>
    <mergeCell ref="EZ7:EZ9"/>
    <mergeCell ref="EZ31:EZ37"/>
    <mergeCell ref="EZ10:EZ16"/>
    <mergeCell ref="A6:FA6"/>
    <mergeCell ref="A4:E4"/>
    <mergeCell ref="F4:FA4"/>
    <mergeCell ref="AB8:BE8"/>
    <mergeCell ref="BF8:CI8"/>
    <mergeCell ref="CJ8:DM8"/>
    <mergeCell ref="DN8:EQ8"/>
    <mergeCell ref="EX7:EX9"/>
    <mergeCell ref="EY7:EY9"/>
    <mergeCell ref="A5:E5"/>
    <mergeCell ref="A7:G8"/>
    <mergeCell ref="H8:AA8"/>
    <mergeCell ref="FA7:FA9"/>
    <mergeCell ref="A1:E3"/>
    <mergeCell ref="F1:FA1"/>
    <mergeCell ref="F2:FA2"/>
    <mergeCell ref="F3:EQ3"/>
    <mergeCell ref="ER3:FA3"/>
    <mergeCell ref="A10:A37"/>
    <mergeCell ref="E24:E30"/>
    <mergeCell ref="D10:D16"/>
    <mergeCell ref="B10:B16"/>
    <mergeCell ref="C10:C16"/>
    <mergeCell ref="E10:E16"/>
    <mergeCell ref="D31:D37"/>
    <mergeCell ref="E31:E37"/>
    <mergeCell ref="B17:B23"/>
    <mergeCell ref="B24:B30"/>
    <mergeCell ref="B31:B37"/>
    <mergeCell ref="C31:C37"/>
    <mergeCell ref="C24:C30"/>
    <mergeCell ref="D24:D30"/>
    <mergeCell ref="E17:E23"/>
    <mergeCell ref="C17:C23"/>
    <mergeCell ref="ER38:FA40"/>
    <mergeCell ref="A38:E40"/>
    <mergeCell ref="EZ24:EZ30"/>
    <mergeCell ref="FA24:FA30"/>
    <mergeCell ref="F5:FA5"/>
    <mergeCell ref="H7:EQ7"/>
    <mergeCell ref="ER7:ER9"/>
    <mergeCell ref="ES7:ES9"/>
    <mergeCell ref="ET7:ET9"/>
    <mergeCell ref="EW7:EW9"/>
    <mergeCell ref="EU7:EU9"/>
    <mergeCell ref="EV7:EV9"/>
    <mergeCell ref="EZ17:EZ23"/>
    <mergeCell ref="EY10:EY16"/>
    <mergeCell ref="EX17:EX23"/>
    <mergeCell ref="EX10:EX16"/>
  </mergeCells>
  <pageMargins left="0.7" right="0.7" top="0.75" bottom="0.75" header="0" footer="0"/>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
  <sheetViews>
    <sheetView zoomScale="68" zoomScaleNormal="68" workbookViewId="0">
      <selection activeCell="O11" sqref="O11"/>
    </sheetView>
  </sheetViews>
  <sheetFormatPr baseColWidth="10" defaultColWidth="14.42578125" defaultRowHeight="15" customHeight="1" x14ac:dyDescent="0.25"/>
  <cols>
    <col min="1" max="1" width="9.7109375" customWidth="1"/>
    <col min="2" max="2" width="22.5703125" customWidth="1"/>
    <col min="3" max="3" width="32.85546875" customWidth="1"/>
    <col min="4" max="5" width="8" customWidth="1"/>
    <col min="6" max="6" width="8.7109375" customWidth="1"/>
    <col min="7" max="18" width="11.7109375" customWidth="1"/>
    <col min="19" max="19" width="8.28515625" customWidth="1"/>
    <col min="20" max="20" width="12.140625" customWidth="1"/>
    <col min="21" max="21" width="14.85546875" customWidth="1"/>
    <col min="22" max="22" width="62.7109375" customWidth="1"/>
    <col min="23" max="25" width="10.85546875" customWidth="1"/>
  </cols>
  <sheetData>
    <row r="1" spans="1:25" ht="43.5" customHeight="1" x14ac:dyDescent="0.25">
      <c r="A1" s="764"/>
      <c r="B1" s="702"/>
      <c r="C1" s="702"/>
      <c r="D1" s="829" t="s">
        <v>0</v>
      </c>
      <c r="E1" s="688"/>
      <c r="F1" s="688"/>
      <c r="G1" s="688"/>
      <c r="H1" s="688"/>
      <c r="I1" s="688"/>
      <c r="J1" s="688"/>
      <c r="K1" s="688"/>
      <c r="L1" s="688"/>
      <c r="M1" s="688"/>
      <c r="N1" s="688"/>
      <c r="O1" s="688"/>
      <c r="P1" s="688"/>
      <c r="Q1" s="688"/>
      <c r="R1" s="688"/>
      <c r="S1" s="688"/>
      <c r="T1" s="688"/>
      <c r="U1" s="688"/>
      <c r="V1" s="766"/>
      <c r="W1" s="18"/>
      <c r="X1" s="18"/>
      <c r="Y1" s="18"/>
    </row>
    <row r="2" spans="1:25" ht="64.5" customHeight="1" x14ac:dyDescent="0.25">
      <c r="A2" s="703"/>
      <c r="B2" s="704"/>
      <c r="C2" s="704"/>
      <c r="D2" s="830" t="s">
        <v>558</v>
      </c>
      <c r="E2" s="683"/>
      <c r="F2" s="683"/>
      <c r="G2" s="683"/>
      <c r="H2" s="683"/>
      <c r="I2" s="683"/>
      <c r="J2" s="683"/>
      <c r="K2" s="683"/>
      <c r="L2" s="683"/>
      <c r="M2" s="683"/>
      <c r="N2" s="683"/>
      <c r="O2" s="683"/>
      <c r="P2" s="683"/>
      <c r="Q2" s="683"/>
      <c r="R2" s="683"/>
      <c r="S2" s="683"/>
      <c r="T2" s="683"/>
      <c r="U2" s="683"/>
      <c r="V2" s="692"/>
      <c r="W2" s="18"/>
      <c r="X2" s="18"/>
      <c r="Y2" s="18"/>
    </row>
    <row r="3" spans="1:25" ht="43.5" customHeight="1" x14ac:dyDescent="0.35">
      <c r="A3" s="705"/>
      <c r="B3" s="706"/>
      <c r="C3" s="706"/>
      <c r="D3" s="838" t="s">
        <v>114</v>
      </c>
      <c r="E3" s="839"/>
      <c r="F3" s="839"/>
      <c r="G3" s="839"/>
      <c r="H3" s="839"/>
      <c r="I3" s="839"/>
      <c r="J3" s="839"/>
      <c r="K3" s="839"/>
      <c r="L3" s="839"/>
      <c r="M3" s="839"/>
      <c r="N3" s="839"/>
      <c r="O3" s="839"/>
      <c r="P3" s="839"/>
      <c r="Q3" s="839"/>
      <c r="R3" s="839"/>
      <c r="S3" s="839"/>
      <c r="T3" s="839"/>
      <c r="U3" s="840"/>
      <c r="V3" s="330" t="s">
        <v>557</v>
      </c>
      <c r="W3" s="18"/>
      <c r="X3" s="18"/>
      <c r="Y3" s="18"/>
    </row>
    <row r="4" spans="1:25" ht="43.5" customHeight="1" x14ac:dyDescent="0.25">
      <c r="A4" s="710" t="s">
        <v>4</v>
      </c>
      <c r="B4" s="688"/>
      <c r="C4" s="766"/>
      <c r="D4" s="835" t="s">
        <v>5</v>
      </c>
      <c r="E4" s="836"/>
      <c r="F4" s="836"/>
      <c r="G4" s="836"/>
      <c r="H4" s="836"/>
      <c r="I4" s="836"/>
      <c r="J4" s="836"/>
      <c r="K4" s="836"/>
      <c r="L4" s="836"/>
      <c r="M4" s="836"/>
      <c r="N4" s="836"/>
      <c r="O4" s="836"/>
      <c r="P4" s="836"/>
      <c r="Q4" s="836"/>
      <c r="R4" s="836"/>
      <c r="S4" s="836"/>
      <c r="T4" s="836"/>
      <c r="U4" s="836"/>
      <c r="V4" s="837"/>
      <c r="W4" s="18"/>
      <c r="X4" s="18"/>
      <c r="Y4" s="18"/>
    </row>
    <row r="5" spans="1:25" ht="43.5" customHeight="1" x14ac:dyDescent="0.25">
      <c r="A5" s="817" t="s">
        <v>6</v>
      </c>
      <c r="B5" s="697"/>
      <c r="C5" s="698"/>
      <c r="D5" s="712" t="s">
        <v>7</v>
      </c>
      <c r="E5" s="693"/>
      <c r="F5" s="693"/>
      <c r="G5" s="693"/>
      <c r="H5" s="693"/>
      <c r="I5" s="693"/>
      <c r="J5" s="693"/>
      <c r="K5" s="693"/>
      <c r="L5" s="693"/>
      <c r="M5" s="693"/>
      <c r="N5" s="693"/>
      <c r="O5" s="693"/>
      <c r="P5" s="693"/>
      <c r="Q5" s="693"/>
      <c r="R5" s="693"/>
      <c r="S5" s="693"/>
      <c r="T5" s="693"/>
      <c r="U5" s="693"/>
      <c r="V5" s="695"/>
      <c r="W5" s="18"/>
      <c r="X5" s="18"/>
      <c r="Y5" s="18"/>
    </row>
    <row r="6" spans="1:25" ht="18.75" customHeight="1" x14ac:dyDescent="0.25">
      <c r="A6" s="807"/>
      <c r="B6" s="693"/>
      <c r="C6" s="693"/>
      <c r="D6" s="693"/>
      <c r="E6" s="693"/>
      <c r="F6" s="693"/>
      <c r="G6" s="693"/>
      <c r="H6" s="693"/>
      <c r="I6" s="693"/>
      <c r="J6" s="693"/>
      <c r="K6" s="693"/>
      <c r="L6" s="693"/>
      <c r="M6" s="693"/>
      <c r="N6" s="693"/>
      <c r="O6" s="693"/>
      <c r="P6" s="693"/>
      <c r="Q6" s="693"/>
      <c r="R6" s="693"/>
      <c r="S6" s="693"/>
      <c r="T6" s="693"/>
      <c r="U6" s="693"/>
      <c r="V6" s="695"/>
      <c r="W6" s="18"/>
      <c r="X6" s="18"/>
      <c r="Y6" s="18"/>
    </row>
    <row r="7" spans="1:25" ht="37.5" customHeight="1" x14ac:dyDescent="0.25">
      <c r="A7" s="808" t="s">
        <v>115</v>
      </c>
      <c r="B7" s="816" t="s">
        <v>116</v>
      </c>
      <c r="C7" s="816" t="s">
        <v>117</v>
      </c>
      <c r="D7" s="831" t="s">
        <v>118</v>
      </c>
      <c r="E7" s="832"/>
      <c r="F7" s="833" t="s">
        <v>119</v>
      </c>
      <c r="G7" s="688"/>
      <c r="H7" s="688"/>
      <c r="I7" s="688"/>
      <c r="J7" s="688"/>
      <c r="K7" s="688"/>
      <c r="L7" s="688"/>
      <c r="M7" s="688"/>
      <c r="N7" s="688"/>
      <c r="O7" s="688"/>
      <c r="P7" s="688"/>
      <c r="Q7" s="688"/>
      <c r="R7" s="688"/>
      <c r="S7" s="832"/>
      <c r="T7" s="834" t="s">
        <v>120</v>
      </c>
      <c r="U7" s="832"/>
      <c r="V7" s="841" t="s">
        <v>661</v>
      </c>
      <c r="W7" s="16"/>
      <c r="X7" s="16"/>
      <c r="Y7" s="16"/>
    </row>
    <row r="8" spans="1:25" ht="57" customHeight="1" thickBot="1" x14ac:dyDescent="0.3">
      <c r="A8" s="809"/>
      <c r="B8" s="753"/>
      <c r="C8" s="753"/>
      <c r="D8" s="331" t="s">
        <v>121</v>
      </c>
      <c r="E8" s="331" t="s">
        <v>122</v>
      </c>
      <c r="F8" s="331" t="s">
        <v>123</v>
      </c>
      <c r="G8" s="332" t="s">
        <v>124</v>
      </c>
      <c r="H8" s="332" t="s">
        <v>125</v>
      </c>
      <c r="I8" s="332" t="s">
        <v>126</v>
      </c>
      <c r="J8" s="332" t="s">
        <v>127</v>
      </c>
      <c r="K8" s="332" t="s">
        <v>128</v>
      </c>
      <c r="L8" s="332" t="s">
        <v>129</v>
      </c>
      <c r="M8" s="332" t="s">
        <v>130</v>
      </c>
      <c r="N8" s="332" t="s">
        <v>131</v>
      </c>
      <c r="O8" s="332" t="s">
        <v>132</v>
      </c>
      <c r="P8" s="332" t="s">
        <v>133</v>
      </c>
      <c r="Q8" s="332" t="s">
        <v>134</v>
      </c>
      <c r="R8" s="332" t="s">
        <v>135</v>
      </c>
      <c r="S8" s="333" t="s">
        <v>136</v>
      </c>
      <c r="T8" s="333" t="s">
        <v>137</v>
      </c>
      <c r="U8" s="333" t="s">
        <v>138</v>
      </c>
      <c r="V8" s="842"/>
      <c r="W8" s="16"/>
      <c r="X8" s="16"/>
      <c r="Y8" s="16"/>
    </row>
    <row r="9" spans="1:25" ht="39.950000000000003" customHeight="1" x14ac:dyDescent="0.25">
      <c r="A9" s="810" t="s">
        <v>97</v>
      </c>
      <c r="B9" s="818" t="s">
        <v>59</v>
      </c>
      <c r="C9" s="803" t="s">
        <v>139</v>
      </c>
      <c r="D9" s="805"/>
      <c r="E9" s="805" t="s">
        <v>140</v>
      </c>
      <c r="F9" s="334" t="s">
        <v>141</v>
      </c>
      <c r="G9" s="460">
        <v>0.02</v>
      </c>
      <c r="H9" s="460">
        <v>0.02</v>
      </c>
      <c r="I9" s="460">
        <v>0.02</v>
      </c>
      <c r="J9" s="460">
        <v>0.03</v>
      </c>
      <c r="K9" s="460">
        <v>0.05</v>
      </c>
      <c r="L9" s="460">
        <v>0.05</v>
      </c>
      <c r="M9" s="460">
        <v>0.06</v>
      </c>
      <c r="N9" s="460">
        <v>0.1</v>
      </c>
      <c r="O9" s="460">
        <v>0.1</v>
      </c>
      <c r="P9" s="460">
        <v>0.15</v>
      </c>
      <c r="Q9" s="460">
        <v>0.2</v>
      </c>
      <c r="R9" s="460">
        <v>0.2</v>
      </c>
      <c r="S9" s="334">
        <f t="shared" ref="S9:S40" si="0">SUM(G9:R9)</f>
        <v>1</v>
      </c>
      <c r="T9" s="813">
        <f>U9+U11+U13+U15+U17+U19</f>
        <v>0.25</v>
      </c>
      <c r="U9" s="795">
        <v>0.01</v>
      </c>
      <c r="V9" s="793" t="s">
        <v>670</v>
      </c>
      <c r="W9" s="16"/>
      <c r="X9" s="16"/>
      <c r="Y9" s="16"/>
    </row>
    <row r="10" spans="1:25" ht="39.950000000000003" customHeight="1" x14ac:dyDescent="0.25">
      <c r="A10" s="811"/>
      <c r="B10" s="814"/>
      <c r="C10" s="804"/>
      <c r="D10" s="806"/>
      <c r="E10" s="806"/>
      <c r="F10" s="335" t="s">
        <v>142</v>
      </c>
      <c r="G10" s="460">
        <v>0.02</v>
      </c>
      <c r="H10" s="460">
        <v>0.02</v>
      </c>
      <c r="I10" s="460">
        <v>0.02</v>
      </c>
      <c r="J10" s="460">
        <v>0.02</v>
      </c>
      <c r="K10" s="461">
        <v>0.05</v>
      </c>
      <c r="L10" s="460">
        <v>0.05</v>
      </c>
      <c r="M10" s="460">
        <v>0.06</v>
      </c>
      <c r="N10" s="460">
        <v>0.1</v>
      </c>
      <c r="O10" s="460">
        <v>0.1</v>
      </c>
      <c r="P10" s="460"/>
      <c r="Q10" s="460"/>
      <c r="R10" s="460"/>
      <c r="S10" s="335">
        <f t="shared" si="0"/>
        <v>0.43999999999999995</v>
      </c>
      <c r="T10" s="814"/>
      <c r="U10" s="815"/>
      <c r="V10" s="799"/>
      <c r="W10" s="16"/>
      <c r="X10" s="16"/>
      <c r="Y10" s="16"/>
    </row>
    <row r="11" spans="1:25" ht="39.950000000000003" customHeight="1" x14ac:dyDescent="0.25">
      <c r="A11" s="811"/>
      <c r="B11" s="814"/>
      <c r="C11" s="803" t="s">
        <v>143</v>
      </c>
      <c r="D11" s="805" t="s">
        <v>140</v>
      </c>
      <c r="E11" s="805" t="s">
        <v>140</v>
      </c>
      <c r="F11" s="334" t="s">
        <v>141</v>
      </c>
      <c r="G11" s="460">
        <v>0</v>
      </c>
      <c r="H11" s="460">
        <v>7.0000000000000007E-2</v>
      </c>
      <c r="I11" s="460">
        <v>7.0000000000000007E-2</v>
      </c>
      <c r="J11" s="460">
        <v>7.0000000000000007E-2</v>
      </c>
      <c r="K11" s="460">
        <v>0.02</v>
      </c>
      <c r="L11" s="460">
        <v>0.03</v>
      </c>
      <c r="M11" s="460">
        <v>0.05</v>
      </c>
      <c r="N11" s="460">
        <v>0.2</v>
      </c>
      <c r="O11" s="460">
        <v>0.2</v>
      </c>
      <c r="P11" s="460">
        <v>0.15</v>
      </c>
      <c r="Q11" s="460">
        <v>0.12</v>
      </c>
      <c r="R11" s="460">
        <v>0.02</v>
      </c>
      <c r="S11" s="334">
        <f t="shared" si="0"/>
        <v>1</v>
      </c>
      <c r="T11" s="814"/>
      <c r="U11" s="795">
        <v>0.05</v>
      </c>
      <c r="V11" s="793" t="s">
        <v>671</v>
      </c>
      <c r="W11" s="16"/>
      <c r="X11" s="16"/>
      <c r="Y11" s="16"/>
    </row>
    <row r="12" spans="1:25" ht="39.950000000000003" customHeight="1" x14ac:dyDescent="0.25">
      <c r="A12" s="811"/>
      <c r="B12" s="814"/>
      <c r="C12" s="804"/>
      <c r="D12" s="806"/>
      <c r="E12" s="806"/>
      <c r="F12" s="335" t="s">
        <v>142</v>
      </c>
      <c r="G12" s="460">
        <v>0</v>
      </c>
      <c r="H12" s="460">
        <v>7.0000000000000007E-2</v>
      </c>
      <c r="I12" s="460">
        <v>7.0000000000000007E-2</v>
      </c>
      <c r="J12" s="460">
        <v>7.0000000000000007E-2</v>
      </c>
      <c r="K12" s="461">
        <v>0.02</v>
      </c>
      <c r="L12" s="460">
        <v>0.03</v>
      </c>
      <c r="M12" s="460">
        <v>0.05</v>
      </c>
      <c r="N12" s="460">
        <v>0.05</v>
      </c>
      <c r="O12" s="460">
        <v>0.2</v>
      </c>
      <c r="P12" s="460"/>
      <c r="Q12" s="460"/>
      <c r="R12" s="460"/>
      <c r="S12" s="335">
        <f t="shared" si="0"/>
        <v>0.56000000000000005</v>
      </c>
      <c r="T12" s="814"/>
      <c r="U12" s="815"/>
      <c r="V12" s="799"/>
      <c r="W12" s="16"/>
      <c r="X12" s="16"/>
      <c r="Y12" s="16"/>
    </row>
    <row r="13" spans="1:25" ht="26.25" customHeight="1" x14ac:dyDescent="0.25">
      <c r="A13" s="811"/>
      <c r="B13" s="814"/>
      <c r="C13" s="803" t="s">
        <v>144</v>
      </c>
      <c r="D13" s="805" t="s">
        <v>140</v>
      </c>
      <c r="E13" s="823" t="s">
        <v>145</v>
      </c>
      <c r="F13" s="334" t="s">
        <v>141</v>
      </c>
      <c r="G13" s="460">
        <v>0</v>
      </c>
      <c r="H13" s="460">
        <v>0.05</v>
      </c>
      <c r="I13" s="460">
        <v>0.1</v>
      </c>
      <c r="J13" s="460">
        <v>0.1</v>
      </c>
      <c r="K13" s="460">
        <v>0.1</v>
      </c>
      <c r="L13" s="460">
        <v>0.1</v>
      </c>
      <c r="M13" s="460">
        <v>0.1</v>
      </c>
      <c r="N13" s="460">
        <v>0.1</v>
      </c>
      <c r="O13" s="460">
        <v>0.1</v>
      </c>
      <c r="P13" s="460">
        <v>0.1</v>
      </c>
      <c r="Q13" s="460">
        <v>0.1</v>
      </c>
      <c r="R13" s="460">
        <v>0.05</v>
      </c>
      <c r="S13" s="334">
        <f t="shared" si="0"/>
        <v>0.99999999999999989</v>
      </c>
      <c r="T13" s="814"/>
      <c r="U13" s="795">
        <v>0.04</v>
      </c>
      <c r="V13" s="793" t="s">
        <v>672</v>
      </c>
      <c r="W13" s="16"/>
      <c r="X13" s="16"/>
      <c r="Y13" s="16"/>
    </row>
    <row r="14" spans="1:25" ht="26.25" customHeight="1" x14ac:dyDescent="0.25">
      <c r="A14" s="811"/>
      <c r="B14" s="814"/>
      <c r="C14" s="804"/>
      <c r="D14" s="806"/>
      <c r="E14" s="806"/>
      <c r="F14" s="335" t="s">
        <v>142</v>
      </c>
      <c r="G14" s="460">
        <v>0</v>
      </c>
      <c r="H14" s="460">
        <v>0.05</v>
      </c>
      <c r="I14" s="460">
        <v>0.1</v>
      </c>
      <c r="J14" s="460">
        <v>0.1</v>
      </c>
      <c r="K14" s="461">
        <v>0.1</v>
      </c>
      <c r="L14" s="460">
        <v>0.1</v>
      </c>
      <c r="M14" s="460">
        <v>0.1</v>
      </c>
      <c r="N14" s="460">
        <v>0.1</v>
      </c>
      <c r="O14" s="460">
        <v>0.1</v>
      </c>
      <c r="P14" s="460"/>
      <c r="Q14" s="460"/>
      <c r="R14" s="460"/>
      <c r="S14" s="335">
        <f t="shared" si="0"/>
        <v>0.74999999999999989</v>
      </c>
      <c r="T14" s="814"/>
      <c r="U14" s="815"/>
      <c r="V14" s="799"/>
      <c r="W14" s="16"/>
      <c r="X14" s="16"/>
      <c r="Y14" s="16"/>
    </row>
    <row r="15" spans="1:25" ht="26.25" customHeight="1" x14ac:dyDescent="0.25">
      <c r="A15" s="811"/>
      <c r="B15" s="814"/>
      <c r="C15" s="803" t="s">
        <v>146</v>
      </c>
      <c r="D15" s="805" t="s">
        <v>140</v>
      </c>
      <c r="E15" s="805" t="s">
        <v>140</v>
      </c>
      <c r="F15" s="334" t="s">
        <v>141</v>
      </c>
      <c r="G15" s="460">
        <v>0</v>
      </c>
      <c r="H15" s="460">
        <v>0.02</v>
      </c>
      <c r="I15" s="460">
        <v>0.05</v>
      </c>
      <c r="J15" s="460">
        <v>0.05</v>
      </c>
      <c r="K15" s="460">
        <v>0.05</v>
      </c>
      <c r="L15" s="460">
        <v>0.1</v>
      </c>
      <c r="M15" s="460">
        <v>0.1</v>
      </c>
      <c r="N15" s="460">
        <v>0.1</v>
      </c>
      <c r="O15" s="460">
        <v>0.15</v>
      </c>
      <c r="P15" s="460">
        <v>0.15</v>
      </c>
      <c r="Q15" s="460">
        <v>0.15</v>
      </c>
      <c r="R15" s="460">
        <v>0.08</v>
      </c>
      <c r="S15" s="334">
        <f t="shared" si="0"/>
        <v>1</v>
      </c>
      <c r="T15" s="814"/>
      <c r="U15" s="795">
        <v>0.06</v>
      </c>
      <c r="V15" s="793" t="s">
        <v>697</v>
      </c>
      <c r="W15" s="16"/>
      <c r="X15" s="16"/>
      <c r="Y15" s="16"/>
    </row>
    <row r="16" spans="1:25" ht="26.25" customHeight="1" x14ac:dyDescent="0.25">
      <c r="A16" s="811"/>
      <c r="B16" s="814"/>
      <c r="C16" s="804"/>
      <c r="D16" s="806"/>
      <c r="E16" s="806"/>
      <c r="F16" s="335" t="s">
        <v>142</v>
      </c>
      <c r="G16" s="460">
        <v>0</v>
      </c>
      <c r="H16" s="460">
        <v>0.02</v>
      </c>
      <c r="I16" s="460">
        <v>0.05</v>
      </c>
      <c r="J16" s="460">
        <v>0.05</v>
      </c>
      <c r="K16" s="461">
        <v>0.05</v>
      </c>
      <c r="L16" s="460">
        <v>0.1</v>
      </c>
      <c r="M16" s="460">
        <v>0.12</v>
      </c>
      <c r="N16" s="460">
        <v>0.03</v>
      </c>
      <c r="O16" s="460">
        <v>7.0000000000000007E-2</v>
      </c>
      <c r="P16" s="460"/>
      <c r="Q16" s="460"/>
      <c r="R16" s="460"/>
      <c r="S16" s="335">
        <f t="shared" si="0"/>
        <v>0.49000000000000005</v>
      </c>
      <c r="T16" s="814"/>
      <c r="U16" s="796"/>
      <c r="V16" s="799"/>
      <c r="W16" s="16"/>
      <c r="X16" s="16"/>
      <c r="Y16" s="16"/>
    </row>
    <row r="17" spans="1:25" ht="26.25" customHeight="1" x14ac:dyDescent="0.25">
      <c r="A17" s="811"/>
      <c r="B17" s="814"/>
      <c r="C17" s="803" t="s">
        <v>147</v>
      </c>
      <c r="D17" s="805"/>
      <c r="E17" s="805" t="s">
        <v>140</v>
      </c>
      <c r="F17" s="334" t="s">
        <v>141</v>
      </c>
      <c r="G17" s="460">
        <v>0</v>
      </c>
      <c r="H17" s="460">
        <v>0.02</v>
      </c>
      <c r="I17" s="460">
        <v>0.02</v>
      </c>
      <c r="J17" s="460">
        <v>0.05</v>
      </c>
      <c r="K17" s="460">
        <v>0.1</v>
      </c>
      <c r="L17" s="460">
        <v>0.15</v>
      </c>
      <c r="M17" s="460">
        <v>0.2</v>
      </c>
      <c r="N17" s="460">
        <v>0.1</v>
      </c>
      <c r="O17" s="460">
        <v>0.1</v>
      </c>
      <c r="P17" s="460">
        <v>0.1</v>
      </c>
      <c r="Q17" s="460">
        <v>0.1</v>
      </c>
      <c r="R17" s="460">
        <v>0.06</v>
      </c>
      <c r="S17" s="334">
        <f t="shared" si="0"/>
        <v>1</v>
      </c>
      <c r="T17" s="814"/>
      <c r="U17" s="795">
        <v>0.05</v>
      </c>
      <c r="V17" s="793" t="s">
        <v>673</v>
      </c>
      <c r="W17" s="16"/>
      <c r="X17" s="16"/>
      <c r="Y17" s="16"/>
    </row>
    <row r="18" spans="1:25" ht="26.25" customHeight="1" x14ac:dyDescent="0.25">
      <c r="A18" s="811"/>
      <c r="B18" s="814"/>
      <c r="C18" s="804"/>
      <c r="D18" s="806"/>
      <c r="E18" s="806"/>
      <c r="F18" s="335" t="s">
        <v>142</v>
      </c>
      <c r="G18" s="460">
        <v>0</v>
      </c>
      <c r="H18" s="460">
        <v>0.02</v>
      </c>
      <c r="I18" s="460">
        <v>0.02</v>
      </c>
      <c r="J18" s="460">
        <v>0.05</v>
      </c>
      <c r="K18" s="461">
        <v>0.1</v>
      </c>
      <c r="L18" s="460">
        <v>0.15</v>
      </c>
      <c r="M18" s="460">
        <v>0.2</v>
      </c>
      <c r="N18" s="460">
        <v>0.1</v>
      </c>
      <c r="O18" s="460">
        <v>0.1</v>
      </c>
      <c r="P18" s="460"/>
      <c r="Q18" s="460"/>
      <c r="R18" s="460"/>
      <c r="S18" s="335">
        <f>SUM(G18:R18)</f>
        <v>0.74</v>
      </c>
      <c r="T18" s="814"/>
      <c r="U18" s="796"/>
      <c r="V18" s="799"/>
      <c r="W18" s="16"/>
      <c r="X18" s="16"/>
      <c r="Y18" s="16"/>
    </row>
    <row r="19" spans="1:25" ht="26.25" customHeight="1" x14ac:dyDescent="0.25">
      <c r="A19" s="811"/>
      <c r="B19" s="814"/>
      <c r="C19" s="803" t="s">
        <v>148</v>
      </c>
      <c r="D19" s="805" t="s">
        <v>140</v>
      </c>
      <c r="E19" s="823"/>
      <c r="F19" s="334" t="s">
        <v>141</v>
      </c>
      <c r="G19" s="460">
        <v>0</v>
      </c>
      <c r="H19" s="460">
        <v>0.02</v>
      </c>
      <c r="I19" s="460">
        <v>0.02</v>
      </c>
      <c r="J19" s="460">
        <v>0.02</v>
      </c>
      <c r="K19" s="460">
        <v>0.04</v>
      </c>
      <c r="L19" s="460">
        <v>0.04</v>
      </c>
      <c r="M19" s="460">
        <v>0.15</v>
      </c>
      <c r="N19" s="460">
        <v>0.15</v>
      </c>
      <c r="O19" s="460">
        <v>0.15</v>
      </c>
      <c r="P19" s="460">
        <v>0.2</v>
      </c>
      <c r="Q19" s="460">
        <v>0.18</v>
      </c>
      <c r="R19" s="460">
        <v>0.03</v>
      </c>
      <c r="S19" s="334">
        <f t="shared" si="0"/>
        <v>1</v>
      </c>
      <c r="T19" s="814"/>
      <c r="U19" s="795">
        <v>0.04</v>
      </c>
      <c r="V19" s="793" t="s">
        <v>674</v>
      </c>
      <c r="W19" s="16"/>
      <c r="X19" s="16"/>
      <c r="Y19" s="16"/>
    </row>
    <row r="20" spans="1:25" ht="26.25" customHeight="1" x14ac:dyDescent="0.25">
      <c r="A20" s="811"/>
      <c r="B20" s="815"/>
      <c r="C20" s="804"/>
      <c r="D20" s="806"/>
      <c r="E20" s="806"/>
      <c r="F20" s="335" t="s">
        <v>142</v>
      </c>
      <c r="G20" s="460">
        <v>0</v>
      </c>
      <c r="H20" s="460">
        <v>0.02</v>
      </c>
      <c r="I20" s="460">
        <v>0.02</v>
      </c>
      <c r="J20" s="460">
        <v>0.02</v>
      </c>
      <c r="K20" s="461">
        <v>0.04</v>
      </c>
      <c r="L20" s="460">
        <v>0.04</v>
      </c>
      <c r="M20" s="460">
        <v>0.15</v>
      </c>
      <c r="N20" s="460">
        <v>0.15</v>
      </c>
      <c r="O20" s="460">
        <v>0.08</v>
      </c>
      <c r="P20" s="460"/>
      <c r="Q20" s="460"/>
      <c r="R20" s="460"/>
      <c r="S20" s="335">
        <f t="shared" si="0"/>
        <v>0.52</v>
      </c>
      <c r="T20" s="815"/>
      <c r="U20" s="796"/>
      <c r="V20" s="799"/>
      <c r="W20" s="16"/>
      <c r="X20" s="16"/>
      <c r="Y20" s="16"/>
    </row>
    <row r="21" spans="1:25" ht="39.950000000000003" customHeight="1" x14ac:dyDescent="0.25">
      <c r="A21" s="811"/>
      <c r="B21" s="827" t="s">
        <v>108</v>
      </c>
      <c r="C21" s="803" t="s">
        <v>149</v>
      </c>
      <c r="D21" s="805" t="s">
        <v>140</v>
      </c>
      <c r="E21" s="805" t="s">
        <v>140</v>
      </c>
      <c r="F21" s="334" t="s">
        <v>141</v>
      </c>
      <c r="G21" s="460">
        <v>0</v>
      </c>
      <c r="H21" s="460">
        <v>0</v>
      </c>
      <c r="I21" s="460">
        <v>0.1</v>
      </c>
      <c r="J21" s="460">
        <v>0.2</v>
      </c>
      <c r="K21" s="460">
        <v>0.2</v>
      </c>
      <c r="L21" s="460">
        <v>0.3</v>
      </c>
      <c r="M21" s="460">
        <v>0.2</v>
      </c>
      <c r="N21" s="460">
        <v>0</v>
      </c>
      <c r="O21" s="460">
        <v>0</v>
      </c>
      <c r="P21" s="460">
        <v>0</v>
      </c>
      <c r="Q21" s="460">
        <v>0</v>
      </c>
      <c r="R21" s="460">
        <v>0</v>
      </c>
      <c r="S21" s="334">
        <f t="shared" si="0"/>
        <v>1</v>
      </c>
      <c r="T21" s="819">
        <v>0.35</v>
      </c>
      <c r="U21" s="795">
        <v>0.1167</v>
      </c>
      <c r="V21" s="793" t="s">
        <v>665</v>
      </c>
      <c r="W21" s="16"/>
      <c r="X21" s="16"/>
      <c r="Y21" s="16"/>
    </row>
    <row r="22" spans="1:25" ht="39.950000000000003" customHeight="1" x14ac:dyDescent="0.25">
      <c r="A22" s="811"/>
      <c r="B22" s="814"/>
      <c r="C22" s="804"/>
      <c r="D22" s="806"/>
      <c r="E22" s="806"/>
      <c r="F22" s="335" t="s">
        <v>142</v>
      </c>
      <c r="G22" s="460">
        <v>0</v>
      </c>
      <c r="H22" s="460">
        <v>0</v>
      </c>
      <c r="I22" s="460">
        <v>0.1</v>
      </c>
      <c r="J22" s="460">
        <v>0.2</v>
      </c>
      <c r="K22" s="461">
        <v>0.1</v>
      </c>
      <c r="L22" s="460">
        <v>0.1</v>
      </c>
      <c r="M22" s="460">
        <v>0.1</v>
      </c>
      <c r="N22" s="460">
        <v>0.1</v>
      </c>
      <c r="O22" s="460">
        <v>0.1</v>
      </c>
      <c r="P22" s="460"/>
      <c r="Q22" s="460"/>
      <c r="R22" s="460"/>
      <c r="S22" s="335">
        <f t="shared" si="0"/>
        <v>0.79999999999999993</v>
      </c>
      <c r="T22" s="752"/>
      <c r="U22" s="796"/>
      <c r="V22" s="799"/>
      <c r="W22" s="16"/>
      <c r="X22" s="16"/>
      <c r="Y22" s="16"/>
    </row>
    <row r="23" spans="1:25" ht="39.950000000000003" customHeight="1" x14ac:dyDescent="0.25">
      <c r="A23" s="811"/>
      <c r="B23" s="814"/>
      <c r="C23" s="803" t="s">
        <v>150</v>
      </c>
      <c r="D23" s="805" t="s">
        <v>140</v>
      </c>
      <c r="E23" s="805" t="s">
        <v>140</v>
      </c>
      <c r="F23" s="334" t="s">
        <v>141</v>
      </c>
      <c r="G23" s="460">
        <v>0</v>
      </c>
      <c r="H23" s="460">
        <v>0</v>
      </c>
      <c r="I23" s="460">
        <v>0</v>
      </c>
      <c r="J23" s="460">
        <v>0</v>
      </c>
      <c r="K23" s="460">
        <v>0.1</v>
      </c>
      <c r="L23" s="460">
        <v>0.2</v>
      </c>
      <c r="M23" s="460">
        <v>0.3</v>
      </c>
      <c r="N23" s="460">
        <v>0.4</v>
      </c>
      <c r="O23" s="460">
        <v>0</v>
      </c>
      <c r="P23" s="460">
        <v>0</v>
      </c>
      <c r="Q23" s="460">
        <v>0</v>
      </c>
      <c r="R23" s="460">
        <v>0</v>
      </c>
      <c r="S23" s="334">
        <f t="shared" si="0"/>
        <v>1</v>
      </c>
      <c r="T23" s="752"/>
      <c r="U23" s="795">
        <v>0.1167</v>
      </c>
      <c r="V23" s="793" t="s">
        <v>666</v>
      </c>
      <c r="W23" s="16"/>
      <c r="X23" s="16"/>
      <c r="Y23" s="16"/>
    </row>
    <row r="24" spans="1:25" ht="39.950000000000003" customHeight="1" x14ac:dyDescent="0.25">
      <c r="A24" s="811"/>
      <c r="B24" s="814"/>
      <c r="C24" s="804"/>
      <c r="D24" s="806"/>
      <c r="E24" s="806"/>
      <c r="F24" s="335" t="s">
        <v>142</v>
      </c>
      <c r="G24" s="460">
        <v>0</v>
      </c>
      <c r="H24" s="460">
        <v>0</v>
      </c>
      <c r="I24" s="460">
        <v>0</v>
      </c>
      <c r="J24" s="460">
        <v>1E-3</v>
      </c>
      <c r="K24" s="461">
        <v>0.05</v>
      </c>
      <c r="L24" s="460">
        <v>0.1</v>
      </c>
      <c r="M24" s="460">
        <v>0.1</v>
      </c>
      <c r="N24" s="460">
        <v>0.2</v>
      </c>
      <c r="O24" s="460">
        <v>0.2</v>
      </c>
      <c r="P24" s="460"/>
      <c r="Q24" s="460"/>
      <c r="R24" s="460"/>
      <c r="S24" s="335">
        <f t="shared" si="0"/>
        <v>0.65100000000000002</v>
      </c>
      <c r="T24" s="752"/>
      <c r="U24" s="796"/>
      <c r="V24" s="800"/>
      <c r="W24" s="16"/>
      <c r="X24" s="16"/>
      <c r="Y24" s="16"/>
    </row>
    <row r="25" spans="1:25" ht="26.25" customHeight="1" x14ac:dyDescent="0.25">
      <c r="A25" s="811"/>
      <c r="B25" s="814"/>
      <c r="C25" s="803" t="s">
        <v>151</v>
      </c>
      <c r="D25" s="805" t="s">
        <v>140</v>
      </c>
      <c r="E25" s="805" t="s">
        <v>140</v>
      </c>
      <c r="F25" s="334" t="s">
        <v>141</v>
      </c>
      <c r="G25" s="460">
        <v>0</v>
      </c>
      <c r="H25" s="460">
        <v>0</v>
      </c>
      <c r="I25" s="460">
        <v>0.01</v>
      </c>
      <c r="J25" s="460">
        <v>2.69E-2</v>
      </c>
      <c r="K25" s="460">
        <v>8.0699999999999994E-2</v>
      </c>
      <c r="L25" s="460">
        <v>8.5099999999999995E-2</v>
      </c>
      <c r="M25" s="460">
        <v>5.3800000000000001E-2</v>
      </c>
      <c r="N25" s="460">
        <v>5.3800000000000001E-2</v>
      </c>
      <c r="O25" s="460">
        <v>2.5000000000000001E-3</v>
      </c>
      <c r="P25" s="460">
        <v>2.7000000000000001E-3</v>
      </c>
      <c r="Q25" s="460">
        <v>0.32290000000000002</v>
      </c>
      <c r="R25" s="460">
        <v>0.36159999999999998</v>
      </c>
      <c r="S25" s="336">
        <f t="shared" si="0"/>
        <v>1</v>
      </c>
      <c r="T25" s="752"/>
      <c r="U25" s="795">
        <v>0.1166</v>
      </c>
      <c r="V25" s="793" t="s">
        <v>667</v>
      </c>
      <c r="W25" s="16"/>
      <c r="X25" s="16"/>
      <c r="Y25" s="16"/>
    </row>
    <row r="26" spans="1:25" ht="26.25" customHeight="1" x14ac:dyDescent="0.25">
      <c r="A26" s="811"/>
      <c r="B26" s="815"/>
      <c r="C26" s="804"/>
      <c r="D26" s="820"/>
      <c r="E26" s="820"/>
      <c r="F26" s="337" t="s">
        <v>142</v>
      </c>
      <c r="G26" s="460">
        <v>0</v>
      </c>
      <c r="H26" s="460">
        <v>5.0000000000000001E-4</v>
      </c>
      <c r="I26" s="460">
        <v>0.01</v>
      </c>
      <c r="J26" s="460">
        <v>2.69E-2</v>
      </c>
      <c r="K26" s="461">
        <v>0.04</v>
      </c>
      <c r="L26" s="460">
        <v>0.02</v>
      </c>
      <c r="M26" s="460">
        <v>0</v>
      </c>
      <c r="N26" s="460">
        <v>0.02</v>
      </c>
      <c r="O26" s="460">
        <v>0.02</v>
      </c>
      <c r="P26" s="460"/>
      <c r="Q26" s="460"/>
      <c r="R26" s="460"/>
      <c r="S26" s="338">
        <f t="shared" si="0"/>
        <v>0.13739999999999999</v>
      </c>
      <c r="T26" s="806"/>
      <c r="U26" s="796"/>
      <c r="V26" s="794"/>
      <c r="W26" s="16"/>
      <c r="X26" s="16"/>
      <c r="Y26" s="16"/>
    </row>
    <row r="27" spans="1:25" ht="55.5" customHeight="1" x14ac:dyDescent="0.25">
      <c r="A27" s="811"/>
      <c r="B27" s="827" t="s">
        <v>73</v>
      </c>
      <c r="C27" s="803" t="s">
        <v>152</v>
      </c>
      <c r="D27" s="805" t="s">
        <v>140</v>
      </c>
      <c r="E27" s="805" t="s">
        <v>140</v>
      </c>
      <c r="F27" s="334" t="s">
        <v>141</v>
      </c>
      <c r="G27" s="460">
        <v>0</v>
      </c>
      <c r="H27" s="460">
        <v>0</v>
      </c>
      <c r="I27" s="460">
        <v>0</v>
      </c>
      <c r="J27" s="460">
        <v>0</v>
      </c>
      <c r="K27" s="460">
        <v>0.1</v>
      </c>
      <c r="L27" s="460">
        <v>0.1</v>
      </c>
      <c r="M27" s="460">
        <v>0.2</v>
      </c>
      <c r="N27" s="460">
        <v>0.3</v>
      </c>
      <c r="O27" s="460">
        <v>0.3</v>
      </c>
      <c r="P27" s="460">
        <v>0</v>
      </c>
      <c r="Q27" s="460">
        <v>0</v>
      </c>
      <c r="R27" s="460">
        <v>0</v>
      </c>
      <c r="S27" s="336">
        <f t="shared" si="0"/>
        <v>1</v>
      </c>
      <c r="T27" s="819">
        <v>0.25</v>
      </c>
      <c r="U27" s="797">
        <v>8.3299999999999999E-2</v>
      </c>
      <c r="V27" s="793" t="s">
        <v>668</v>
      </c>
      <c r="W27" s="386"/>
      <c r="X27" s="18"/>
      <c r="Y27" s="18"/>
    </row>
    <row r="28" spans="1:25" ht="39.75" customHeight="1" x14ac:dyDescent="0.25">
      <c r="A28" s="811"/>
      <c r="B28" s="814"/>
      <c r="C28" s="804"/>
      <c r="D28" s="806"/>
      <c r="E28" s="806"/>
      <c r="F28" s="335" t="s">
        <v>142</v>
      </c>
      <c r="G28" s="460">
        <v>0</v>
      </c>
      <c r="H28" s="460">
        <v>0</v>
      </c>
      <c r="I28" s="460">
        <v>0</v>
      </c>
      <c r="J28" s="460">
        <v>1</v>
      </c>
      <c r="K28" s="461">
        <v>0</v>
      </c>
      <c r="L28" s="460">
        <v>0</v>
      </c>
      <c r="M28" s="460">
        <v>0</v>
      </c>
      <c r="N28" s="460">
        <v>0</v>
      </c>
      <c r="O28" s="460">
        <v>0</v>
      </c>
      <c r="P28" s="460"/>
      <c r="Q28" s="460"/>
      <c r="R28" s="460"/>
      <c r="S28" s="339">
        <f t="shared" si="0"/>
        <v>1</v>
      </c>
      <c r="T28" s="752"/>
      <c r="U28" s="798"/>
      <c r="V28" s="799"/>
      <c r="W28" s="386"/>
      <c r="X28" s="18"/>
      <c r="Y28" s="18"/>
    </row>
    <row r="29" spans="1:25" ht="36" customHeight="1" x14ac:dyDescent="0.25">
      <c r="A29" s="811"/>
      <c r="B29" s="814"/>
      <c r="C29" s="803" t="s">
        <v>153</v>
      </c>
      <c r="D29" s="805" t="s">
        <v>140</v>
      </c>
      <c r="E29" s="805" t="s">
        <v>140</v>
      </c>
      <c r="F29" s="334" t="s">
        <v>141</v>
      </c>
      <c r="G29" s="460">
        <v>0</v>
      </c>
      <c r="H29" s="460">
        <v>0</v>
      </c>
      <c r="I29" s="460">
        <v>0</v>
      </c>
      <c r="J29" s="460">
        <v>0</v>
      </c>
      <c r="K29" s="460">
        <v>0</v>
      </c>
      <c r="L29" s="460">
        <v>0</v>
      </c>
      <c r="M29" s="460">
        <v>0.03</v>
      </c>
      <c r="N29" s="460">
        <v>5.0000000000000001E-3</v>
      </c>
      <c r="O29" s="460">
        <v>0.22500000000000001</v>
      </c>
      <c r="P29" s="460">
        <v>0.25</v>
      </c>
      <c r="Q29" s="460">
        <v>0.25</v>
      </c>
      <c r="R29" s="460">
        <v>0.24</v>
      </c>
      <c r="S29" s="334">
        <f t="shared" si="0"/>
        <v>1</v>
      </c>
      <c r="T29" s="752"/>
      <c r="U29" s="797">
        <v>8.3400000000000002E-2</v>
      </c>
      <c r="V29" s="793" t="s">
        <v>669</v>
      </c>
      <c r="W29" s="18"/>
      <c r="X29" s="378"/>
      <c r="Y29" s="18"/>
    </row>
    <row r="30" spans="1:25" ht="37.5" customHeight="1" x14ac:dyDescent="0.25">
      <c r="A30" s="811"/>
      <c r="B30" s="814"/>
      <c r="C30" s="804"/>
      <c r="D30" s="806"/>
      <c r="E30" s="806"/>
      <c r="F30" s="335" t="s">
        <v>142</v>
      </c>
      <c r="G30" s="460">
        <v>0</v>
      </c>
      <c r="H30" s="460">
        <v>0</v>
      </c>
      <c r="I30" s="460">
        <v>0</v>
      </c>
      <c r="J30" s="460">
        <v>0</v>
      </c>
      <c r="K30" s="461">
        <v>1.5E-3</v>
      </c>
      <c r="L30" s="460">
        <v>0.42120000000000002</v>
      </c>
      <c r="M30" s="460">
        <v>0.38340000000000002</v>
      </c>
      <c r="N30" s="460">
        <v>4.7999999999999996E-3</v>
      </c>
      <c r="O30" s="460">
        <v>0.1087</v>
      </c>
      <c r="P30" s="460"/>
      <c r="Q30" s="460"/>
      <c r="R30" s="460"/>
      <c r="S30" s="340">
        <f t="shared" si="0"/>
        <v>0.91960000000000008</v>
      </c>
      <c r="T30" s="752"/>
      <c r="U30" s="798"/>
      <c r="V30" s="800"/>
      <c r="W30" s="18"/>
      <c r="X30" s="378"/>
      <c r="Y30" s="18"/>
    </row>
    <row r="31" spans="1:25" ht="26.25" customHeight="1" x14ac:dyDescent="0.25">
      <c r="A31" s="811"/>
      <c r="B31" s="814"/>
      <c r="C31" s="803" t="s">
        <v>154</v>
      </c>
      <c r="D31" s="805" t="s">
        <v>140</v>
      </c>
      <c r="E31" s="805" t="s">
        <v>140</v>
      </c>
      <c r="F31" s="334" t="s">
        <v>141</v>
      </c>
      <c r="G31" s="460">
        <v>8.3299999999999999E-2</v>
      </c>
      <c r="H31" s="460">
        <v>8.3299999999999999E-2</v>
      </c>
      <c r="I31" s="460">
        <v>8.3299999999999999E-2</v>
      </c>
      <c r="J31" s="460">
        <v>8.3299999999999999E-2</v>
      </c>
      <c r="K31" s="460">
        <v>8.3299999999999999E-2</v>
      </c>
      <c r="L31" s="460">
        <v>8.3299999999999999E-2</v>
      </c>
      <c r="M31" s="460">
        <v>8.3299999999999999E-2</v>
      </c>
      <c r="N31" s="460">
        <v>8.3299999999999999E-2</v>
      </c>
      <c r="O31" s="460">
        <v>8.3299999999999999E-2</v>
      </c>
      <c r="P31" s="460">
        <v>8.3299999999999999E-2</v>
      </c>
      <c r="Q31" s="460">
        <v>8.3299999999999999E-2</v>
      </c>
      <c r="R31" s="460">
        <v>8.3699999999999997E-2</v>
      </c>
      <c r="S31" s="341">
        <f t="shared" si="0"/>
        <v>1</v>
      </c>
      <c r="T31" s="752"/>
      <c r="U31" s="797">
        <v>8.3299999999999999E-2</v>
      </c>
      <c r="V31" s="793" t="s">
        <v>698</v>
      </c>
      <c r="W31" s="18"/>
      <c r="X31" s="18"/>
      <c r="Y31" s="18"/>
    </row>
    <row r="32" spans="1:25" ht="26.25" customHeight="1" x14ac:dyDescent="0.25">
      <c r="A32" s="811"/>
      <c r="B32" s="815"/>
      <c r="C32" s="804"/>
      <c r="D32" s="806"/>
      <c r="E32" s="806"/>
      <c r="F32" s="335" t="s">
        <v>142</v>
      </c>
      <c r="G32" s="460">
        <v>8.3299999999999999E-2</v>
      </c>
      <c r="H32" s="460">
        <v>8.3299999999999999E-2</v>
      </c>
      <c r="I32" s="460">
        <v>8.3299999999999999E-2</v>
      </c>
      <c r="J32" s="460">
        <v>8.3299999999999999E-2</v>
      </c>
      <c r="K32" s="461">
        <v>8.3299999999999999E-2</v>
      </c>
      <c r="L32" s="460">
        <v>8.3299999999999999E-2</v>
      </c>
      <c r="M32" s="460">
        <v>8.3299999999999999E-2</v>
      </c>
      <c r="N32" s="460">
        <v>8.3299999999999999E-2</v>
      </c>
      <c r="O32" s="460">
        <v>8.3299999999999999E-2</v>
      </c>
      <c r="P32" s="460"/>
      <c r="Q32" s="460"/>
      <c r="R32" s="460"/>
      <c r="S32" s="340">
        <f t="shared" si="0"/>
        <v>0.74970000000000003</v>
      </c>
      <c r="T32" s="806"/>
      <c r="U32" s="798"/>
      <c r="V32" s="799"/>
      <c r="W32" s="18"/>
      <c r="X32" s="18"/>
      <c r="Y32" s="18"/>
    </row>
    <row r="33" spans="1:25" ht="26.25" customHeight="1" x14ac:dyDescent="0.25">
      <c r="A33" s="811"/>
      <c r="B33" s="827" t="s">
        <v>155</v>
      </c>
      <c r="C33" s="803" t="s">
        <v>156</v>
      </c>
      <c r="D33" s="805" t="s">
        <v>140</v>
      </c>
      <c r="E33" s="805"/>
      <c r="F33" s="334" t="s">
        <v>141</v>
      </c>
      <c r="G33" s="460">
        <v>0</v>
      </c>
      <c r="H33" s="460">
        <v>0.05</v>
      </c>
      <c r="I33" s="460">
        <v>0.1</v>
      </c>
      <c r="J33" s="460">
        <v>0.1</v>
      </c>
      <c r="K33" s="460">
        <v>0.1</v>
      </c>
      <c r="L33" s="460">
        <v>0.1</v>
      </c>
      <c r="M33" s="460">
        <v>0.1</v>
      </c>
      <c r="N33" s="460">
        <v>0.1</v>
      </c>
      <c r="O33" s="460">
        <v>0.1</v>
      </c>
      <c r="P33" s="460">
        <v>0.1</v>
      </c>
      <c r="Q33" s="460">
        <v>0.1</v>
      </c>
      <c r="R33" s="460">
        <v>0.05</v>
      </c>
      <c r="S33" s="334">
        <f t="shared" si="0"/>
        <v>0.99999999999999989</v>
      </c>
      <c r="T33" s="819">
        <v>0.15</v>
      </c>
      <c r="U33" s="795">
        <v>0.05</v>
      </c>
      <c r="V33" s="801" t="s">
        <v>662</v>
      </c>
      <c r="W33" s="16"/>
      <c r="X33" s="18"/>
      <c r="Y33" s="18"/>
    </row>
    <row r="34" spans="1:25" ht="26.25" customHeight="1" x14ac:dyDescent="0.25">
      <c r="A34" s="811"/>
      <c r="B34" s="814"/>
      <c r="C34" s="804"/>
      <c r="D34" s="806"/>
      <c r="E34" s="806"/>
      <c r="F34" s="335" t="s">
        <v>142</v>
      </c>
      <c r="G34" s="460">
        <v>0</v>
      </c>
      <c r="H34" s="460">
        <v>0.05</v>
      </c>
      <c r="I34" s="460">
        <v>0.1</v>
      </c>
      <c r="J34" s="460">
        <v>0.1</v>
      </c>
      <c r="K34" s="461">
        <v>0.1</v>
      </c>
      <c r="L34" s="460">
        <v>0.1</v>
      </c>
      <c r="M34" s="460">
        <v>0.1</v>
      </c>
      <c r="N34" s="460">
        <v>0.1</v>
      </c>
      <c r="O34" s="460">
        <v>0.1</v>
      </c>
      <c r="P34" s="460"/>
      <c r="Q34" s="460"/>
      <c r="R34" s="460"/>
      <c r="S34" s="335">
        <f t="shared" si="0"/>
        <v>0.74999999999999989</v>
      </c>
      <c r="T34" s="752"/>
      <c r="U34" s="796"/>
      <c r="V34" s="802"/>
      <c r="W34" s="18"/>
      <c r="X34" s="18"/>
      <c r="Y34" s="18"/>
    </row>
    <row r="35" spans="1:25" ht="26.25" customHeight="1" x14ac:dyDescent="0.25">
      <c r="A35" s="811"/>
      <c r="B35" s="814"/>
      <c r="C35" s="803" t="s">
        <v>157</v>
      </c>
      <c r="D35" s="805" t="s">
        <v>140</v>
      </c>
      <c r="E35" s="805"/>
      <c r="F35" s="334" t="s">
        <v>141</v>
      </c>
      <c r="G35" s="460">
        <v>0</v>
      </c>
      <c r="H35" s="460">
        <v>0.05</v>
      </c>
      <c r="I35" s="460">
        <v>0.1</v>
      </c>
      <c r="J35" s="460">
        <v>0.1</v>
      </c>
      <c r="K35" s="460">
        <v>0.1</v>
      </c>
      <c r="L35" s="460">
        <v>0.1</v>
      </c>
      <c r="M35" s="460">
        <v>0.1</v>
      </c>
      <c r="N35" s="460">
        <v>0.1</v>
      </c>
      <c r="O35" s="460">
        <v>0.1</v>
      </c>
      <c r="P35" s="460">
        <v>0.1</v>
      </c>
      <c r="Q35" s="460">
        <v>0.1</v>
      </c>
      <c r="R35" s="460">
        <v>0.05</v>
      </c>
      <c r="S35" s="334">
        <f t="shared" si="0"/>
        <v>0.99999999999999989</v>
      </c>
      <c r="T35" s="752"/>
      <c r="U35" s="795">
        <v>0.05</v>
      </c>
      <c r="V35" s="801" t="s">
        <v>663</v>
      </c>
      <c r="W35" s="16"/>
      <c r="X35" s="18"/>
      <c r="Y35" s="18"/>
    </row>
    <row r="36" spans="1:25" ht="26.25" customHeight="1" x14ac:dyDescent="0.25">
      <c r="A36" s="811"/>
      <c r="B36" s="814"/>
      <c r="C36" s="804"/>
      <c r="D36" s="806"/>
      <c r="E36" s="806"/>
      <c r="F36" s="335" t="s">
        <v>142</v>
      </c>
      <c r="G36" s="460">
        <v>0</v>
      </c>
      <c r="H36" s="460">
        <v>0.05</v>
      </c>
      <c r="I36" s="460">
        <v>0.1</v>
      </c>
      <c r="J36" s="460">
        <v>0.1</v>
      </c>
      <c r="K36" s="461">
        <v>0.1</v>
      </c>
      <c r="L36" s="460">
        <v>0.1</v>
      </c>
      <c r="M36" s="460">
        <v>0.1</v>
      </c>
      <c r="N36" s="460">
        <v>0.1</v>
      </c>
      <c r="O36" s="460">
        <v>0.1</v>
      </c>
      <c r="P36" s="460"/>
      <c r="Q36" s="460"/>
      <c r="R36" s="460"/>
      <c r="S36" s="335">
        <f t="shared" si="0"/>
        <v>0.74999999999999989</v>
      </c>
      <c r="T36" s="752"/>
      <c r="U36" s="796"/>
      <c r="V36" s="802"/>
      <c r="W36" s="18"/>
      <c r="X36" s="18"/>
      <c r="Y36" s="18"/>
    </row>
    <row r="37" spans="1:25" ht="26.25" customHeight="1" x14ac:dyDescent="0.25">
      <c r="A37" s="811"/>
      <c r="B37" s="814"/>
      <c r="C37" s="803" t="s">
        <v>158</v>
      </c>
      <c r="D37" s="805" t="s">
        <v>140</v>
      </c>
      <c r="E37" s="805"/>
      <c r="F37" s="334" t="s">
        <v>141</v>
      </c>
      <c r="G37" s="460">
        <v>0</v>
      </c>
      <c r="H37" s="460">
        <v>0.05</v>
      </c>
      <c r="I37" s="460">
        <v>7.0000000000000007E-2</v>
      </c>
      <c r="J37" s="460">
        <v>0.1</v>
      </c>
      <c r="K37" s="460">
        <v>0.1</v>
      </c>
      <c r="L37" s="460">
        <v>0.1</v>
      </c>
      <c r="M37" s="460">
        <v>0.1</v>
      </c>
      <c r="N37" s="460">
        <v>0.1</v>
      </c>
      <c r="O37" s="460">
        <v>0.1</v>
      </c>
      <c r="P37" s="460">
        <v>0.1</v>
      </c>
      <c r="Q37" s="460">
        <v>0.1</v>
      </c>
      <c r="R37" s="460">
        <v>0.08</v>
      </c>
      <c r="S37" s="334">
        <f t="shared" si="0"/>
        <v>0.99999999999999989</v>
      </c>
      <c r="T37" s="752"/>
      <c r="U37" s="795">
        <v>0.05</v>
      </c>
      <c r="V37" s="801" t="s">
        <v>664</v>
      </c>
      <c r="W37" s="16"/>
      <c r="X37" s="18"/>
      <c r="Y37" s="18"/>
    </row>
    <row r="38" spans="1:25" ht="26.25" customHeight="1" thickBot="1" x14ac:dyDescent="0.3">
      <c r="A38" s="811"/>
      <c r="B38" s="814"/>
      <c r="C38" s="804"/>
      <c r="D38" s="806"/>
      <c r="E38" s="806"/>
      <c r="F38" s="335" t="s">
        <v>142</v>
      </c>
      <c r="G38" s="460">
        <v>0</v>
      </c>
      <c r="H38" s="460">
        <v>0.05</v>
      </c>
      <c r="I38" s="460">
        <v>7.0000000000000007E-2</v>
      </c>
      <c r="J38" s="460">
        <v>0.1</v>
      </c>
      <c r="K38" s="461">
        <v>0.1</v>
      </c>
      <c r="L38" s="460">
        <v>0.1</v>
      </c>
      <c r="M38" s="460">
        <v>0.1</v>
      </c>
      <c r="N38" s="460">
        <v>0.1</v>
      </c>
      <c r="O38" s="460">
        <v>0.1</v>
      </c>
      <c r="P38" s="460"/>
      <c r="Q38" s="460"/>
      <c r="R38" s="460"/>
      <c r="S38" s="340">
        <f t="shared" si="0"/>
        <v>0.72</v>
      </c>
      <c r="T38" s="752"/>
      <c r="U38" s="796"/>
      <c r="V38" s="802"/>
      <c r="W38" s="18"/>
      <c r="X38" s="18"/>
      <c r="Y38" s="18"/>
    </row>
    <row r="39" spans="1:25" ht="36.75" hidden="1" customHeight="1" x14ac:dyDescent="0.25">
      <c r="A39" s="811"/>
      <c r="B39" s="814"/>
      <c r="C39" s="803" t="s">
        <v>159</v>
      </c>
      <c r="D39" s="805" t="s">
        <v>145</v>
      </c>
      <c r="E39" s="805"/>
      <c r="F39" s="334" t="s">
        <v>141</v>
      </c>
      <c r="G39" s="342">
        <v>0</v>
      </c>
      <c r="H39" s="342">
        <v>0</v>
      </c>
      <c r="I39" s="342">
        <v>0</v>
      </c>
      <c r="J39" s="342">
        <v>0</v>
      </c>
      <c r="K39" s="342">
        <v>0</v>
      </c>
      <c r="L39" s="342">
        <v>0</v>
      </c>
      <c r="M39" s="342">
        <v>0</v>
      </c>
      <c r="N39" s="342">
        <v>0</v>
      </c>
      <c r="O39" s="342">
        <v>0</v>
      </c>
      <c r="P39" s="342">
        <v>0</v>
      </c>
      <c r="Q39" s="342">
        <v>0</v>
      </c>
      <c r="R39" s="342">
        <v>0</v>
      </c>
      <c r="S39" s="334">
        <f t="shared" si="0"/>
        <v>0</v>
      </c>
      <c r="T39" s="752"/>
      <c r="U39" s="821">
        <v>0</v>
      </c>
      <c r="V39" s="822"/>
      <c r="W39" s="18"/>
      <c r="X39" s="18"/>
      <c r="Y39" s="18"/>
    </row>
    <row r="40" spans="1:25" ht="12.75" hidden="1" customHeight="1" x14ac:dyDescent="0.25">
      <c r="A40" s="812"/>
      <c r="B40" s="828"/>
      <c r="C40" s="828"/>
      <c r="D40" s="820"/>
      <c r="E40" s="820"/>
      <c r="F40" s="337" t="s">
        <v>142</v>
      </c>
      <c r="G40" s="343"/>
      <c r="H40" s="343"/>
      <c r="I40" s="343"/>
      <c r="J40" s="343"/>
      <c r="K40" s="343"/>
      <c r="L40" s="343"/>
      <c r="M40" s="343"/>
      <c r="N40" s="343"/>
      <c r="O40" s="343"/>
      <c r="P40" s="343"/>
      <c r="Q40" s="343"/>
      <c r="R40" s="343"/>
      <c r="S40" s="337">
        <f t="shared" si="0"/>
        <v>0</v>
      </c>
      <c r="T40" s="820"/>
      <c r="U40" s="820"/>
      <c r="V40" s="820"/>
      <c r="W40" s="18"/>
      <c r="X40" s="18"/>
      <c r="Y40" s="18"/>
    </row>
    <row r="41" spans="1:25" ht="18.75" customHeight="1" thickBot="1" x14ac:dyDescent="0.3">
      <c r="A41" s="824" t="s">
        <v>160</v>
      </c>
      <c r="B41" s="825"/>
      <c r="C41" s="825"/>
      <c r="D41" s="825"/>
      <c r="E41" s="825"/>
      <c r="F41" s="825"/>
      <c r="G41" s="825"/>
      <c r="H41" s="825"/>
      <c r="I41" s="825"/>
      <c r="J41" s="825"/>
      <c r="K41" s="825"/>
      <c r="L41" s="825"/>
      <c r="M41" s="825"/>
      <c r="N41" s="825"/>
      <c r="O41" s="825"/>
      <c r="P41" s="825"/>
      <c r="Q41" s="825"/>
      <c r="R41" s="825"/>
      <c r="S41" s="826"/>
      <c r="T41" s="344">
        <f>SUM(T9:T40)</f>
        <v>1</v>
      </c>
      <c r="U41" s="345">
        <f>SUM(U9:U40)</f>
        <v>1.0000000000000002</v>
      </c>
      <c r="V41" s="346"/>
      <c r="W41" s="347"/>
      <c r="X41" s="347"/>
      <c r="Y41" s="347"/>
    </row>
    <row r="42" spans="1:25" ht="12.75" customHeight="1" x14ac:dyDescent="0.25">
      <c r="A42" s="16"/>
      <c r="B42" s="16"/>
      <c r="C42" s="348"/>
      <c r="D42" s="16"/>
      <c r="E42" s="16"/>
      <c r="F42" s="16"/>
      <c r="G42" s="16"/>
      <c r="H42" s="16"/>
      <c r="I42" s="16"/>
      <c r="J42" s="16"/>
      <c r="K42" s="16"/>
      <c r="L42" s="16"/>
      <c r="M42" s="16"/>
      <c r="N42" s="17"/>
      <c r="O42" s="17"/>
      <c r="P42" s="17"/>
      <c r="Q42" s="17"/>
      <c r="R42" s="17"/>
      <c r="S42" s="17"/>
      <c r="T42" s="17"/>
      <c r="U42" s="349"/>
      <c r="V42" s="350"/>
      <c r="W42" s="18"/>
      <c r="X42" s="18"/>
      <c r="Y42" s="18"/>
    </row>
    <row r="43" spans="1:25" ht="12.75" customHeight="1" x14ac:dyDescent="0.25">
      <c r="A43" s="16"/>
      <c r="B43" s="16"/>
      <c r="C43" s="348"/>
      <c r="D43" s="16"/>
      <c r="E43" s="16"/>
      <c r="F43" s="16"/>
      <c r="G43" s="16"/>
      <c r="H43" s="16"/>
      <c r="I43" s="16"/>
      <c r="J43" s="16"/>
      <c r="K43" s="16"/>
      <c r="L43" s="16"/>
      <c r="M43" s="16"/>
      <c r="N43" s="17"/>
      <c r="O43" s="17"/>
      <c r="P43" s="17"/>
      <c r="Q43" s="17"/>
      <c r="R43" s="17"/>
      <c r="S43" s="17"/>
      <c r="T43" s="17"/>
      <c r="U43" s="17"/>
      <c r="V43" s="350"/>
      <c r="W43" s="18"/>
      <c r="X43" s="18"/>
      <c r="Y43" s="18"/>
    </row>
    <row r="44" spans="1:25" ht="12.75" customHeight="1" x14ac:dyDescent="0.25">
      <c r="A44" s="16"/>
      <c r="B44" s="16"/>
      <c r="C44" s="348"/>
      <c r="D44" s="16"/>
      <c r="E44" s="16"/>
      <c r="F44" s="16"/>
      <c r="G44" s="16"/>
      <c r="H44" s="16"/>
      <c r="I44" s="16"/>
      <c r="J44" s="16"/>
      <c r="K44" s="16"/>
      <c r="L44" s="16"/>
      <c r="M44" s="16"/>
      <c r="N44" s="17"/>
      <c r="O44" s="17"/>
      <c r="P44" s="17"/>
      <c r="Q44" s="17"/>
      <c r="R44" s="17"/>
      <c r="S44" s="17"/>
      <c r="T44" s="17"/>
      <c r="U44" s="17"/>
      <c r="V44" s="350"/>
      <c r="W44" s="18"/>
      <c r="X44" s="18"/>
      <c r="Y44" s="18"/>
    </row>
    <row r="45" spans="1:25" ht="12.75" customHeight="1" x14ac:dyDescent="0.25">
      <c r="A45" s="16"/>
      <c r="B45" s="16"/>
      <c r="C45" s="790"/>
      <c r="D45" s="791"/>
      <c r="E45" s="791"/>
      <c r="F45" s="791"/>
      <c r="G45" s="791"/>
      <c r="H45" s="791"/>
      <c r="I45" s="791"/>
      <c r="J45" s="791"/>
      <c r="K45" s="791"/>
      <c r="L45" s="791"/>
      <c r="M45" s="791"/>
      <c r="N45" s="791"/>
      <c r="O45" s="791"/>
      <c r="P45" s="791"/>
      <c r="Q45" s="791"/>
      <c r="R45" s="791"/>
      <c r="S45" s="792"/>
      <c r="T45" s="17"/>
      <c r="U45" s="17"/>
      <c r="V45" s="350"/>
      <c r="W45" s="18"/>
      <c r="X45" s="18"/>
      <c r="Y45" s="18"/>
    </row>
    <row r="46" spans="1:25" ht="26.25" customHeight="1" x14ac:dyDescent="0.25">
      <c r="A46" s="18"/>
      <c r="B46" s="13" t="s">
        <v>81</v>
      </c>
      <c r="C46" s="686" t="s">
        <v>82</v>
      </c>
      <c r="D46" s="683"/>
      <c r="E46" s="683"/>
      <c r="F46" s="683"/>
      <c r="G46" s="683"/>
      <c r="H46" s="683"/>
      <c r="I46" s="684"/>
      <c r="J46" s="687" t="s">
        <v>83</v>
      </c>
      <c r="K46" s="683"/>
      <c r="L46" s="683"/>
      <c r="M46" s="683"/>
      <c r="N46" s="683"/>
      <c r="O46" s="683"/>
      <c r="P46" s="684"/>
      <c r="Q46" s="17"/>
      <c r="R46" s="17"/>
      <c r="S46" s="17"/>
      <c r="T46" s="17"/>
      <c r="U46" s="17"/>
      <c r="V46" s="350"/>
      <c r="W46" s="16"/>
      <c r="X46" s="16"/>
      <c r="Y46" s="16"/>
    </row>
    <row r="47" spans="1:25" ht="38.25" customHeight="1" x14ac:dyDescent="0.25">
      <c r="A47" s="16"/>
      <c r="B47" s="15">
        <v>13</v>
      </c>
      <c r="C47" s="682" t="s">
        <v>161</v>
      </c>
      <c r="D47" s="683"/>
      <c r="E47" s="683"/>
      <c r="F47" s="683"/>
      <c r="G47" s="683"/>
      <c r="H47" s="683"/>
      <c r="I47" s="684"/>
      <c r="J47" s="682" t="s">
        <v>85</v>
      </c>
      <c r="K47" s="683"/>
      <c r="L47" s="683"/>
      <c r="M47" s="683"/>
      <c r="N47" s="683"/>
      <c r="O47" s="683"/>
      <c r="P47" s="684"/>
      <c r="Q47" s="17"/>
      <c r="R47" s="17"/>
      <c r="S47" s="17"/>
      <c r="T47" s="17"/>
      <c r="U47" s="17"/>
      <c r="V47" s="350"/>
      <c r="W47" s="16"/>
      <c r="X47" s="16"/>
      <c r="Y47" s="16"/>
    </row>
    <row r="48" spans="1:25" ht="26.25" customHeight="1" x14ac:dyDescent="0.25">
      <c r="A48" s="16"/>
      <c r="B48" s="15">
        <v>14</v>
      </c>
      <c r="C48" s="682" t="s">
        <v>86</v>
      </c>
      <c r="D48" s="683"/>
      <c r="E48" s="683"/>
      <c r="F48" s="683"/>
      <c r="G48" s="683"/>
      <c r="H48" s="683"/>
      <c r="I48" s="684"/>
      <c r="J48" s="685" t="s">
        <v>162</v>
      </c>
      <c r="K48" s="683"/>
      <c r="L48" s="683"/>
      <c r="M48" s="683"/>
      <c r="N48" s="683"/>
      <c r="O48" s="683"/>
      <c r="P48" s="684"/>
      <c r="Q48" s="17"/>
      <c r="R48" s="17"/>
      <c r="S48" s="17"/>
      <c r="T48" s="17"/>
      <c r="U48" s="17"/>
      <c r="V48" s="350"/>
      <c r="W48" s="16"/>
      <c r="X48" s="16"/>
      <c r="Y48" s="16"/>
    </row>
    <row r="49" spans="1:25" ht="12.75" customHeight="1" x14ac:dyDescent="0.25">
      <c r="A49" s="16"/>
      <c r="B49" s="16"/>
      <c r="C49" s="348"/>
      <c r="D49" s="16"/>
      <c r="E49" s="16"/>
      <c r="F49" s="16"/>
      <c r="G49" s="16"/>
      <c r="H49" s="16"/>
      <c r="I49" s="16"/>
      <c r="J49" s="16"/>
      <c r="K49" s="16"/>
      <c r="L49" s="16"/>
      <c r="M49" s="16"/>
      <c r="N49" s="17"/>
      <c r="O49" s="17"/>
      <c r="P49" s="17"/>
      <c r="Q49" s="17"/>
      <c r="R49" s="17"/>
      <c r="S49" s="17"/>
      <c r="T49" s="17"/>
      <c r="U49" s="17"/>
      <c r="V49" s="350"/>
      <c r="W49" s="18"/>
      <c r="X49" s="18"/>
      <c r="Y49" s="18"/>
    </row>
    <row r="50" spans="1:25" ht="12.75" customHeight="1" x14ac:dyDescent="0.25">
      <c r="A50" s="16"/>
      <c r="B50" s="16"/>
      <c r="C50" s="348"/>
      <c r="D50" s="16"/>
      <c r="E50" s="16"/>
      <c r="F50" s="16"/>
      <c r="G50" s="16"/>
      <c r="H50" s="16"/>
      <c r="I50" s="16"/>
      <c r="J50" s="16"/>
      <c r="K50" s="16"/>
      <c r="L50" s="16"/>
      <c r="M50" s="16"/>
      <c r="N50" s="17"/>
      <c r="O50" s="17"/>
      <c r="P50" s="17"/>
      <c r="Q50" s="17"/>
      <c r="R50" s="17"/>
      <c r="S50" s="17"/>
      <c r="T50" s="17"/>
      <c r="U50" s="17"/>
      <c r="V50" s="350"/>
      <c r="W50" s="18"/>
      <c r="X50" s="18"/>
      <c r="Y50" s="18"/>
    </row>
    <row r="51" spans="1:25" ht="12.75" customHeight="1" x14ac:dyDescent="0.25">
      <c r="A51" s="16"/>
      <c r="B51" s="16"/>
      <c r="C51" s="348"/>
      <c r="D51" s="16"/>
      <c r="E51" s="16"/>
      <c r="F51" s="16"/>
      <c r="G51" s="16"/>
      <c r="H51" s="16"/>
      <c r="I51" s="16"/>
      <c r="J51" s="16"/>
      <c r="K51" s="16"/>
      <c r="L51" s="16"/>
      <c r="M51" s="16"/>
      <c r="N51" s="17"/>
      <c r="O51" s="17"/>
      <c r="P51" s="17"/>
      <c r="Q51" s="17"/>
      <c r="R51" s="17"/>
      <c r="S51" s="17"/>
      <c r="T51" s="17"/>
      <c r="U51" s="17"/>
      <c r="V51" s="350"/>
      <c r="W51" s="18"/>
      <c r="X51" s="18"/>
      <c r="Y51" s="18"/>
    </row>
    <row r="52" spans="1:25" ht="12.75" customHeight="1" x14ac:dyDescent="0.25">
      <c r="A52" s="16"/>
      <c r="B52" s="16"/>
      <c r="C52" s="348"/>
      <c r="D52" s="16"/>
      <c r="E52" s="16"/>
      <c r="F52" s="16"/>
      <c r="G52" s="16"/>
      <c r="H52" s="16"/>
      <c r="I52" s="16"/>
      <c r="J52" s="16"/>
      <c r="K52" s="16"/>
      <c r="L52" s="16"/>
      <c r="M52" s="16"/>
      <c r="N52" s="17"/>
      <c r="O52" s="17"/>
      <c r="P52" s="17"/>
      <c r="Q52" s="17"/>
      <c r="R52" s="17"/>
      <c r="S52" s="17"/>
      <c r="T52" s="17"/>
      <c r="U52" s="17"/>
      <c r="V52" s="350"/>
      <c r="W52" s="18"/>
      <c r="X52" s="18"/>
      <c r="Y52" s="18"/>
    </row>
    <row r="53" spans="1:25" ht="12.75" customHeight="1" x14ac:dyDescent="0.25">
      <c r="A53" s="16"/>
      <c r="B53" s="16"/>
      <c r="C53" s="348"/>
      <c r="D53" s="16"/>
      <c r="E53" s="16"/>
      <c r="F53" s="16"/>
      <c r="G53" s="16"/>
      <c r="H53" s="16"/>
      <c r="I53" s="16"/>
      <c r="J53" s="16"/>
      <c r="K53" s="16"/>
      <c r="L53" s="16"/>
      <c r="M53" s="16"/>
      <c r="N53" s="17"/>
      <c r="O53" s="17"/>
      <c r="P53" s="17"/>
      <c r="Q53" s="17"/>
      <c r="R53" s="17"/>
      <c r="S53" s="17"/>
      <c r="T53" s="17"/>
      <c r="U53" s="17"/>
      <c r="V53" s="350"/>
      <c r="W53" s="18"/>
      <c r="X53" s="18"/>
      <c r="Y53" s="18"/>
    </row>
    <row r="54" spans="1:25" ht="12.75" customHeight="1" x14ac:dyDescent="0.25">
      <c r="A54" s="16"/>
      <c r="B54" s="16"/>
      <c r="C54" s="348"/>
      <c r="D54" s="16"/>
      <c r="E54" s="16"/>
      <c r="F54" s="16"/>
      <c r="G54" s="16"/>
      <c r="H54" s="16"/>
      <c r="I54" s="16"/>
      <c r="J54" s="16"/>
      <c r="K54" s="16"/>
      <c r="L54" s="16"/>
      <c r="M54" s="16"/>
      <c r="N54" s="17"/>
      <c r="O54" s="17"/>
      <c r="P54" s="17"/>
      <c r="Q54" s="17"/>
      <c r="R54" s="17"/>
      <c r="S54" s="17"/>
      <c r="T54" s="17"/>
      <c r="U54" s="17"/>
      <c r="V54" s="350"/>
      <c r="W54" s="18"/>
      <c r="X54" s="18"/>
      <c r="Y54" s="18"/>
    </row>
    <row r="55" spans="1:25" ht="12.75" customHeight="1" x14ac:dyDescent="0.25">
      <c r="A55" s="16"/>
      <c r="B55" s="16"/>
      <c r="C55" s="348"/>
      <c r="D55" s="16"/>
      <c r="E55" s="16"/>
      <c r="F55" s="16"/>
      <c r="G55" s="16"/>
      <c r="H55" s="16"/>
      <c r="I55" s="16"/>
      <c r="J55" s="16"/>
      <c r="K55" s="16"/>
      <c r="L55" s="16"/>
      <c r="M55" s="16"/>
      <c r="N55" s="17"/>
      <c r="O55" s="17"/>
      <c r="P55" s="17"/>
      <c r="Q55" s="17"/>
      <c r="R55" s="17"/>
      <c r="S55" s="17"/>
      <c r="T55" s="17"/>
      <c r="U55" s="17"/>
      <c r="V55" s="350"/>
      <c r="W55" s="18"/>
      <c r="X55" s="18"/>
      <c r="Y55" s="18"/>
    </row>
    <row r="56" spans="1:25" ht="12.75" customHeight="1" x14ac:dyDescent="0.25">
      <c r="A56" s="16"/>
      <c r="B56" s="16"/>
      <c r="C56" s="348"/>
      <c r="D56" s="16"/>
      <c r="E56" s="16"/>
      <c r="F56" s="16"/>
      <c r="G56" s="16"/>
      <c r="H56" s="16"/>
      <c r="I56" s="16"/>
      <c r="J56" s="16"/>
      <c r="K56" s="16"/>
      <c r="L56" s="16"/>
      <c r="M56" s="16"/>
      <c r="N56" s="17"/>
      <c r="O56" s="17"/>
      <c r="P56" s="17"/>
      <c r="Q56" s="17"/>
      <c r="R56" s="17"/>
      <c r="S56" s="17"/>
      <c r="T56" s="17"/>
      <c r="U56" s="17"/>
      <c r="V56" s="350"/>
      <c r="W56" s="18"/>
      <c r="X56" s="18"/>
      <c r="Y56" s="18"/>
    </row>
    <row r="57" spans="1:25" ht="12.75" customHeight="1" x14ac:dyDescent="0.25">
      <c r="A57" s="16"/>
      <c r="B57" s="16"/>
      <c r="C57" s="348"/>
      <c r="D57" s="16"/>
      <c r="E57" s="16"/>
      <c r="F57" s="16"/>
      <c r="G57" s="16"/>
      <c r="H57" s="16"/>
      <c r="I57" s="16"/>
      <c r="J57" s="16"/>
      <c r="K57" s="16"/>
      <c r="L57" s="16"/>
      <c r="M57" s="16"/>
      <c r="N57" s="17"/>
      <c r="O57" s="17"/>
      <c r="P57" s="17"/>
      <c r="Q57" s="17"/>
      <c r="R57" s="17"/>
      <c r="S57" s="17"/>
      <c r="T57" s="17"/>
      <c r="U57" s="17"/>
      <c r="V57" s="350"/>
      <c r="W57" s="18"/>
      <c r="X57" s="18"/>
      <c r="Y57" s="18"/>
    </row>
    <row r="58" spans="1:25" ht="12.75" customHeight="1" x14ac:dyDescent="0.25">
      <c r="A58" s="16"/>
      <c r="B58" s="16"/>
      <c r="C58" s="348"/>
      <c r="D58" s="16"/>
      <c r="E58" s="16"/>
      <c r="F58" s="16"/>
      <c r="G58" s="16"/>
      <c r="H58" s="16"/>
      <c r="I58" s="16"/>
      <c r="J58" s="16"/>
      <c r="K58" s="16"/>
      <c r="L58" s="16"/>
      <c r="M58" s="16"/>
      <c r="N58" s="17"/>
      <c r="O58" s="17"/>
      <c r="P58" s="17"/>
      <c r="Q58" s="17"/>
      <c r="R58" s="17"/>
      <c r="S58" s="17"/>
      <c r="T58" s="17"/>
      <c r="U58" s="17"/>
      <c r="V58" s="350"/>
      <c r="W58" s="18"/>
      <c r="X58" s="18"/>
      <c r="Y58" s="18"/>
    </row>
    <row r="59" spans="1:25" ht="12.75" customHeight="1" x14ac:dyDescent="0.25">
      <c r="A59" s="16"/>
      <c r="B59" s="16"/>
      <c r="C59" s="348"/>
      <c r="D59" s="16"/>
      <c r="E59" s="16"/>
      <c r="F59" s="16"/>
      <c r="G59" s="16"/>
      <c r="H59" s="16"/>
      <c r="I59" s="16"/>
      <c r="J59" s="16"/>
      <c r="K59" s="16"/>
      <c r="L59" s="16"/>
      <c r="M59" s="16"/>
      <c r="N59" s="17"/>
      <c r="O59" s="17"/>
      <c r="P59" s="17"/>
      <c r="Q59" s="17"/>
      <c r="R59" s="17"/>
      <c r="S59" s="17"/>
      <c r="T59" s="17"/>
      <c r="U59" s="17"/>
      <c r="V59" s="350"/>
      <c r="W59" s="18"/>
      <c r="X59" s="18"/>
      <c r="Y59" s="18"/>
    </row>
    <row r="60" spans="1:25" ht="12.75" customHeight="1" x14ac:dyDescent="0.25">
      <c r="A60" s="16"/>
      <c r="B60" s="16"/>
      <c r="C60" s="348"/>
      <c r="D60" s="16"/>
      <c r="E60" s="16"/>
      <c r="F60" s="16"/>
      <c r="G60" s="16"/>
      <c r="H60" s="16"/>
      <c r="I60" s="16"/>
      <c r="J60" s="16"/>
      <c r="K60" s="16"/>
      <c r="L60" s="16"/>
      <c r="M60" s="16"/>
      <c r="N60" s="17"/>
      <c r="O60" s="17"/>
      <c r="P60" s="17"/>
      <c r="Q60" s="17"/>
      <c r="R60" s="17"/>
      <c r="S60" s="17"/>
      <c r="T60" s="17"/>
      <c r="U60" s="17"/>
      <c r="V60" s="350"/>
      <c r="W60" s="18"/>
      <c r="X60" s="18"/>
      <c r="Y60" s="18"/>
    </row>
    <row r="61" spans="1:25" ht="12.75" customHeight="1" x14ac:dyDescent="0.25">
      <c r="A61" s="16"/>
      <c r="B61" s="16"/>
      <c r="C61" s="348"/>
      <c r="D61" s="16"/>
      <c r="E61" s="16"/>
      <c r="F61" s="16"/>
      <c r="G61" s="16"/>
      <c r="H61" s="16"/>
      <c r="I61" s="16"/>
      <c r="J61" s="16"/>
      <c r="K61" s="16"/>
      <c r="L61" s="16"/>
      <c r="M61" s="16"/>
      <c r="N61" s="17"/>
      <c r="O61" s="17"/>
      <c r="P61" s="17"/>
      <c r="Q61" s="17"/>
      <c r="R61" s="17"/>
      <c r="S61" s="17"/>
      <c r="T61" s="17"/>
      <c r="U61" s="17"/>
      <c r="V61" s="350"/>
      <c r="W61" s="18"/>
      <c r="X61" s="18"/>
      <c r="Y61" s="18"/>
    </row>
    <row r="62" spans="1:25" ht="12.75" customHeight="1" x14ac:dyDescent="0.25">
      <c r="A62" s="16"/>
      <c r="B62" s="16"/>
      <c r="C62" s="348"/>
      <c r="D62" s="16"/>
      <c r="E62" s="16"/>
      <c r="F62" s="16"/>
      <c r="G62" s="16"/>
      <c r="H62" s="16"/>
      <c r="I62" s="16"/>
      <c r="J62" s="16"/>
      <c r="K62" s="16"/>
      <c r="L62" s="16"/>
      <c r="M62" s="16"/>
      <c r="N62" s="17"/>
      <c r="O62" s="17"/>
      <c r="P62" s="17"/>
      <c r="Q62" s="17"/>
      <c r="R62" s="17"/>
      <c r="S62" s="17"/>
      <c r="T62" s="17"/>
      <c r="U62" s="17"/>
      <c r="V62" s="350"/>
      <c r="W62" s="18"/>
      <c r="X62" s="18"/>
      <c r="Y62" s="18"/>
    </row>
    <row r="63" spans="1:25" ht="12.75" customHeight="1" x14ac:dyDescent="0.25">
      <c r="A63" s="16"/>
      <c r="B63" s="16"/>
      <c r="C63" s="348"/>
      <c r="D63" s="16"/>
      <c r="E63" s="16"/>
      <c r="F63" s="16"/>
      <c r="G63" s="16"/>
      <c r="H63" s="16"/>
      <c r="I63" s="16"/>
      <c r="J63" s="16"/>
      <c r="K63" s="16"/>
      <c r="L63" s="16"/>
      <c r="M63" s="16"/>
      <c r="N63" s="17"/>
      <c r="O63" s="17"/>
      <c r="P63" s="17"/>
      <c r="Q63" s="17"/>
      <c r="R63" s="17"/>
      <c r="S63" s="17"/>
      <c r="T63" s="17"/>
      <c r="U63" s="17"/>
      <c r="V63" s="350"/>
      <c r="W63" s="18"/>
      <c r="X63" s="18"/>
      <c r="Y63" s="18"/>
    </row>
    <row r="64" spans="1:25" ht="12.75" customHeight="1" x14ac:dyDescent="0.25">
      <c r="A64" s="16"/>
      <c r="B64" s="16"/>
      <c r="C64" s="348"/>
      <c r="D64" s="16"/>
      <c r="E64" s="16"/>
      <c r="F64" s="16"/>
      <c r="G64" s="16"/>
      <c r="H64" s="16"/>
      <c r="I64" s="16"/>
      <c r="J64" s="16"/>
      <c r="K64" s="16"/>
      <c r="L64" s="16"/>
      <c r="M64" s="16"/>
      <c r="N64" s="17"/>
      <c r="O64" s="17"/>
      <c r="P64" s="17"/>
      <c r="Q64" s="17"/>
      <c r="R64" s="17"/>
      <c r="S64" s="17"/>
      <c r="T64" s="17"/>
      <c r="U64" s="17"/>
      <c r="V64" s="350"/>
      <c r="W64" s="18"/>
      <c r="X64" s="18"/>
      <c r="Y64" s="18"/>
    </row>
    <row r="65" spans="1:25" ht="12.75" customHeight="1" x14ac:dyDescent="0.25">
      <c r="A65" s="16"/>
      <c r="B65" s="16"/>
      <c r="C65" s="348"/>
      <c r="D65" s="16"/>
      <c r="E65" s="16"/>
      <c r="F65" s="16"/>
      <c r="G65" s="16"/>
      <c r="H65" s="16"/>
      <c r="I65" s="16"/>
      <c r="J65" s="16"/>
      <c r="K65" s="16"/>
      <c r="L65" s="16"/>
      <c r="M65" s="16"/>
      <c r="N65" s="17"/>
      <c r="O65" s="17"/>
      <c r="P65" s="17"/>
      <c r="Q65" s="17"/>
      <c r="R65" s="17"/>
      <c r="S65" s="17"/>
      <c r="T65" s="17"/>
      <c r="U65" s="17"/>
      <c r="V65" s="350"/>
      <c r="W65" s="18"/>
      <c r="X65" s="18"/>
      <c r="Y65" s="18"/>
    </row>
    <row r="66" spans="1:25" ht="12.75" customHeight="1" x14ac:dyDescent="0.25">
      <c r="A66" s="16"/>
      <c r="B66" s="16"/>
      <c r="C66" s="348"/>
      <c r="D66" s="16"/>
      <c r="E66" s="16"/>
      <c r="F66" s="16"/>
      <c r="G66" s="16"/>
      <c r="H66" s="16"/>
      <c r="I66" s="16"/>
      <c r="J66" s="16"/>
      <c r="K66" s="16"/>
      <c r="L66" s="16"/>
      <c r="M66" s="16"/>
      <c r="N66" s="17"/>
      <c r="O66" s="17"/>
      <c r="P66" s="17"/>
      <c r="Q66" s="17"/>
      <c r="R66" s="17"/>
      <c r="S66" s="17"/>
      <c r="T66" s="17"/>
      <c r="U66" s="17"/>
      <c r="V66" s="350"/>
      <c r="W66" s="18"/>
      <c r="X66" s="18"/>
      <c r="Y66" s="18"/>
    </row>
    <row r="67" spans="1:25" ht="12.75" customHeight="1" x14ac:dyDescent="0.25">
      <c r="A67" s="16"/>
      <c r="B67" s="16"/>
      <c r="C67" s="348"/>
      <c r="D67" s="16"/>
      <c r="E67" s="16"/>
      <c r="F67" s="16"/>
      <c r="G67" s="16"/>
      <c r="H67" s="16"/>
      <c r="I67" s="16"/>
      <c r="J67" s="16"/>
      <c r="K67" s="16"/>
      <c r="L67" s="16"/>
      <c r="M67" s="16"/>
      <c r="N67" s="17"/>
      <c r="O67" s="17"/>
      <c r="P67" s="17"/>
      <c r="Q67" s="17"/>
      <c r="R67" s="17"/>
      <c r="S67" s="17"/>
      <c r="T67" s="17"/>
      <c r="U67" s="17"/>
      <c r="V67" s="350"/>
      <c r="W67" s="18"/>
      <c r="X67" s="18"/>
      <c r="Y67" s="18"/>
    </row>
    <row r="68" spans="1:25" ht="12.75" customHeight="1" x14ac:dyDescent="0.25">
      <c r="A68" s="16"/>
      <c r="B68" s="16"/>
      <c r="C68" s="348"/>
      <c r="D68" s="16"/>
      <c r="E68" s="16"/>
      <c r="F68" s="16"/>
      <c r="G68" s="16"/>
      <c r="H68" s="16"/>
      <c r="I68" s="16"/>
      <c r="J68" s="16"/>
      <c r="K68" s="16"/>
      <c r="L68" s="16"/>
      <c r="M68" s="16"/>
      <c r="N68" s="17"/>
      <c r="O68" s="17"/>
      <c r="P68" s="17"/>
      <c r="Q68" s="17"/>
      <c r="R68" s="17"/>
      <c r="S68" s="17"/>
      <c r="T68" s="17"/>
      <c r="U68" s="17"/>
      <c r="V68" s="350"/>
      <c r="W68" s="18"/>
      <c r="X68" s="18"/>
      <c r="Y68" s="18"/>
    </row>
    <row r="69" spans="1:25" ht="12.75" customHeight="1" x14ac:dyDescent="0.25">
      <c r="A69" s="16"/>
      <c r="B69" s="16"/>
      <c r="C69" s="348"/>
      <c r="D69" s="16"/>
      <c r="E69" s="16"/>
      <c r="F69" s="16"/>
      <c r="G69" s="16"/>
      <c r="H69" s="16"/>
      <c r="I69" s="16"/>
      <c r="J69" s="16"/>
      <c r="K69" s="16"/>
      <c r="L69" s="16"/>
      <c r="M69" s="16"/>
      <c r="N69" s="17"/>
      <c r="O69" s="17"/>
      <c r="P69" s="17"/>
      <c r="Q69" s="17"/>
      <c r="R69" s="17"/>
      <c r="S69" s="17"/>
      <c r="T69" s="17"/>
      <c r="U69" s="17"/>
      <c r="V69" s="350"/>
      <c r="W69" s="18"/>
      <c r="X69" s="18"/>
      <c r="Y69" s="18"/>
    </row>
    <row r="70" spans="1:25" ht="12.75" customHeight="1" x14ac:dyDescent="0.25">
      <c r="A70" s="16"/>
      <c r="B70" s="16"/>
      <c r="C70" s="348"/>
      <c r="D70" s="16"/>
      <c r="E70" s="16"/>
      <c r="F70" s="16"/>
      <c r="G70" s="16"/>
      <c r="H70" s="16"/>
      <c r="I70" s="16"/>
      <c r="J70" s="16"/>
      <c r="K70" s="16"/>
      <c r="L70" s="16"/>
      <c r="M70" s="16"/>
      <c r="N70" s="17"/>
      <c r="O70" s="17"/>
      <c r="P70" s="17"/>
      <c r="Q70" s="17"/>
      <c r="R70" s="17"/>
      <c r="S70" s="17"/>
      <c r="T70" s="17"/>
      <c r="U70" s="17"/>
      <c r="V70" s="350"/>
      <c r="W70" s="18"/>
      <c r="X70" s="18"/>
      <c r="Y70" s="18"/>
    </row>
    <row r="71" spans="1:25" ht="12.75" customHeight="1" x14ac:dyDescent="0.25">
      <c r="A71" s="16"/>
      <c r="B71" s="16"/>
      <c r="C71" s="348"/>
      <c r="D71" s="16"/>
      <c r="E71" s="16"/>
      <c r="F71" s="16"/>
      <c r="G71" s="16"/>
      <c r="H71" s="16"/>
      <c r="I71" s="16"/>
      <c r="J71" s="16"/>
      <c r="K71" s="16"/>
      <c r="L71" s="16"/>
      <c r="M71" s="16"/>
      <c r="N71" s="17"/>
      <c r="O71" s="17"/>
      <c r="P71" s="17"/>
      <c r="Q71" s="17"/>
      <c r="R71" s="17"/>
      <c r="S71" s="17"/>
      <c r="T71" s="17"/>
      <c r="U71" s="17"/>
      <c r="V71" s="350"/>
      <c r="W71" s="18"/>
      <c r="X71" s="18"/>
      <c r="Y71" s="18"/>
    </row>
    <row r="72" spans="1:25" ht="12.75" customHeight="1" x14ac:dyDescent="0.25">
      <c r="A72" s="16"/>
      <c r="B72" s="16"/>
      <c r="C72" s="348"/>
      <c r="D72" s="16"/>
      <c r="E72" s="16"/>
      <c r="F72" s="16"/>
      <c r="G72" s="16"/>
      <c r="H72" s="16"/>
      <c r="I72" s="16"/>
      <c r="J72" s="16"/>
      <c r="K72" s="16"/>
      <c r="L72" s="16"/>
      <c r="M72" s="16"/>
      <c r="N72" s="17"/>
      <c r="O72" s="17"/>
      <c r="P72" s="17"/>
      <c r="Q72" s="17"/>
      <c r="R72" s="17"/>
      <c r="S72" s="17"/>
      <c r="T72" s="17"/>
      <c r="U72" s="17"/>
      <c r="V72" s="350"/>
      <c r="W72" s="18"/>
      <c r="X72" s="18"/>
      <c r="Y72" s="18"/>
    </row>
    <row r="73" spans="1:25" ht="12.75" customHeight="1" x14ac:dyDescent="0.25">
      <c r="A73" s="16"/>
      <c r="B73" s="16"/>
      <c r="C73" s="348"/>
      <c r="D73" s="16"/>
      <c r="E73" s="16"/>
      <c r="F73" s="16"/>
      <c r="G73" s="16"/>
      <c r="H73" s="16"/>
      <c r="I73" s="16"/>
      <c r="J73" s="16"/>
      <c r="K73" s="16"/>
      <c r="L73" s="16"/>
      <c r="M73" s="16"/>
      <c r="N73" s="17"/>
      <c r="O73" s="17"/>
      <c r="P73" s="17"/>
      <c r="Q73" s="17"/>
      <c r="R73" s="17"/>
      <c r="S73" s="17"/>
      <c r="T73" s="17"/>
      <c r="U73" s="17"/>
      <c r="V73" s="350"/>
      <c r="W73" s="18"/>
      <c r="X73" s="18"/>
      <c r="Y73" s="18"/>
    </row>
    <row r="74" spans="1:25" ht="12.75" customHeight="1" x14ac:dyDescent="0.25">
      <c r="A74" s="16"/>
      <c r="B74" s="16"/>
      <c r="C74" s="348"/>
      <c r="D74" s="16"/>
      <c r="E74" s="16"/>
      <c r="F74" s="16"/>
      <c r="G74" s="16"/>
      <c r="H74" s="16"/>
      <c r="I74" s="16"/>
      <c r="J74" s="16"/>
      <c r="K74" s="16"/>
      <c r="L74" s="16"/>
      <c r="M74" s="16"/>
      <c r="N74" s="17"/>
      <c r="O74" s="17"/>
      <c r="P74" s="17"/>
      <c r="Q74" s="17"/>
      <c r="R74" s="17"/>
      <c r="S74" s="17"/>
      <c r="T74" s="17"/>
      <c r="U74" s="17"/>
      <c r="V74" s="350"/>
      <c r="W74" s="18"/>
      <c r="X74" s="18"/>
      <c r="Y74" s="18"/>
    </row>
    <row r="75" spans="1:25" ht="12.75" customHeight="1" x14ac:dyDescent="0.25">
      <c r="A75" s="16"/>
      <c r="B75" s="16"/>
      <c r="C75" s="348"/>
      <c r="D75" s="16"/>
      <c r="E75" s="16"/>
      <c r="F75" s="16"/>
      <c r="G75" s="16"/>
      <c r="H75" s="16"/>
      <c r="I75" s="16"/>
      <c r="J75" s="16"/>
      <c r="K75" s="16"/>
      <c r="L75" s="16"/>
      <c r="M75" s="16"/>
      <c r="N75" s="17"/>
      <c r="O75" s="17"/>
      <c r="P75" s="17"/>
      <c r="Q75" s="17"/>
      <c r="R75" s="17"/>
      <c r="S75" s="17"/>
      <c r="T75" s="17"/>
      <c r="U75" s="17"/>
      <c r="V75" s="350"/>
      <c r="W75" s="18"/>
      <c r="X75" s="18"/>
      <c r="Y75" s="18"/>
    </row>
    <row r="76" spans="1:25" ht="12.75" customHeight="1" x14ac:dyDescent="0.25">
      <c r="A76" s="16"/>
      <c r="B76" s="16"/>
      <c r="C76" s="348"/>
      <c r="D76" s="16"/>
      <c r="E76" s="16"/>
      <c r="F76" s="16"/>
      <c r="G76" s="16"/>
      <c r="H76" s="16"/>
      <c r="I76" s="16"/>
      <c r="J76" s="16"/>
      <c r="K76" s="16"/>
      <c r="L76" s="16"/>
      <c r="M76" s="16"/>
      <c r="N76" s="17"/>
      <c r="O76" s="17"/>
      <c r="P76" s="17"/>
      <c r="Q76" s="17"/>
      <c r="R76" s="17"/>
      <c r="S76" s="17"/>
      <c r="T76" s="17"/>
      <c r="U76" s="17"/>
      <c r="V76" s="350"/>
      <c r="W76" s="18"/>
      <c r="X76" s="18"/>
      <c r="Y76" s="18"/>
    </row>
    <row r="77" spans="1:25" ht="12.75" customHeight="1" x14ac:dyDescent="0.25">
      <c r="A77" s="16"/>
      <c r="B77" s="16"/>
      <c r="C77" s="348"/>
      <c r="D77" s="16"/>
      <c r="E77" s="16"/>
      <c r="F77" s="16"/>
      <c r="G77" s="16"/>
      <c r="H77" s="16"/>
      <c r="I77" s="16"/>
      <c r="J77" s="16"/>
      <c r="K77" s="16"/>
      <c r="L77" s="16"/>
      <c r="M77" s="16"/>
      <c r="N77" s="17"/>
      <c r="O77" s="17"/>
      <c r="P77" s="17"/>
      <c r="Q77" s="17"/>
      <c r="R77" s="17"/>
      <c r="S77" s="17"/>
      <c r="T77" s="17"/>
      <c r="U77" s="17"/>
      <c r="V77" s="350"/>
      <c r="W77" s="18"/>
      <c r="X77" s="18"/>
      <c r="Y77" s="18"/>
    </row>
    <row r="78" spans="1:25" ht="12.75" customHeight="1" x14ac:dyDescent="0.25">
      <c r="A78" s="16"/>
      <c r="B78" s="16"/>
      <c r="C78" s="348"/>
      <c r="D78" s="16"/>
      <c r="E78" s="16"/>
      <c r="F78" s="16"/>
      <c r="G78" s="16"/>
      <c r="H78" s="16"/>
      <c r="I78" s="16"/>
      <c r="J78" s="16"/>
      <c r="K78" s="16"/>
      <c r="L78" s="16"/>
      <c r="M78" s="16"/>
      <c r="N78" s="17"/>
      <c r="O78" s="17"/>
      <c r="P78" s="17"/>
      <c r="Q78" s="17"/>
      <c r="R78" s="17"/>
      <c r="S78" s="17"/>
      <c r="T78" s="17"/>
      <c r="U78" s="17"/>
      <c r="V78" s="350"/>
      <c r="W78" s="18"/>
      <c r="X78" s="18"/>
      <c r="Y78" s="18"/>
    </row>
    <row r="79" spans="1:25" ht="12.75" customHeight="1" x14ac:dyDescent="0.25">
      <c r="A79" s="16"/>
      <c r="B79" s="16"/>
      <c r="C79" s="348"/>
      <c r="D79" s="16"/>
      <c r="E79" s="16"/>
      <c r="F79" s="16"/>
      <c r="G79" s="16"/>
      <c r="H79" s="16"/>
      <c r="I79" s="16"/>
      <c r="J79" s="16"/>
      <c r="K79" s="16"/>
      <c r="L79" s="16"/>
      <c r="M79" s="16"/>
      <c r="N79" s="17"/>
      <c r="O79" s="17"/>
      <c r="P79" s="17"/>
      <c r="Q79" s="17"/>
      <c r="R79" s="17"/>
      <c r="S79" s="17"/>
      <c r="T79" s="17"/>
      <c r="U79" s="17"/>
      <c r="V79" s="350"/>
      <c r="W79" s="18"/>
      <c r="X79" s="18"/>
      <c r="Y79" s="18"/>
    </row>
    <row r="80" spans="1:25" ht="12.75" customHeight="1" x14ac:dyDescent="0.25">
      <c r="A80" s="16"/>
      <c r="B80" s="16"/>
      <c r="C80" s="348"/>
      <c r="D80" s="16"/>
      <c r="E80" s="16"/>
      <c r="F80" s="16"/>
      <c r="G80" s="16"/>
      <c r="H80" s="16"/>
      <c r="I80" s="16"/>
      <c r="J80" s="16"/>
      <c r="K80" s="16"/>
      <c r="L80" s="16"/>
      <c r="M80" s="16"/>
      <c r="N80" s="17"/>
      <c r="O80" s="17"/>
      <c r="P80" s="17"/>
      <c r="Q80" s="17"/>
      <c r="R80" s="17"/>
      <c r="S80" s="17"/>
      <c r="T80" s="17"/>
      <c r="U80" s="17"/>
      <c r="V80" s="350"/>
      <c r="W80" s="18"/>
      <c r="X80" s="18"/>
      <c r="Y80" s="18"/>
    </row>
    <row r="81" spans="1:25" ht="12.75" customHeight="1" x14ac:dyDescent="0.25">
      <c r="A81" s="16"/>
      <c r="B81" s="16"/>
      <c r="C81" s="348"/>
      <c r="D81" s="16"/>
      <c r="E81" s="16"/>
      <c r="F81" s="16"/>
      <c r="G81" s="16"/>
      <c r="H81" s="16"/>
      <c r="I81" s="16"/>
      <c r="J81" s="16"/>
      <c r="K81" s="16"/>
      <c r="L81" s="16"/>
      <c r="M81" s="16"/>
      <c r="N81" s="17"/>
      <c r="O81" s="17"/>
      <c r="P81" s="17"/>
      <c r="Q81" s="17"/>
      <c r="R81" s="17"/>
      <c r="S81" s="17"/>
      <c r="T81" s="17"/>
      <c r="U81" s="17"/>
      <c r="V81" s="350"/>
      <c r="W81" s="18"/>
      <c r="X81" s="18"/>
      <c r="Y81" s="18"/>
    </row>
    <row r="82" spans="1:25" ht="12.75" customHeight="1" x14ac:dyDescent="0.25">
      <c r="A82" s="16"/>
      <c r="B82" s="16"/>
      <c r="C82" s="348"/>
      <c r="D82" s="16"/>
      <c r="E82" s="16"/>
      <c r="F82" s="16"/>
      <c r="G82" s="16"/>
      <c r="H82" s="16"/>
      <c r="I82" s="16"/>
      <c r="J82" s="16"/>
      <c r="K82" s="16"/>
      <c r="L82" s="16"/>
      <c r="M82" s="16"/>
      <c r="N82" s="17"/>
      <c r="O82" s="17"/>
      <c r="P82" s="17"/>
      <c r="Q82" s="17"/>
      <c r="R82" s="17"/>
      <c r="S82" s="17"/>
      <c r="T82" s="17"/>
      <c r="U82" s="17"/>
      <c r="V82" s="350"/>
      <c r="W82" s="18"/>
      <c r="X82" s="18"/>
      <c r="Y82" s="18"/>
    </row>
    <row r="83" spans="1:25" ht="12.75" customHeight="1" x14ac:dyDescent="0.25">
      <c r="A83" s="16"/>
      <c r="B83" s="16"/>
      <c r="C83" s="348"/>
      <c r="D83" s="16"/>
      <c r="E83" s="16"/>
      <c r="F83" s="16"/>
      <c r="G83" s="16"/>
      <c r="H83" s="16"/>
      <c r="I83" s="16"/>
      <c r="J83" s="16"/>
      <c r="K83" s="16"/>
      <c r="L83" s="16"/>
      <c r="M83" s="16"/>
      <c r="N83" s="17"/>
      <c r="O83" s="17"/>
      <c r="P83" s="17"/>
      <c r="Q83" s="17"/>
      <c r="R83" s="17"/>
      <c r="S83" s="17"/>
      <c r="T83" s="17"/>
      <c r="U83" s="17"/>
      <c r="V83" s="350"/>
      <c r="W83" s="18"/>
      <c r="X83" s="18"/>
      <c r="Y83" s="18"/>
    </row>
    <row r="84" spans="1:25" ht="12.75" customHeight="1" x14ac:dyDescent="0.25">
      <c r="A84" s="16"/>
      <c r="B84" s="16"/>
      <c r="C84" s="348"/>
      <c r="D84" s="16"/>
      <c r="E84" s="16"/>
      <c r="F84" s="16"/>
      <c r="G84" s="16"/>
      <c r="H84" s="16"/>
      <c r="I84" s="16"/>
      <c r="J84" s="16"/>
      <c r="K84" s="16"/>
      <c r="L84" s="16"/>
      <c r="M84" s="16"/>
      <c r="N84" s="17"/>
      <c r="O84" s="17"/>
      <c r="P84" s="17"/>
      <c r="Q84" s="17"/>
      <c r="R84" s="17"/>
      <c r="S84" s="17"/>
      <c r="T84" s="17"/>
      <c r="U84" s="17"/>
      <c r="V84" s="350"/>
      <c r="W84" s="18"/>
      <c r="X84" s="18"/>
      <c r="Y84" s="18"/>
    </row>
    <row r="85" spans="1:25" ht="12.75" customHeight="1" x14ac:dyDescent="0.25">
      <c r="A85" s="16"/>
      <c r="B85" s="16"/>
      <c r="C85" s="348"/>
      <c r="D85" s="16"/>
      <c r="E85" s="16"/>
      <c r="F85" s="16"/>
      <c r="G85" s="16"/>
      <c r="H85" s="16"/>
      <c r="I85" s="16"/>
      <c r="J85" s="16"/>
      <c r="K85" s="16"/>
      <c r="L85" s="16"/>
      <c r="M85" s="16"/>
      <c r="N85" s="17"/>
      <c r="O85" s="17"/>
      <c r="P85" s="17"/>
      <c r="Q85" s="17"/>
      <c r="R85" s="17"/>
      <c r="S85" s="17"/>
      <c r="T85" s="17"/>
      <c r="U85" s="17"/>
      <c r="V85" s="350"/>
      <c r="W85" s="18"/>
      <c r="X85" s="18"/>
      <c r="Y85" s="18"/>
    </row>
    <row r="86" spans="1:25" ht="12.75" customHeight="1" x14ac:dyDescent="0.25">
      <c r="A86" s="16"/>
      <c r="B86" s="16"/>
      <c r="C86" s="348"/>
      <c r="D86" s="16"/>
      <c r="E86" s="16"/>
      <c r="F86" s="16"/>
      <c r="G86" s="16"/>
      <c r="H86" s="16"/>
      <c r="I86" s="16"/>
      <c r="J86" s="16"/>
      <c r="K86" s="16"/>
      <c r="L86" s="16"/>
      <c r="M86" s="16"/>
      <c r="N86" s="17"/>
      <c r="O86" s="17"/>
      <c r="P86" s="17"/>
      <c r="Q86" s="17"/>
      <c r="R86" s="17"/>
      <c r="S86" s="17"/>
      <c r="T86" s="17"/>
      <c r="U86" s="17"/>
      <c r="V86" s="350"/>
      <c r="W86" s="18"/>
      <c r="X86" s="18"/>
      <c r="Y86" s="18"/>
    </row>
    <row r="87" spans="1:25" ht="12.75" customHeight="1" x14ac:dyDescent="0.25">
      <c r="A87" s="18"/>
      <c r="B87" s="18"/>
      <c r="C87" s="348"/>
      <c r="D87" s="16"/>
      <c r="E87" s="16"/>
      <c r="F87" s="16"/>
      <c r="G87" s="16"/>
      <c r="H87" s="16"/>
      <c r="I87" s="16"/>
      <c r="J87" s="16"/>
      <c r="K87" s="16"/>
      <c r="L87" s="16"/>
      <c r="M87" s="16"/>
      <c r="N87" s="17"/>
      <c r="O87" s="351"/>
      <c r="P87" s="351"/>
      <c r="Q87" s="351"/>
      <c r="R87" s="351"/>
      <c r="S87" s="351"/>
      <c r="T87" s="351"/>
      <c r="U87" s="351"/>
      <c r="V87" s="350"/>
      <c r="W87" s="18"/>
      <c r="X87" s="18"/>
      <c r="Y87" s="18"/>
    </row>
    <row r="88" spans="1:25" ht="12.75" customHeight="1" x14ac:dyDescent="0.25">
      <c r="A88" s="18"/>
      <c r="B88" s="18"/>
      <c r="C88" s="348"/>
      <c r="D88" s="16"/>
      <c r="E88" s="16"/>
      <c r="F88" s="16"/>
      <c r="G88" s="16"/>
      <c r="H88" s="16"/>
      <c r="I88" s="16"/>
      <c r="J88" s="16"/>
      <c r="K88" s="16"/>
      <c r="L88" s="16"/>
      <c r="M88" s="16"/>
      <c r="N88" s="17"/>
      <c r="O88" s="351"/>
      <c r="P88" s="351"/>
      <c r="Q88" s="351"/>
      <c r="R88" s="351"/>
      <c r="S88" s="351"/>
      <c r="T88" s="351"/>
      <c r="U88" s="351"/>
      <c r="V88" s="350"/>
      <c r="W88" s="18"/>
      <c r="X88" s="18"/>
      <c r="Y88" s="18"/>
    </row>
    <row r="89" spans="1:25" ht="12.75" customHeight="1" x14ac:dyDescent="0.25">
      <c r="A89" s="18"/>
      <c r="B89" s="18"/>
      <c r="C89" s="348"/>
      <c r="D89" s="16"/>
      <c r="E89" s="16"/>
      <c r="F89" s="16"/>
      <c r="G89" s="16"/>
      <c r="H89" s="16"/>
      <c r="I89" s="16"/>
      <c r="J89" s="16"/>
      <c r="K89" s="16"/>
      <c r="L89" s="16"/>
      <c r="M89" s="16"/>
      <c r="N89" s="17"/>
      <c r="O89" s="351"/>
      <c r="P89" s="351"/>
      <c r="Q89" s="351"/>
      <c r="R89" s="351"/>
      <c r="S89" s="351"/>
      <c r="T89" s="351"/>
      <c r="U89" s="351"/>
      <c r="V89" s="350"/>
      <c r="W89" s="18"/>
      <c r="X89" s="18"/>
      <c r="Y89" s="18"/>
    </row>
    <row r="90" spans="1:25" ht="12.75" customHeight="1" x14ac:dyDescent="0.25">
      <c r="A90" s="18"/>
      <c r="B90" s="18"/>
      <c r="C90" s="348"/>
      <c r="D90" s="16"/>
      <c r="E90" s="16"/>
      <c r="F90" s="16"/>
      <c r="G90" s="16"/>
      <c r="H90" s="16"/>
      <c r="I90" s="16"/>
      <c r="J90" s="16"/>
      <c r="K90" s="16"/>
      <c r="L90" s="16"/>
      <c r="M90" s="16"/>
      <c r="N90" s="17"/>
      <c r="O90" s="351"/>
      <c r="P90" s="351"/>
      <c r="Q90" s="351"/>
      <c r="R90" s="351"/>
      <c r="S90" s="351"/>
      <c r="T90" s="351"/>
      <c r="U90" s="351"/>
      <c r="V90" s="350"/>
      <c r="W90" s="18"/>
      <c r="X90" s="18"/>
      <c r="Y90" s="18"/>
    </row>
    <row r="91" spans="1:25" ht="12.75" customHeight="1" x14ac:dyDescent="0.25">
      <c r="A91" s="18"/>
      <c r="B91" s="18"/>
      <c r="C91" s="352"/>
      <c r="D91" s="18"/>
      <c r="E91" s="18"/>
      <c r="F91" s="18"/>
      <c r="G91" s="18"/>
      <c r="H91" s="18"/>
      <c r="I91" s="18"/>
      <c r="J91" s="18"/>
      <c r="K91" s="18"/>
      <c r="L91" s="18"/>
      <c r="M91" s="18"/>
      <c r="N91" s="351"/>
      <c r="O91" s="351"/>
      <c r="P91" s="351"/>
      <c r="Q91" s="351"/>
      <c r="R91" s="351"/>
      <c r="S91" s="351"/>
      <c r="T91" s="351"/>
      <c r="U91" s="351"/>
      <c r="V91" s="350"/>
      <c r="W91" s="18"/>
      <c r="X91" s="18"/>
      <c r="Y91" s="18"/>
    </row>
    <row r="92" spans="1:25" ht="12.75" customHeight="1" x14ac:dyDescent="0.25">
      <c r="A92" s="18"/>
      <c r="B92" s="18"/>
      <c r="C92" s="352"/>
      <c r="D92" s="18"/>
      <c r="E92" s="18"/>
      <c r="F92" s="18"/>
      <c r="G92" s="18"/>
      <c r="H92" s="18"/>
      <c r="I92" s="18"/>
      <c r="J92" s="18"/>
      <c r="K92" s="18"/>
      <c r="L92" s="18"/>
      <c r="M92" s="18"/>
      <c r="N92" s="351"/>
      <c r="O92" s="351"/>
      <c r="P92" s="351"/>
      <c r="Q92" s="351"/>
      <c r="R92" s="351"/>
      <c r="S92" s="351"/>
      <c r="T92" s="351"/>
      <c r="U92" s="351"/>
      <c r="V92" s="350"/>
      <c r="W92" s="18"/>
      <c r="X92" s="18"/>
      <c r="Y92" s="18"/>
    </row>
    <row r="93" spans="1:25" ht="12.75" customHeight="1" x14ac:dyDescent="0.25">
      <c r="A93" s="18"/>
      <c r="B93" s="18"/>
      <c r="C93" s="352"/>
      <c r="D93" s="18"/>
      <c r="E93" s="18"/>
      <c r="F93" s="18"/>
      <c r="G93" s="18"/>
      <c r="H93" s="18"/>
      <c r="I93" s="18"/>
      <c r="J93" s="18"/>
      <c r="K93" s="18"/>
      <c r="L93" s="18"/>
      <c r="M93" s="18"/>
      <c r="N93" s="351"/>
      <c r="O93" s="351"/>
      <c r="P93" s="351"/>
      <c r="Q93" s="351"/>
      <c r="R93" s="351"/>
      <c r="S93" s="351"/>
      <c r="T93" s="351"/>
      <c r="U93" s="351"/>
      <c r="V93" s="350"/>
      <c r="W93" s="18"/>
      <c r="X93" s="18"/>
      <c r="Y93" s="18"/>
    </row>
    <row r="94" spans="1:25" ht="12.75" customHeight="1" x14ac:dyDescent="0.25">
      <c r="A94" s="18"/>
      <c r="B94" s="18"/>
      <c r="C94" s="352"/>
      <c r="D94" s="18"/>
      <c r="E94" s="18"/>
      <c r="F94" s="18"/>
      <c r="G94" s="18"/>
      <c r="H94" s="18"/>
      <c r="I94" s="18"/>
      <c r="J94" s="18"/>
      <c r="K94" s="18"/>
      <c r="L94" s="18"/>
      <c r="M94" s="18"/>
      <c r="N94" s="351"/>
      <c r="O94" s="351"/>
      <c r="P94" s="351"/>
      <c r="Q94" s="351"/>
      <c r="R94" s="351"/>
      <c r="S94" s="351"/>
      <c r="T94" s="351"/>
      <c r="U94" s="351"/>
      <c r="V94" s="350"/>
      <c r="W94" s="18"/>
      <c r="X94" s="18"/>
      <c r="Y94" s="18"/>
    </row>
    <row r="95" spans="1:25" ht="12.75" customHeight="1" x14ac:dyDescent="0.25">
      <c r="A95" s="18"/>
      <c r="B95" s="18"/>
      <c r="C95" s="352"/>
      <c r="D95" s="18"/>
      <c r="E95" s="18"/>
      <c r="F95" s="18"/>
      <c r="G95" s="18"/>
      <c r="H95" s="18"/>
      <c r="I95" s="18"/>
      <c r="J95" s="18"/>
      <c r="K95" s="18"/>
      <c r="L95" s="18"/>
      <c r="M95" s="18"/>
      <c r="N95" s="351"/>
      <c r="O95" s="351"/>
      <c r="P95" s="351"/>
      <c r="Q95" s="351"/>
      <c r="R95" s="351"/>
      <c r="S95" s="351"/>
      <c r="T95" s="351"/>
      <c r="U95" s="351"/>
      <c r="V95" s="350"/>
      <c r="W95" s="18"/>
      <c r="X95" s="18"/>
      <c r="Y95" s="18"/>
    </row>
    <row r="96" spans="1:25" ht="12.75" customHeight="1" x14ac:dyDescent="0.25">
      <c r="A96" s="18"/>
      <c r="B96" s="18"/>
      <c r="C96" s="352"/>
      <c r="D96" s="18"/>
      <c r="E96" s="18"/>
      <c r="F96" s="18"/>
      <c r="G96" s="18"/>
      <c r="H96" s="18"/>
      <c r="I96" s="18"/>
      <c r="J96" s="18"/>
      <c r="K96" s="18"/>
      <c r="L96" s="18"/>
      <c r="M96" s="18"/>
      <c r="N96" s="351"/>
      <c r="O96" s="351"/>
      <c r="P96" s="351"/>
      <c r="Q96" s="351"/>
      <c r="R96" s="351"/>
      <c r="S96" s="351"/>
      <c r="T96" s="351"/>
      <c r="U96" s="351"/>
      <c r="V96" s="350"/>
      <c r="W96" s="18"/>
      <c r="X96" s="18"/>
      <c r="Y96" s="18"/>
    </row>
    <row r="97" spans="1:25" ht="12.75" customHeight="1" x14ac:dyDescent="0.25">
      <c r="A97" s="18"/>
      <c r="B97" s="18"/>
      <c r="C97" s="352"/>
      <c r="D97" s="18"/>
      <c r="E97" s="18"/>
      <c r="F97" s="18"/>
      <c r="G97" s="18"/>
      <c r="H97" s="18"/>
      <c r="I97" s="18"/>
      <c r="J97" s="18"/>
      <c r="K97" s="18"/>
      <c r="L97" s="18"/>
      <c r="M97" s="18"/>
      <c r="N97" s="351"/>
      <c r="O97" s="351"/>
      <c r="P97" s="351"/>
      <c r="Q97" s="351"/>
      <c r="R97" s="351"/>
      <c r="S97" s="351"/>
      <c r="T97" s="351"/>
      <c r="U97" s="351"/>
      <c r="V97" s="350"/>
      <c r="W97" s="18"/>
      <c r="X97" s="18"/>
      <c r="Y97" s="18"/>
    </row>
    <row r="98" spans="1:25" ht="12.75" customHeight="1" x14ac:dyDescent="0.25">
      <c r="A98" s="18"/>
      <c r="B98" s="18"/>
      <c r="C98" s="352"/>
      <c r="D98" s="18"/>
      <c r="E98" s="18"/>
      <c r="F98" s="18"/>
      <c r="G98" s="18"/>
      <c r="H98" s="18"/>
      <c r="I98" s="18"/>
      <c r="J98" s="18"/>
      <c r="K98" s="18"/>
      <c r="L98" s="18"/>
      <c r="M98" s="18"/>
      <c r="N98" s="351"/>
      <c r="O98" s="351"/>
      <c r="P98" s="351"/>
      <c r="Q98" s="351"/>
      <c r="R98" s="351"/>
      <c r="S98" s="351"/>
      <c r="T98" s="351"/>
      <c r="U98" s="351"/>
      <c r="V98" s="350"/>
      <c r="W98" s="18"/>
      <c r="X98" s="18"/>
      <c r="Y98" s="18"/>
    </row>
    <row r="99" spans="1:25" ht="12.75" customHeight="1" x14ac:dyDescent="0.25">
      <c r="A99" s="18"/>
      <c r="B99" s="18"/>
      <c r="C99" s="352"/>
      <c r="D99" s="18"/>
      <c r="E99" s="18"/>
      <c r="F99" s="18"/>
      <c r="G99" s="18"/>
      <c r="H99" s="18"/>
      <c r="I99" s="18"/>
      <c r="J99" s="18"/>
      <c r="K99" s="18"/>
      <c r="L99" s="18"/>
      <c r="M99" s="18"/>
      <c r="N99" s="351"/>
      <c r="O99" s="351"/>
      <c r="P99" s="351"/>
      <c r="Q99" s="351"/>
      <c r="R99" s="351"/>
      <c r="S99" s="351"/>
      <c r="T99" s="351"/>
      <c r="U99" s="351"/>
      <c r="V99" s="350"/>
      <c r="W99" s="18"/>
      <c r="X99" s="18"/>
      <c r="Y99" s="18"/>
    </row>
    <row r="100" spans="1:25" ht="12.75" customHeight="1" x14ac:dyDescent="0.25">
      <c r="A100" s="18"/>
      <c r="B100" s="18"/>
      <c r="C100" s="352"/>
      <c r="D100" s="18"/>
      <c r="E100" s="18"/>
      <c r="F100" s="18"/>
      <c r="G100" s="18"/>
      <c r="H100" s="18"/>
      <c r="I100" s="18"/>
      <c r="J100" s="18"/>
      <c r="K100" s="18"/>
      <c r="L100" s="18"/>
      <c r="M100" s="18"/>
      <c r="N100" s="351"/>
      <c r="O100" s="351"/>
      <c r="P100" s="351"/>
      <c r="Q100" s="351"/>
      <c r="R100" s="351"/>
      <c r="S100" s="351"/>
      <c r="T100" s="351"/>
      <c r="U100" s="351"/>
      <c r="V100" s="350"/>
      <c r="W100" s="18"/>
      <c r="X100" s="18"/>
      <c r="Y100" s="18"/>
    </row>
  </sheetData>
  <mergeCells count="113">
    <mergeCell ref="D1:V1"/>
    <mergeCell ref="D2:V2"/>
    <mergeCell ref="D7:E7"/>
    <mergeCell ref="F7:S7"/>
    <mergeCell ref="D5:V5"/>
    <mergeCell ref="T7:U7"/>
    <mergeCell ref="E23:E24"/>
    <mergeCell ref="D4:V4"/>
    <mergeCell ref="D3:U3"/>
    <mergeCell ref="V9:V10"/>
    <mergeCell ref="V7:V8"/>
    <mergeCell ref="D9:D10"/>
    <mergeCell ref="E9:E10"/>
    <mergeCell ref="U9:U10"/>
    <mergeCell ref="U11:U12"/>
    <mergeCell ref="V11:V12"/>
    <mergeCell ref="V23:V24"/>
    <mergeCell ref="C46:I46"/>
    <mergeCell ref="B27:B32"/>
    <mergeCell ref="C21:C22"/>
    <mergeCell ref="D21:D22"/>
    <mergeCell ref="E17:E18"/>
    <mergeCell ref="E19:E20"/>
    <mergeCell ref="D17:D18"/>
    <mergeCell ref="C19:C20"/>
    <mergeCell ref="D19:D20"/>
    <mergeCell ref="B21:B26"/>
    <mergeCell ref="C17:C18"/>
    <mergeCell ref="E21:E22"/>
    <mergeCell ref="D25:D26"/>
    <mergeCell ref="E25:E26"/>
    <mergeCell ref="D23:D24"/>
    <mergeCell ref="C47:I47"/>
    <mergeCell ref="J47:P47"/>
    <mergeCell ref="C48:I48"/>
    <mergeCell ref="J48:P48"/>
    <mergeCell ref="D39:D40"/>
    <mergeCell ref="E39:E40"/>
    <mergeCell ref="D27:D28"/>
    <mergeCell ref="D29:D30"/>
    <mergeCell ref="C23:C24"/>
    <mergeCell ref="C25:C26"/>
    <mergeCell ref="C27:C28"/>
    <mergeCell ref="C29:C30"/>
    <mergeCell ref="E27:E28"/>
    <mergeCell ref="E29:E30"/>
    <mergeCell ref="J46:P46"/>
    <mergeCell ref="A41:S41"/>
    <mergeCell ref="C45:S45"/>
    <mergeCell ref="C31:C32"/>
    <mergeCell ref="B33:B40"/>
    <mergeCell ref="C37:C38"/>
    <mergeCell ref="C39:C40"/>
    <mergeCell ref="C33:C34"/>
    <mergeCell ref="C35:C36"/>
    <mergeCell ref="D31:D32"/>
    <mergeCell ref="A1:C3"/>
    <mergeCell ref="C7:C8"/>
    <mergeCell ref="A5:C5"/>
    <mergeCell ref="A4:C4"/>
    <mergeCell ref="B7:B8"/>
    <mergeCell ref="C11:C12"/>
    <mergeCell ref="B9:B20"/>
    <mergeCell ref="V35:V36"/>
    <mergeCell ref="V37:V38"/>
    <mergeCell ref="T21:T26"/>
    <mergeCell ref="T27:T32"/>
    <mergeCell ref="T33:T40"/>
    <mergeCell ref="U39:U40"/>
    <mergeCell ref="V39:V40"/>
    <mergeCell ref="E31:E32"/>
    <mergeCell ref="E35:E36"/>
    <mergeCell ref="E37:E38"/>
    <mergeCell ref="E33:E34"/>
    <mergeCell ref="D35:D36"/>
    <mergeCell ref="D37:D38"/>
    <mergeCell ref="D33:D34"/>
    <mergeCell ref="E15:E16"/>
    <mergeCell ref="E11:E12"/>
    <mergeCell ref="E13:E14"/>
    <mergeCell ref="U31:U32"/>
    <mergeCell ref="U33:U34"/>
    <mergeCell ref="V31:V32"/>
    <mergeCell ref="V33:V34"/>
    <mergeCell ref="U37:U38"/>
    <mergeCell ref="U35:U36"/>
    <mergeCell ref="C15:C16"/>
    <mergeCell ref="D15:D16"/>
    <mergeCell ref="A6:V6"/>
    <mergeCell ref="C9:C10"/>
    <mergeCell ref="A7:A8"/>
    <mergeCell ref="A9:A40"/>
    <mergeCell ref="C13:C14"/>
    <mergeCell ref="D11:D12"/>
    <mergeCell ref="D13:D14"/>
    <mergeCell ref="V19:V20"/>
    <mergeCell ref="V15:V16"/>
    <mergeCell ref="V13:V14"/>
    <mergeCell ref="V17:V18"/>
    <mergeCell ref="T9:T20"/>
    <mergeCell ref="U17:U18"/>
    <mergeCell ref="U13:U14"/>
    <mergeCell ref="U19:U20"/>
    <mergeCell ref="U15:U16"/>
    <mergeCell ref="V25:V26"/>
    <mergeCell ref="U21:U22"/>
    <mergeCell ref="U23:U24"/>
    <mergeCell ref="U27:U28"/>
    <mergeCell ref="V21:V22"/>
    <mergeCell ref="V29:V30"/>
    <mergeCell ref="U25:U26"/>
    <mergeCell ref="V27:V28"/>
    <mergeCell ref="U29:U30"/>
  </mergeCells>
  <printOptions horizontalCentered="1" verticalCentered="1"/>
  <pageMargins left="0" right="0" top="0.55118110236220474" bottom="0" header="0" footer="0"/>
  <pageSetup scale="3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
  <sheetViews>
    <sheetView workbookViewId="0"/>
  </sheetViews>
  <sheetFormatPr baseColWidth="10" defaultColWidth="14.42578125" defaultRowHeight="15" customHeight="1" x14ac:dyDescent="0.25"/>
  <cols>
    <col min="1" max="25" width="10.7109375" customWidth="1"/>
  </cols>
  <sheetData>
    <row r="1" spans="1:25" ht="110.25" x14ac:dyDescent="0.25">
      <c r="A1" s="5" t="s">
        <v>248</v>
      </c>
      <c r="B1" s="3" t="s">
        <v>249</v>
      </c>
      <c r="C1" s="3"/>
      <c r="D1" s="3" t="s">
        <v>250</v>
      </c>
      <c r="E1" s="3"/>
      <c r="F1" s="3" t="s">
        <v>251</v>
      </c>
      <c r="G1" s="3"/>
      <c r="H1" s="3" t="s">
        <v>252</v>
      </c>
      <c r="I1" s="3"/>
      <c r="J1" s="3" t="s">
        <v>253</v>
      </c>
      <c r="K1" s="3"/>
      <c r="L1" s="3" t="s">
        <v>254</v>
      </c>
      <c r="M1" s="3"/>
      <c r="N1" s="3" t="s">
        <v>255</v>
      </c>
      <c r="O1" s="3"/>
      <c r="P1" s="3" t="s">
        <v>256</v>
      </c>
      <c r="Q1" s="3"/>
      <c r="R1" s="3" t="s">
        <v>257</v>
      </c>
      <c r="S1" s="3"/>
      <c r="T1" s="3" t="s">
        <v>258</v>
      </c>
      <c r="U1" s="3"/>
      <c r="V1" s="3" t="s">
        <v>259</v>
      </c>
      <c r="W1" s="3"/>
      <c r="X1" s="3" t="s">
        <v>260</v>
      </c>
      <c r="Y1" s="4" t="s">
        <v>39</v>
      </c>
    </row>
    <row r="2" spans="1:25" x14ac:dyDescent="0.25">
      <c r="A2" s="21">
        <f>135+119.34</f>
        <v>254.34</v>
      </c>
      <c r="B2" s="7">
        <v>0</v>
      </c>
      <c r="C2" s="22">
        <v>0</v>
      </c>
      <c r="D2" s="6">
        <v>0</v>
      </c>
      <c r="E2" s="6"/>
      <c r="F2" s="6">
        <v>0</v>
      </c>
      <c r="G2" s="6"/>
      <c r="H2" s="6">
        <v>0</v>
      </c>
      <c r="I2" s="6"/>
      <c r="J2" s="6">
        <v>20</v>
      </c>
      <c r="K2" s="6"/>
      <c r="L2" s="6">
        <v>30</v>
      </c>
      <c r="M2" s="6"/>
      <c r="N2" s="6">
        <v>30</v>
      </c>
      <c r="O2" s="6"/>
      <c r="P2" s="6">
        <v>39.340000000000003</v>
      </c>
      <c r="Q2" s="6"/>
      <c r="R2" s="6">
        <v>40</v>
      </c>
      <c r="S2" s="6"/>
      <c r="T2" s="6">
        <v>40</v>
      </c>
      <c r="U2" s="6"/>
      <c r="V2" s="6">
        <v>40</v>
      </c>
      <c r="W2" s="6"/>
      <c r="X2" s="6">
        <v>15</v>
      </c>
      <c r="Y2" s="23">
        <f>X2+V2+T2+R2+N2+L2+J2+H2+F2+D2+B2+P2</f>
        <v>254.34</v>
      </c>
    </row>
    <row r="3" spans="1:25" x14ac:dyDescent="0.25">
      <c r="A3" s="24">
        <f>164150+161079</f>
        <v>325229</v>
      </c>
      <c r="B3" s="7">
        <v>0</v>
      </c>
      <c r="C3" s="7"/>
      <c r="D3" s="8">
        <v>0</v>
      </c>
      <c r="E3" s="8"/>
      <c r="F3" s="8">
        <v>0</v>
      </c>
      <c r="G3" s="8"/>
      <c r="H3" s="8">
        <v>0</v>
      </c>
      <c r="I3" s="8"/>
      <c r="J3" s="8">
        <v>0</v>
      </c>
      <c r="K3" s="8"/>
      <c r="L3" s="8">
        <v>0</v>
      </c>
      <c r="M3" s="8"/>
      <c r="N3" s="9">
        <v>24319</v>
      </c>
      <c r="O3" s="9"/>
      <c r="P3" s="9">
        <v>36478</v>
      </c>
      <c r="Q3" s="9"/>
      <c r="R3" s="9">
        <v>48637</v>
      </c>
      <c r="S3" s="9"/>
      <c r="T3" s="9">
        <v>36478</v>
      </c>
      <c r="U3" s="9"/>
      <c r="V3" s="9">
        <v>12159</v>
      </c>
      <c r="W3" s="9"/>
      <c r="X3" s="9">
        <v>6080</v>
      </c>
      <c r="Y3" s="25">
        <f>X3+V3+T3+R3+N3+L3+J3+H3+F3+D3+B3+P3</f>
        <v>164151</v>
      </c>
    </row>
    <row r="4" spans="1:25" x14ac:dyDescent="0.25">
      <c r="A4" t="s">
        <v>261</v>
      </c>
      <c r="B4" s="26">
        <f>B2/$A2</f>
        <v>0</v>
      </c>
      <c r="C4" s="26"/>
      <c r="D4" s="26">
        <f>D2/$A2</f>
        <v>0</v>
      </c>
      <c r="E4" s="26"/>
      <c r="F4" s="26">
        <f>F2/$A2</f>
        <v>0</v>
      </c>
      <c r="G4" s="26"/>
      <c r="H4" s="26">
        <f>H2/$A2</f>
        <v>0</v>
      </c>
      <c r="I4" s="26"/>
      <c r="J4" s="26">
        <f>J2/$A2</f>
        <v>7.8634898167806874E-2</v>
      </c>
      <c r="K4" s="26"/>
      <c r="L4" s="26">
        <f>L2/$A2</f>
        <v>0.1179523472517103</v>
      </c>
      <c r="M4" s="26"/>
      <c r="N4" s="26">
        <f>N2/$A2</f>
        <v>0.1179523472517103</v>
      </c>
      <c r="O4" s="26"/>
      <c r="P4" s="26">
        <f>P2/$A2</f>
        <v>0.15467484469607612</v>
      </c>
      <c r="Q4" s="26"/>
      <c r="R4" s="26">
        <f>R2/$A2</f>
        <v>0.15726979633561375</v>
      </c>
      <c r="S4" s="26"/>
      <c r="T4" s="26">
        <f>T2/$A2</f>
        <v>0.15726979633561375</v>
      </c>
      <c r="U4" s="26"/>
      <c r="V4" s="26">
        <f>V2/$A2</f>
        <v>0.15726979633561375</v>
      </c>
      <c r="W4" s="26"/>
      <c r="X4" s="26">
        <f>X2/$A2</f>
        <v>5.8976173625855152E-2</v>
      </c>
    </row>
    <row r="5" spans="1:25" x14ac:dyDescent="0.25">
      <c r="A5" s="27" t="s">
        <v>262</v>
      </c>
      <c r="B5" s="27">
        <f>$A3*B4</f>
        <v>0</v>
      </c>
      <c r="C5" s="27"/>
      <c r="D5" s="27">
        <f>$A3*D4</f>
        <v>0</v>
      </c>
      <c r="E5" s="27"/>
      <c r="F5" s="27">
        <f>$A3*F4</f>
        <v>0</v>
      </c>
      <c r="G5" s="27"/>
      <c r="H5" s="27">
        <f>$A3*H4</f>
        <v>0</v>
      </c>
      <c r="I5" s="27"/>
      <c r="J5" s="27">
        <f>$A3*J4</f>
        <v>25574.349296217661</v>
      </c>
      <c r="K5" s="27"/>
      <c r="L5" s="27">
        <f>$A3*L4</f>
        <v>38361.523944326487</v>
      </c>
      <c r="M5" s="27"/>
      <c r="N5" s="27">
        <f>$A3*N4</f>
        <v>38361.523944326487</v>
      </c>
      <c r="O5" s="27"/>
      <c r="P5" s="27">
        <f>$A3*P4</f>
        <v>50304.745065660143</v>
      </c>
      <c r="Q5" s="27"/>
      <c r="R5" s="27">
        <f>$A3*R4</f>
        <v>51148.698592435321</v>
      </c>
      <c r="S5" s="27"/>
      <c r="T5" s="27">
        <f>$A3*T4</f>
        <v>51148.698592435321</v>
      </c>
      <c r="U5" s="27"/>
      <c r="V5" s="27">
        <f>$A3*V4</f>
        <v>51148.698592435321</v>
      </c>
      <c r="W5" s="27"/>
      <c r="X5" s="27">
        <f>$A3*X4</f>
        <v>19180.761972163244</v>
      </c>
      <c r="Y5" s="27">
        <f>SUM(J5:X5)</f>
        <v>325229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278"/>
  <sheetViews>
    <sheetView zoomScale="55" zoomScaleNormal="55" workbookViewId="0">
      <selection activeCell="AE19" sqref="AE19"/>
    </sheetView>
  </sheetViews>
  <sheetFormatPr baseColWidth="10" defaultColWidth="11.5703125" defaultRowHeight="15" x14ac:dyDescent="0.25"/>
  <cols>
    <col min="1" max="1" width="11.5703125" style="605" customWidth="1"/>
    <col min="2" max="2" width="18.42578125" style="605" customWidth="1"/>
    <col min="3" max="3" width="16.7109375" style="605" customWidth="1"/>
    <col min="4" max="4" width="11.5703125" style="605"/>
    <col min="5" max="12" width="26" style="605" customWidth="1"/>
    <col min="13" max="13" width="26.5703125" style="605" customWidth="1"/>
    <col min="14" max="15" width="25.5703125" style="605" customWidth="1"/>
    <col min="16" max="16" width="18.42578125" style="605" customWidth="1"/>
    <col min="17" max="19" width="11.42578125" style="605" customWidth="1"/>
    <col min="20" max="23" width="26.7109375" style="605" customWidth="1"/>
    <col min="24" max="27" width="24.42578125" style="605" customWidth="1"/>
    <col min="28" max="28" width="23.7109375" style="605" customWidth="1"/>
    <col min="29" max="31" width="11.42578125" style="605" customWidth="1"/>
    <col min="32" max="32" width="21.5703125" style="605" customWidth="1"/>
    <col min="33" max="51" width="11.5703125" style="605" customWidth="1"/>
    <col min="52" max="52" width="11.5703125" style="605"/>
    <col min="53" max="53" width="14.7109375" style="605" bestFit="1" customWidth="1"/>
    <col min="54" max="16384" width="11.5703125" style="605"/>
  </cols>
  <sheetData>
    <row r="1" spans="1:51" x14ac:dyDescent="0.25">
      <c r="A1" s="900"/>
      <c r="B1" s="901"/>
      <c r="C1" s="901"/>
      <c r="D1" s="901"/>
      <c r="E1" s="903" t="s">
        <v>0</v>
      </c>
      <c r="F1" s="844"/>
      <c r="G1" s="844"/>
      <c r="H1" s="844"/>
      <c r="I1" s="844"/>
      <c r="J1" s="844"/>
      <c r="K1" s="844"/>
      <c r="L1" s="844"/>
      <c r="M1" s="844"/>
      <c r="N1" s="844"/>
      <c r="O1" s="844"/>
      <c r="P1" s="844"/>
      <c r="Q1" s="844"/>
      <c r="R1" s="844"/>
      <c r="S1" s="844"/>
      <c r="T1" s="844"/>
      <c r="U1" s="844"/>
      <c r="V1" s="844"/>
      <c r="W1" s="844"/>
      <c r="X1" s="844"/>
      <c r="Y1" s="844"/>
      <c r="Z1" s="844"/>
      <c r="AA1" s="844"/>
      <c r="AB1" s="844"/>
      <c r="AC1" s="844"/>
      <c r="AD1" s="844"/>
      <c r="AE1" s="844"/>
      <c r="AF1" s="844"/>
      <c r="AG1" s="844"/>
      <c r="AH1" s="844"/>
      <c r="AI1" s="844"/>
      <c r="AJ1" s="844"/>
      <c r="AK1" s="844"/>
      <c r="AL1" s="844"/>
      <c r="AM1" s="844"/>
      <c r="AN1" s="844"/>
      <c r="AO1" s="844"/>
      <c r="AP1" s="844"/>
      <c r="AQ1" s="844"/>
      <c r="AR1" s="844"/>
      <c r="AS1" s="844"/>
      <c r="AT1" s="844"/>
      <c r="AU1" s="844"/>
      <c r="AV1" s="844"/>
      <c r="AW1" s="844"/>
      <c r="AX1" s="844"/>
      <c r="AY1" s="845"/>
    </row>
    <row r="2" spans="1:51" ht="15.75" thickBot="1" x14ac:dyDescent="0.3">
      <c r="A2" s="902"/>
      <c r="B2" s="868"/>
      <c r="C2" s="868"/>
      <c r="D2" s="868"/>
      <c r="E2" s="904" t="s">
        <v>617</v>
      </c>
      <c r="F2" s="866"/>
      <c r="G2" s="866"/>
      <c r="H2" s="866"/>
      <c r="I2" s="866"/>
      <c r="J2" s="866"/>
      <c r="K2" s="866"/>
      <c r="L2" s="866"/>
      <c r="M2" s="866"/>
      <c r="N2" s="866"/>
      <c r="O2" s="866"/>
      <c r="P2" s="866"/>
      <c r="Q2" s="866"/>
      <c r="R2" s="866"/>
      <c r="S2" s="866"/>
      <c r="T2" s="866"/>
      <c r="U2" s="866"/>
      <c r="V2" s="866"/>
      <c r="W2" s="866"/>
      <c r="X2" s="866"/>
      <c r="Y2" s="866"/>
      <c r="Z2" s="866"/>
      <c r="AA2" s="866"/>
      <c r="AB2" s="866"/>
      <c r="AC2" s="866"/>
      <c r="AD2" s="866"/>
      <c r="AE2" s="866"/>
      <c r="AF2" s="866"/>
      <c r="AG2" s="866"/>
      <c r="AH2" s="866"/>
      <c r="AI2" s="866"/>
      <c r="AJ2" s="866"/>
      <c r="AK2" s="866"/>
      <c r="AL2" s="866"/>
      <c r="AM2" s="866"/>
      <c r="AN2" s="866"/>
      <c r="AO2" s="866"/>
      <c r="AP2" s="866"/>
      <c r="AQ2" s="866"/>
      <c r="AR2" s="866"/>
      <c r="AS2" s="866"/>
      <c r="AT2" s="866"/>
      <c r="AU2" s="866"/>
      <c r="AV2" s="866"/>
      <c r="AW2" s="866"/>
      <c r="AX2" s="866"/>
      <c r="AY2" s="867"/>
    </row>
    <row r="3" spans="1:51" ht="16.5" thickBot="1" x14ac:dyDescent="0.3">
      <c r="A3" s="902"/>
      <c r="B3" s="868"/>
      <c r="C3" s="868"/>
      <c r="D3" s="868"/>
      <c r="E3" s="905" t="s">
        <v>114</v>
      </c>
      <c r="F3" s="901"/>
      <c r="G3" s="901"/>
      <c r="H3" s="901"/>
      <c r="I3" s="901"/>
      <c r="J3" s="901"/>
      <c r="K3" s="901"/>
      <c r="L3" s="901"/>
      <c r="M3" s="901"/>
      <c r="N3" s="901"/>
      <c r="O3" s="901"/>
      <c r="P3" s="901"/>
      <c r="Q3" s="901"/>
      <c r="R3" s="901"/>
      <c r="S3" s="901"/>
      <c r="T3" s="901"/>
      <c r="U3" s="901"/>
      <c r="V3" s="901"/>
      <c r="W3" s="901"/>
      <c r="X3" s="901"/>
      <c r="Y3" s="901"/>
      <c r="Z3" s="901"/>
      <c r="AA3" s="901"/>
      <c r="AB3" s="901"/>
      <c r="AC3" s="901"/>
      <c r="AD3" s="906"/>
      <c r="AE3" s="907" t="s">
        <v>3</v>
      </c>
      <c r="AF3" s="901"/>
      <c r="AG3" s="901"/>
      <c r="AH3" s="901"/>
      <c r="AI3" s="901"/>
      <c r="AJ3" s="901"/>
      <c r="AK3" s="901"/>
      <c r="AL3" s="901"/>
      <c r="AM3" s="901"/>
      <c r="AN3" s="901"/>
      <c r="AO3" s="901"/>
      <c r="AP3" s="901"/>
      <c r="AQ3" s="901"/>
      <c r="AR3" s="901"/>
      <c r="AS3" s="901"/>
      <c r="AT3" s="901"/>
      <c r="AU3" s="901"/>
      <c r="AV3" s="901"/>
      <c r="AW3" s="901"/>
      <c r="AX3" s="901"/>
      <c r="AY3" s="906"/>
    </row>
    <row r="4" spans="1:51" ht="18.75" thickBot="1" x14ac:dyDescent="0.3">
      <c r="A4" s="908" t="s">
        <v>4</v>
      </c>
      <c r="B4" s="885"/>
      <c r="C4" s="885"/>
      <c r="D4" s="886"/>
      <c r="E4" s="909" t="s">
        <v>5</v>
      </c>
      <c r="F4" s="885"/>
      <c r="G4" s="885"/>
      <c r="H4" s="885"/>
      <c r="I4" s="885"/>
      <c r="J4" s="885"/>
      <c r="K4" s="885"/>
      <c r="L4" s="885"/>
      <c r="M4" s="885"/>
      <c r="N4" s="885"/>
      <c r="O4" s="885"/>
      <c r="P4" s="885"/>
      <c r="Q4" s="885"/>
      <c r="R4" s="885"/>
      <c r="S4" s="885"/>
      <c r="T4" s="885"/>
      <c r="U4" s="885"/>
      <c r="V4" s="885"/>
      <c r="W4" s="885"/>
      <c r="X4" s="885"/>
      <c r="Y4" s="885"/>
      <c r="Z4" s="885"/>
      <c r="AA4" s="885"/>
      <c r="AB4" s="885"/>
      <c r="AC4" s="885"/>
      <c r="AD4" s="885"/>
      <c r="AE4" s="885"/>
      <c r="AF4" s="885"/>
      <c r="AG4" s="885"/>
      <c r="AH4" s="885"/>
      <c r="AI4" s="885"/>
      <c r="AJ4" s="885"/>
      <c r="AK4" s="885"/>
      <c r="AL4" s="885"/>
      <c r="AM4" s="885"/>
      <c r="AN4" s="885"/>
      <c r="AO4" s="885"/>
      <c r="AP4" s="885"/>
      <c r="AQ4" s="885"/>
      <c r="AR4" s="885"/>
      <c r="AS4" s="885"/>
      <c r="AT4" s="885"/>
      <c r="AU4" s="885"/>
      <c r="AV4" s="885"/>
      <c r="AW4" s="885"/>
      <c r="AX4" s="885"/>
      <c r="AY4" s="886"/>
    </row>
    <row r="5" spans="1:51" ht="15.75" thickBot="1" x14ac:dyDescent="0.3">
      <c r="A5" s="884" t="s">
        <v>6</v>
      </c>
      <c r="B5" s="885"/>
      <c r="C5" s="885"/>
      <c r="D5" s="886"/>
      <c r="E5" s="887" t="s">
        <v>7</v>
      </c>
      <c r="F5" s="885"/>
      <c r="G5" s="885"/>
      <c r="H5" s="885"/>
      <c r="I5" s="885"/>
      <c r="J5" s="885"/>
      <c r="K5" s="885"/>
      <c r="L5" s="885"/>
      <c r="M5" s="885"/>
      <c r="N5" s="885"/>
      <c r="O5" s="885"/>
      <c r="P5" s="885"/>
      <c r="Q5" s="885"/>
      <c r="R5" s="885"/>
      <c r="S5" s="885"/>
      <c r="T5" s="885"/>
      <c r="U5" s="885"/>
      <c r="V5" s="885"/>
      <c r="W5" s="885"/>
      <c r="X5" s="885"/>
      <c r="Y5" s="885"/>
      <c r="Z5" s="885"/>
      <c r="AA5" s="885"/>
      <c r="AB5" s="885"/>
      <c r="AC5" s="885"/>
      <c r="AD5" s="885"/>
      <c r="AE5" s="885"/>
      <c r="AF5" s="885"/>
      <c r="AG5" s="885"/>
      <c r="AH5" s="885"/>
      <c r="AI5" s="885"/>
      <c r="AJ5" s="885"/>
      <c r="AK5" s="885"/>
      <c r="AL5" s="885"/>
      <c r="AM5" s="885"/>
      <c r="AN5" s="885"/>
      <c r="AO5" s="885"/>
      <c r="AP5" s="885"/>
      <c r="AQ5" s="885"/>
      <c r="AR5" s="885"/>
      <c r="AS5" s="885"/>
      <c r="AT5" s="885"/>
      <c r="AU5" s="885"/>
      <c r="AV5" s="885"/>
      <c r="AW5" s="885"/>
      <c r="AX5" s="885"/>
      <c r="AY5" s="886"/>
    </row>
    <row r="6" spans="1:51" ht="15.75" thickBot="1" x14ac:dyDescent="0.3">
      <c r="A6" s="888" t="s">
        <v>163</v>
      </c>
      <c r="B6" s="889"/>
      <c r="C6" s="889"/>
      <c r="D6" s="890"/>
      <c r="E6" s="891" t="s">
        <v>699</v>
      </c>
      <c r="F6" s="885"/>
      <c r="G6" s="885"/>
      <c r="H6" s="885"/>
      <c r="I6" s="885"/>
      <c r="J6" s="885"/>
      <c r="K6" s="885"/>
      <c r="L6" s="885"/>
      <c r="M6" s="885"/>
      <c r="N6" s="885"/>
      <c r="O6" s="885"/>
      <c r="P6" s="885"/>
      <c r="Q6" s="885"/>
      <c r="R6" s="885"/>
      <c r="S6" s="885"/>
      <c r="T6" s="885"/>
      <c r="U6" s="885"/>
      <c r="V6" s="885"/>
      <c r="W6" s="885"/>
      <c r="X6" s="885"/>
      <c r="Y6" s="885"/>
      <c r="Z6" s="885"/>
      <c r="AA6" s="885"/>
      <c r="AB6" s="885"/>
      <c r="AC6" s="885"/>
      <c r="AD6" s="885"/>
      <c r="AE6" s="885"/>
      <c r="AF6" s="885"/>
      <c r="AG6" s="885"/>
      <c r="AH6" s="885"/>
      <c r="AI6" s="885"/>
      <c r="AJ6" s="885"/>
      <c r="AK6" s="885"/>
      <c r="AL6" s="885"/>
      <c r="AM6" s="885"/>
      <c r="AN6" s="885"/>
      <c r="AO6" s="885"/>
      <c r="AP6" s="885"/>
      <c r="AQ6" s="885"/>
      <c r="AR6" s="885"/>
      <c r="AS6" s="885"/>
      <c r="AT6" s="885"/>
      <c r="AU6" s="885"/>
      <c r="AV6" s="885"/>
      <c r="AW6" s="885"/>
      <c r="AX6" s="885"/>
      <c r="AY6" s="886"/>
    </row>
    <row r="7" spans="1:51" ht="18.75" thickBot="1" x14ac:dyDescent="0.3">
      <c r="A7" s="892"/>
      <c r="B7" s="885"/>
      <c r="C7" s="885"/>
      <c r="D7" s="885"/>
      <c r="E7" s="885"/>
      <c r="F7" s="885"/>
      <c r="G7" s="885"/>
      <c r="H7" s="885"/>
      <c r="I7" s="885"/>
      <c r="J7" s="885"/>
      <c r="K7" s="885"/>
      <c r="L7" s="885"/>
      <c r="M7" s="885"/>
      <c r="N7" s="885"/>
      <c r="O7" s="885"/>
      <c r="P7" s="885"/>
      <c r="Q7" s="885"/>
      <c r="R7" s="885"/>
      <c r="S7" s="885"/>
      <c r="T7" s="885"/>
      <c r="U7" s="885"/>
      <c r="V7" s="885"/>
      <c r="W7" s="885"/>
      <c r="X7" s="885"/>
      <c r="Y7" s="885"/>
      <c r="Z7" s="885"/>
      <c r="AA7" s="885"/>
      <c r="AB7" s="885"/>
      <c r="AC7" s="885"/>
      <c r="AD7" s="885"/>
      <c r="AE7" s="885"/>
      <c r="AF7" s="885"/>
      <c r="AG7" s="885"/>
      <c r="AH7" s="885"/>
      <c r="AI7" s="885"/>
      <c r="AJ7" s="885"/>
      <c r="AK7" s="885"/>
      <c r="AL7" s="885"/>
      <c r="AM7" s="885"/>
      <c r="AN7" s="885"/>
      <c r="AO7" s="885"/>
      <c r="AP7" s="885"/>
      <c r="AQ7" s="885"/>
      <c r="AR7" s="885"/>
      <c r="AS7" s="885"/>
      <c r="AT7" s="885"/>
      <c r="AU7" s="885"/>
      <c r="AV7" s="885"/>
      <c r="AW7" s="885"/>
      <c r="AX7" s="885"/>
      <c r="AY7" s="886"/>
    </row>
    <row r="8" spans="1:51" ht="30.75" customHeight="1" thickBot="1" x14ac:dyDescent="0.3">
      <c r="A8" s="893" t="s">
        <v>164</v>
      </c>
      <c r="B8" s="885"/>
      <c r="C8" s="885"/>
      <c r="D8" s="885"/>
      <c r="E8" s="885"/>
      <c r="F8" s="886"/>
      <c r="G8" s="894" t="s">
        <v>165</v>
      </c>
      <c r="H8" s="895"/>
      <c r="I8" s="895"/>
      <c r="J8" s="895"/>
      <c r="K8" s="895"/>
      <c r="L8" s="895"/>
      <c r="M8" s="895"/>
      <c r="N8" s="895"/>
      <c r="O8" s="895"/>
      <c r="P8" s="895"/>
      <c r="Q8" s="895"/>
      <c r="R8" s="895"/>
      <c r="S8" s="896"/>
      <c r="T8" s="897" t="s">
        <v>166</v>
      </c>
      <c r="U8" s="895"/>
      <c r="V8" s="895"/>
      <c r="W8" s="895"/>
      <c r="X8" s="895"/>
      <c r="Y8" s="895"/>
      <c r="Z8" s="895"/>
      <c r="AA8" s="895"/>
      <c r="AB8" s="895"/>
      <c r="AC8" s="895"/>
      <c r="AD8" s="895"/>
      <c r="AE8" s="895"/>
      <c r="AF8" s="896"/>
      <c r="AG8" s="898" t="s">
        <v>167</v>
      </c>
      <c r="AH8" s="869"/>
      <c r="AI8" s="869"/>
      <c r="AJ8" s="869"/>
      <c r="AK8" s="870"/>
      <c r="AL8" s="899" t="s">
        <v>168</v>
      </c>
      <c r="AM8" s="870"/>
      <c r="AN8" s="606"/>
      <c r="AO8" s="879" t="s">
        <v>169</v>
      </c>
      <c r="AP8" s="880"/>
      <c r="AQ8" s="880"/>
      <c r="AR8" s="880"/>
      <c r="AS8" s="880"/>
      <c r="AT8" s="880"/>
      <c r="AU8" s="880"/>
      <c r="AV8" s="880"/>
      <c r="AW8" s="880"/>
      <c r="AX8" s="881"/>
      <c r="AY8" s="882" t="s">
        <v>170</v>
      </c>
    </row>
    <row r="9" spans="1:51" ht="62.25" customHeight="1" x14ac:dyDescent="0.25">
      <c r="A9" s="607" t="s">
        <v>171</v>
      </c>
      <c r="B9" s="608" t="s">
        <v>172</v>
      </c>
      <c r="C9" s="608" t="s">
        <v>173</v>
      </c>
      <c r="D9" s="609" t="s">
        <v>174</v>
      </c>
      <c r="E9" s="610" t="s">
        <v>175</v>
      </c>
      <c r="F9" s="610" t="s">
        <v>176</v>
      </c>
      <c r="G9" s="611" t="s">
        <v>124</v>
      </c>
      <c r="H9" s="611" t="s">
        <v>125</v>
      </c>
      <c r="I9" s="611" t="s">
        <v>126</v>
      </c>
      <c r="J9" s="611" t="s">
        <v>127</v>
      </c>
      <c r="K9" s="611" t="s">
        <v>128</v>
      </c>
      <c r="L9" s="611" t="s">
        <v>129</v>
      </c>
      <c r="M9" s="611" t="s">
        <v>130</v>
      </c>
      <c r="N9" s="611" t="s">
        <v>131</v>
      </c>
      <c r="O9" s="612" t="s">
        <v>132</v>
      </c>
      <c r="P9" s="611" t="s">
        <v>133</v>
      </c>
      <c r="Q9" s="611" t="s">
        <v>134</v>
      </c>
      <c r="R9" s="611" t="s">
        <v>135</v>
      </c>
      <c r="S9" s="613" t="s">
        <v>177</v>
      </c>
      <c r="T9" s="611" t="s">
        <v>124</v>
      </c>
      <c r="U9" s="614" t="s">
        <v>125</v>
      </c>
      <c r="V9" s="614" t="s">
        <v>126</v>
      </c>
      <c r="W9" s="611" t="s">
        <v>127</v>
      </c>
      <c r="X9" s="611" t="s">
        <v>128</v>
      </c>
      <c r="Y9" s="611" t="s">
        <v>129</v>
      </c>
      <c r="Z9" s="611" t="s">
        <v>130</v>
      </c>
      <c r="AA9" s="611" t="s">
        <v>131</v>
      </c>
      <c r="AB9" s="611" t="s">
        <v>132</v>
      </c>
      <c r="AC9" s="611" t="s">
        <v>133</v>
      </c>
      <c r="AD9" s="615" t="s">
        <v>134</v>
      </c>
      <c r="AE9" s="616" t="s">
        <v>135</v>
      </c>
      <c r="AF9" s="616" t="s">
        <v>178</v>
      </c>
      <c r="AG9" s="617" t="s">
        <v>179</v>
      </c>
      <c r="AH9" s="616" t="s">
        <v>180</v>
      </c>
      <c r="AI9" s="616" t="s">
        <v>181</v>
      </c>
      <c r="AJ9" s="616" t="s">
        <v>182</v>
      </c>
      <c r="AK9" s="616" t="s">
        <v>183</v>
      </c>
      <c r="AL9" s="616" t="s">
        <v>184</v>
      </c>
      <c r="AM9" s="616" t="s">
        <v>185</v>
      </c>
      <c r="AN9" s="618" t="s">
        <v>186</v>
      </c>
      <c r="AO9" s="618" t="s">
        <v>187</v>
      </c>
      <c r="AP9" s="618" t="s">
        <v>188</v>
      </c>
      <c r="AQ9" s="618" t="s">
        <v>189</v>
      </c>
      <c r="AR9" s="618" t="s">
        <v>190</v>
      </c>
      <c r="AS9" s="618" t="s">
        <v>191</v>
      </c>
      <c r="AT9" s="618" t="s">
        <v>192</v>
      </c>
      <c r="AU9" s="618" t="s">
        <v>193</v>
      </c>
      <c r="AV9" s="618" t="s">
        <v>194</v>
      </c>
      <c r="AW9" s="618" t="s">
        <v>195</v>
      </c>
      <c r="AX9" s="619" t="s">
        <v>196</v>
      </c>
      <c r="AY9" s="883"/>
    </row>
    <row r="10" spans="1:51" ht="18" x14ac:dyDescent="0.25">
      <c r="A10" s="863">
        <v>202</v>
      </c>
      <c r="B10" s="860" t="s">
        <v>59</v>
      </c>
      <c r="C10" s="875" t="s">
        <v>197</v>
      </c>
      <c r="D10" s="620" t="s">
        <v>100</v>
      </c>
      <c r="E10" s="1002">
        <v>74</v>
      </c>
      <c r="F10" s="1002">
        <v>74</v>
      </c>
      <c r="G10" s="1002">
        <v>74</v>
      </c>
      <c r="H10" s="1002">
        <v>74</v>
      </c>
      <c r="I10" s="1002">
        <v>74</v>
      </c>
      <c r="J10" s="1002">
        <v>74</v>
      </c>
      <c r="K10" s="1002">
        <v>74</v>
      </c>
      <c r="L10" s="1002">
        <v>74</v>
      </c>
      <c r="M10" s="1002">
        <v>74</v>
      </c>
      <c r="N10" s="1002">
        <v>74</v>
      </c>
      <c r="O10" s="1002">
        <v>74</v>
      </c>
      <c r="P10" s="1003"/>
      <c r="Q10" s="1003"/>
      <c r="R10" s="1003"/>
      <c r="S10" s="1003"/>
      <c r="T10" s="1002">
        <v>0</v>
      </c>
      <c r="U10" s="1004">
        <v>62.810000000000009</v>
      </c>
      <c r="V10" s="1005">
        <v>63.21</v>
      </c>
      <c r="W10" s="1004">
        <v>63.79</v>
      </c>
      <c r="X10" s="1004">
        <v>64.790000000000006</v>
      </c>
      <c r="Y10" s="1004">
        <v>65.790000000000006</v>
      </c>
      <c r="Z10" s="1006">
        <v>66.790000000000006</v>
      </c>
      <c r="AA10" s="1006">
        <v>67.709999999999994</v>
      </c>
      <c r="AB10" s="1005">
        <v>68.63000000000001</v>
      </c>
      <c r="AC10" s="1004"/>
      <c r="AD10" s="1007"/>
      <c r="AE10" s="1008"/>
      <c r="AF10" s="1009" t="s">
        <v>647</v>
      </c>
      <c r="AG10" s="1010" t="s">
        <v>546</v>
      </c>
      <c r="AH10" s="1010" t="s">
        <v>198</v>
      </c>
      <c r="AI10" s="1010" t="s">
        <v>199</v>
      </c>
      <c r="AJ10" s="1009"/>
      <c r="AK10" s="1010" t="s">
        <v>200</v>
      </c>
      <c r="AL10" s="1011" t="s">
        <v>201</v>
      </c>
      <c r="AM10" s="1012" t="s">
        <v>202</v>
      </c>
      <c r="AN10" s="1013">
        <v>1644993</v>
      </c>
      <c r="AO10" s="876">
        <v>783068</v>
      </c>
      <c r="AP10" s="876">
        <v>861925</v>
      </c>
      <c r="AQ10" s="1011" t="s">
        <v>203</v>
      </c>
      <c r="AR10" s="1011" t="s">
        <v>203</v>
      </c>
      <c r="AS10" s="1011" t="s">
        <v>203</v>
      </c>
      <c r="AT10" s="1011" t="s">
        <v>203</v>
      </c>
      <c r="AU10" s="1011" t="s">
        <v>203</v>
      </c>
      <c r="AV10" s="1011" t="s">
        <v>203</v>
      </c>
      <c r="AW10" s="1011" t="s">
        <v>203</v>
      </c>
      <c r="AX10" s="1014" t="s">
        <v>204</v>
      </c>
      <c r="AY10" s="1015"/>
    </row>
    <row r="11" spans="1:51" ht="18" x14ac:dyDescent="0.25">
      <c r="A11" s="861"/>
      <c r="B11" s="861"/>
      <c r="C11" s="861"/>
      <c r="D11" s="621" t="s">
        <v>102</v>
      </c>
      <c r="E11" s="1003">
        <v>7311395000</v>
      </c>
      <c r="F11" s="1003">
        <v>7311395000</v>
      </c>
      <c r="G11" s="1003">
        <v>7317016000</v>
      </c>
      <c r="H11" s="1003">
        <v>7323016000</v>
      </c>
      <c r="I11" s="1003">
        <v>7323016000</v>
      </c>
      <c r="J11" s="1003">
        <v>7323016000</v>
      </c>
      <c r="K11" s="1003">
        <v>7323016000</v>
      </c>
      <c r="L11" s="1003">
        <v>7323016000</v>
      </c>
      <c r="M11" s="1003">
        <v>7323016000</v>
      </c>
      <c r="N11" s="1003">
        <v>7323016000</v>
      </c>
      <c r="O11" s="1003">
        <v>7252622443</v>
      </c>
      <c r="P11" s="1003"/>
      <c r="Q11" s="1003"/>
      <c r="R11" s="1003"/>
      <c r="S11" s="1003"/>
      <c r="T11" s="1003">
        <v>6599815016</v>
      </c>
      <c r="U11" s="1003">
        <v>6998930016</v>
      </c>
      <c r="V11" s="1003">
        <v>7107970016</v>
      </c>
      <c r="W11" s="1003">
        <v>7129394016</v>
      </c>
      <c r="X11" s="1004">
        <v>7129394016</v>
      </c>
      <c r="Y11" s="1016">
        <v>7129394016</v>
      </c>
      <c r="Z11" s="1003">
        <v>7150330016</v>
      </c>
      <c r="AA11" s="1003">
        <v>7150330016</v>
      </c>
      <c r="AB11" s="1017">
        <f>Z11</f>
        <v>7150330016</v>
      </c>
      <c r="AC11" s="1003"/>
      <c r="AD11" s="1003"/>
      <c r="AE11" s="1018"/>
      <c r="AF11" s="1019"/>
      <c r="AG11" s="1020"/>
      <c r="AH11" s="1020"/>
      <c r="AI11" s="1020"/>
      <c r="AJ11" s="1019"/>
      <c r="AK11" s="1020"/>
      <c r="AL11" s="1020"/>
      <c r="AM11" s="1020"/>
      <c r="AN11" s="1020"/>
      <c r="AO11" s="877"/>
      <c r="AP11" s="877"/>
      <c r="AQ11" s="1020"/>
      <c r="AR11" s="1020"/>
      <c r="AS11" s="1020"/>
      <c r="AT11" s="1020"/>
      <c r="AU11" s="1020"/>
      <c r="AV11" s="1020"/>
      <c r="AW11" s="1020"/>
      <c r="AX11" s="1020"/>
      <c r="AY11" s="1020"/>
    </row>
    <row r="12" spans="1:51" ht="27" x14ac:dyDescent="0.25">
      <c r="A12" s="861"/>
      <c r="B12" s="861"/>
      <c r="C12" s="861"/>
      <c r="D12" s="620" t="s">
        <v>104</v>
      </c>
      <c r="E12" s="1002">
        <v>0</v>
      </c>
      <c r="F12" s="1002">
        <v>0</v>
      </c>
      <c r="G12" s="1002">
        <v>0</v>
      </c>
      <c r="H12" s="1002">
        <v>0</v>
      </c>
      <c r="I12" s="1002">
        <v>0</v>
      </c>
      <c r="J12" s="1002">
        <v>0</v>
      </c>
      <c r="K12" s="1002">
        <v>0</v>
      </c>
      <c r="L12" s="1002">
        <v>0</v>
      </c>
      <c r="M12" s="1002">
        <v>0</v>
      </c>
      <c r="N12" s="1002">
        <v>0</v>
      </c>
      <c r="O12" s="1002">
        <v>0</v>
      </c>
      <c r="P12" s="1003"/>
      <c r="Q12" s="1003"/>
      <c r="R12" s="1003"/>
      <c r="S12" s="1003"/>
      <c r="T12" s="1002">
        <v>0</v>
      </c>
      <c r="U12" s="1002">
        <v>0</v>
      </c>
      <c r="V12" s="1002">
        <v>0</v>
      </c>
      <c r="W12" s="1002">
        <v>0</v>
      </c>
      <c r="X12" s="1004">
        <v>0</v>
      </c>
      <c r="Y12" s="1004">
        <v>0</v>
      </c>
      <c r="Z12" s="1004">
        <v>0</v>
      </c>
      <c r="AA12" s="1004">
        <v>0</v>
      </c>
      <c r="AB12" s="1004">
        <v>0</v>
      </c>
      <c r="AC12" s="1004"/>
      <c r="AD12" s="1004"/>
      <c r="AE12" s="1021"/>
      <c r="AF12" s="1019"/>
      <c r="AG12" s="1020"/>
      <c r="AH12" s="1020"/>
      <c r="AI12" s="1020"/>
      <c r="AJ12" s="1019"/>
      <c r="AK12" s="1020"/>
      <c r="AL12" s="1020"/>
      <c r="AM12" s="1020"/>
      <c r="AN12" s="1020"/>
      <c r="AO12" s="877"/>
      <c r="AP12" s="877"/>
      <c r="AQ12" s="1020"/>
      <c r="AR12" s="1020"/>
      <c r="AS12" s="1020"/>
      <c r="AT12" s="1020"/>
      <c r="AU12" s="1020"/>
      <c r="AV12" s="1020"/>
      <c r="AW12" s="1020"/>
      <c r="AX12" s="1020"/>
      <c r="AY12" s="1020"/>
    </row>
    <row r="13" spans="1:51" ht="27" x14ac:dyDescent="0.25">
      <c r="A13" s="861"/>
      <c r="B13" s="861"/>
      <c r="C13" s="861"/>
      <c r="D13" s="621" t="s">
        <v>105</v>
      </c>
      <c r="E13" s="1003">
        <v>3139524028</v>
      </c>
      <c r="F13" s="1003">
        <v>3139524028</v>
      </c>
      <c r="G13" s="1003">
        <v>3139524028</v>
      </c>
      <c r="H13" s="1003">
        <v>3139524028</v>
      </c>
      <c r="I13" s="1003">
        <v>3139524028</v>
      </c>
      <c r="J13" s="1003">
        <v>3139524028</v>
      </c>
      <c r="K13" s="1003">
        <v>3139524028</v>
      </c>
      <c r="L13" s="1003">
        <v>3139524028</v>
      </c>
      <c r="M13" s="1003">
        <v>3139524028</v>
      </c>
      <c r="N13" s="1003">
        <v>3139524028</v>
      </c>
      <c r="O13" s="1003">
        <v>3139524028</v>
      </c>
      <c r="P13" s="1003"/>
      <c r="Q13" s="1003"/>
      <c r="R13" s="1003"/>
      <c r="S13" s="1003"/>
      <c r="T13" s="1003">
        <v>46872823</v>
      </c>
      <c r="U13" s="1003">
        <v>304643058</v>
      </c>
      <c r="V13" s="1022">
        <v>387065978</v>
      </c>
      <c r="W13" s="1003">
        <v>687120995</v>
      </c>
      <c r="X13" s="1003">
        <v>932134646</v>
      </c>
      <c r="Y13" s="1003">
        <v>1301106402</v>
      </c>
      <c r="Z13" s="1003">
        <v>1920696087.7686262</v>
      </c>
      <c r="AA13" s="1022">
        <v>2375889438</v>
      </c>
      <c r="AB13" s="1022">
        <v>2524104970</v>
      </c>
      <c r="AC13" s="1003"/>
      <c r="AD13" s="1003"/>
      <c r="AE13" s="1018"/>
      <c r="AF13" s="1019"/>
      <c r="AG13" s="1020"/>
      <c r="AH13" s="1020"/>
      <c r="AI13" s="1020"/>
      <c r="AJ13" s="1019"/>
      <c r="AK13" s="1020"/>
      <c r="AL13" s="1020"/>
      <c r="AM13" s="1020"/>
      <c r="AN13" s="1020"/>
      <c r="AO13" s="877"/>
      <c r="AP13" s="877"/>
      <c r="AQ13" s="1020"/>
      <c r="AR13" s="1020"/>
      <c r="AS13" s="1020"/>
      <c r="AT13" s="1020"/>
      <c r="AU13" s="1020"/>
      <c r="AV13" s="1020"/>
      <c r="AW13" s="1020"/>
      <c r="AX13" s="1020"/>
      <c r="AY13" s="1020"/>
    </row>
    <row r="14" spans="1:51" ht="27" x14ac:dyDescent="0.25">
      <c r="A14" s="861"/>
      <c r="B14" s="861"/>
      <c r="C14" s="861"/>
      <c r="D14" s="622" t="s">
        <v>106</v>
      </c>
      <c r="E14" s="1002">
        <v>74</v>
      </c>
      <c r="F14" s="1002">
        <v>74</v>
      </c>
      <c r="G14" s="1002">
        <v>74</v>
      </c>
      <c r="H14" s="1002">
        <v>74</v>
      </c>
      <c r="I14" s="1002">
        <v>74</v>
      </c>
      <c r="J14" s="1002">
        <v>74</v>
      </c>
      <c r="K14" s="1002">
        <v>74</v>
      </c>
      <c r="L14" s="1002">
        <v>74</v>
      </c>
      <c r="M14" s="1002">
        <v>74</v>
      </c>
      <c r="N14" s="1002">
        <v>74</v>
      </c>
      <c r="O14" s="1002">
        <v>74</v>
      </c>
      <c r="P14" s="1003"/>
      <c r="Q14" s="1003"/>
      <c r="R14" s="1003"/>
      <c r="S14" s="1003"/>
      <c r="T14" s="1002">
        <v>0</v>
      </c>
      <c r="U14" s="1023">
        <v>62.810000000000009</v>
      </c>
      <c r="V14" s="1023">
        <v>63.21</v>
      </c>
      <c r="W14" s="1023">
        <v>63.79</v>
      </c>
      <c r="X14" s="1024">
        <v>64.790000000000006</v>
      </c>
      <c r="Y14" s="1023">
        <v>65.790000000000006</v>
      </c>
      <c r="Z14" s="1023">
        <f t="shared" ref="Z14:AB15" si="0">Z10+Z12</f>
        <v>66.790000000000006</v>
      </c>
      <c r="AA14" s="1023">
        <f t="shared" si="0"/>
        <v>67.709999999999994</v>
      </c>
      <c r="AB14" s="1023">
        <f t="shared" si="0"/>
        <v>68.63000000000001</v>
      </c>
      <c r="AC14" s="1025"/>
      <c r="AD14" s="1025"/>
      <c r="AE14" s="1026"/>
      <c r="AF14" s="1019"/>
      <c r="AG14" s="1020"/>
      <c r="AH14" s="1020"/>
      <c r="AI14" s="1020"/>
      <c r="AJ14" s="1019"/>
      <c r="AK14" s="1020"/>
      <c r="AL14" s="1020"/>
      <c r="AM14" s="1020"/>
      <c r="AN14" s="1020"/>
      <c r="AO14" s="877"/>
      <c r="AP14" s="877"/>
      <c r="AQ14" s="1020"/>
      <c r="AR14" s="1020"/>
      <c r="AS14" s="1020"/>
      <c r="AT14" s="1020"/>
      <c r="AU14" s="1020"/>
      <c r="AV14" s="1020"/>
      <c r="AW14" s="1020"/>
      <c r="AX14" s="1020"/>
      <c r="AY14" s="1020"/>
    </row>
    <row r="15" spans="1:51" ht="36" x14ac:dyDescent="0.25">
      <c r="A15" s="862"/>
      <c r="B15" s="862"/>
      <c r="C15" s="862"/>
      <c r="D15" s="623" t="s">
        <v>107</v>
      </c>
      <c r="E15" s="1027">
        <v>10450919028</v>
      </c>
      <c r="F15" s="1027">
        <v>10450919028</v>
      </c>
      <c r="G15" s="1027">
        <v>10456540028</v>
      </c>
      <c r="H15" s="1027">
        <v>10462540028</v>
      </c>
      <c r="I15" s="1027">
        <v>10462540028</v>
      </c>
      <c r="J15" s="1027">
        <v>10462540028</v>
      </c>
      <c r="K15" s="1027">
        <v>10462540028</v>
      </c>
      <c r="L15" s="1027">
        <v>10462540028</v>
      </c>
      <c r="M15" s="1027">
        <f>M11+M13</f>
        <v>10462540028</v>
      </c>
      <c r="N15" s="1027">
        <f>N11+N13</f>
        <v>10462540028</v>
      </c>
      <c r="O15" s="1027">
        <f>O11+O13</f>
        <v>10392146471</v>
      </c>
      <c r="P15" s="1003"/>
      <c r="Q15" s="1003"/>
      <c r="R15" s="1003"/>
      <c r="S15" s="1003"/>
      <c r="T15" s="1027">
        <v>6646687839</v>
      </c>
      <c r="U15" s="1027">
        <v>7303573074</v>
      </c>
      <c r="V15" s="1027">
        <v>7495035994</v>
      </c>
      <c r="W15" s="1027">
        <v>7816515011</v>
      </c>
      <c r="X15" s="1027">
        <v>8061528662</v>
      </c>
      <c r="Y15" s="1027">
        <v>8430500418</v>
      </c>
      <c r="Z15" s="1027">
        <f t="shared" si="0"/>
        <v>9071026103.7686272</v>
      </c>
      <c r="AA15" s="1027">
        <f t="shared" si="0"/>
        <v>9526219454</v>
      </c>
      <c r="AB15" s="1027">
        <f t="shared" si="0"/>
        <v>9674434986</v>
      </c>
      <c r="AC15" s="1028"/>
      <c r="AD15" s="1028"/>
      <c r="AE15" s="1029"/>
      <c r="AF15" s="1030"/>
      <c r="AG15" s="1031"/>
      <c r="AH15" s="1031"/>
      <c r="AI15" s="1031"/>
      <c r="AJ15" s="1030"/>
      <c r="AK15" s="1031"/>
      <c r="AL15" s="1031"/>
      <c r="AM15" s="1031"/>
      <c r="AN15" s="1031"/>
      <c r="AO15" s="878"/>
      <c r="AP15" s="878"/>
      <c r="AQ15" s="1031"/>
      <c r="AR15" s="1031"/>
      <c r="AS15" s="1031"/>
      <c r="AT15" s="1031"/>
      <c r="AU15" s="1031"/>
      <c r="AV15" s="1031"/>
      <c r="AW15" s="1031"/>
      <c r="AX15" s="1031"/>
      <c r="AY15" s="1031"/>
    </row>
    <row r="16" spans="1:51" ht="18" customHeight="1" x14ac:dyDescent="0.25">
      <c r="A16" s="863">
        <v>216</v>
      </c>
      <c r="B16" s="860" t="s">
        <v>108</v>
      </c>
      <c r="C16" s="875" t="s">
        <v>643</v>
      </c>
      <c r="D16" s="620" t="s">
        <v>100</v>
      </c>
      <c r="E16" s="1002">
        <v>135</v>
      </c>
      <c r="F16" s="1002">
        <v>135</v>
      </c>
      <c r="G16" s="1002">
        <v>135</v>
      </c>
      <c r="H16" s="1002">
        <v>135</v>
      </c>
      <c r="I16" s="1002">
        <v>135</v>
      </c>
      <c r="J16" s="1002">
        <v>135</v>
      </c>
      <c r="K16" s="1002">
        <v>135</v>
      </c>
      <c r="L16" s="1002">
        <v>135</v>
      </c>
      <c r="M16" s="1002">
        <v>135</v>
      </c>
      <c r="N16" s="1002">
        <v>135</v>
      </c>
      <c r="O16" s="1002">
        <v>135</v>
      </c>
      <c r="P16" s="1003"/>
      <c r="Q16" s="1003"/>
      <c r="R16" s="1003"/>
      <c r="S16" s="1003"/>
      <c r="T16" s="1002">
        <v>0</v>
      </c>
      <c r="U16" s="1004">
        <v>2.9000000000000001E-2</v>
      </c>
      <c r="V16" s="1004">
        <v>3.4000000000000002E-2</v>
      </c>
      <c r="W16" s="1004">
        <v>4.51</v>
      </c>
      <c r="X16" s="1004">
        <v>4.57</v>
      </c>
      <c r="Y16" s="1004">
        <v>5.3</v>
      </c>
      <c r="Z16" s="1004">
        <v>5.3</v>
      </c>
      <c r="AA16" s="1032">
        <v>6.27</v>
      </c>
      <c r="AB16" s="1032">
        <v>6.6539999999999999</v>
      </c>
      <c r="AC16" s="1004"/>
      <c r="AD16" s="1007"/>
      <c r="AE16" s="1008"/>
      <c r="AF16" s="1033" t="s">
        <v>649</v>
      </c>
      <c r="AG16" s="1010" t="s">
        <v>205</v>
      </c>
      <c r="AH16" s="1009" t="s">
        <v>206</v>
      </c>
      <c r="AI16" s="1010" t="s">
        <v>207</v>
      </c>
      <c r="AJ16" s="1034" t="s">
        <v>651</v>
      </c>
      <c r="AK16" s="1010" t="s">
        <v>621</v>
      </c>
      <c r="AL16" s="1011" t="s">
        <v>622</v>
      </c>
      <c r="AM16" s="1012" t="s">
        <v>208</v>
      </c>
      <c r="AN16" s="1035">
        <v>6815417</v>
      </c>
      <c r="AO16" s="871">
        <v>3249513</v>
      </c>
      <c r="AP16" s="874">
        <v>3565904</v>
      </c>
      <c r="AQ16" s="1011" t="s">
        <v>209</v>
      </c>
      <c r="AR16" s="1011" t="s">
        <v>209</v>
      </c>
      <c r="AS16" s="1011" t="s">
        <v>203</v>
      </c>
      <c r="AT16" s="1011" t="s">
        <v>209</v>
      </c>
      <c r="AU16" s="1011" t="s">
        <v>203</v>
      </c>
      <c r="AV16" s="1011" t="s">
        <v>209</v>
      </c>
      <c r="AW16" s="1011" t="s">
        <v>203</v>
      </c>
      <c r="AX16" s="1010" t="s">
        <v>210</v>
      </c>
      <c r="AY16" s="1015"/>
    </row>
    <row r="17" spans="1:51" ht="18" x14ac:dyDescent="0.25">
      <c r="A17" s="861"/>
      <c r="B17" s="861"/>
      <c r="C17" s="861"/>
      <c r="D17" s="621" t="s">
        <v>102</v>
      </c>
      <c r="E17" s="1003">
        <v>15639526000</v>
      </c>
      <c r="F17" s="1003">
        <v>15639526000</v>
      </c>
      <c r="G17" s="1003">
        <v>15646731000</v>
      </c>
      <c r="H17" s="1003">
        <v>16721499297</v>
      </c>
      <c r="I17" s="1003">
        <v>16721499297</v>
      </c>
      <c r="J17" s="1003">
        <v>16721499297</v>
      </c>
      <c r="K17" s="1003">
        <v>16721499297</v>
      </c>
      <c r="L17" s="1003">
        <v>16721499297</v>
      </c>
      <c r="M17" s="1003">
        <v>16721499297</v>
      </c>
      <c r="N17" s="1003">
        <v>16721499297</v>
      </c>
      <c r="O17" s="1003">
        <v>16701499297</v>
      </c>
      <c r="P17" s="1003"/>
      <c r="Q17" s="1003"/>
      <c r="R17" s="1003"/>
      <c r="S17" s="1003"/>
      <c r="T17" s="1003">
        <v>11982335825</v>
      </c>
      <c r="U17" s="1003">
        <v>12801858825</v>
      </c>
      <c r="V17" s="1003">
        <v>12956832825</v>
      </c>
      <c r="W17" s="1003">
        <v>12956832825</v>
      </c>
      <c r="X17" s="1003">
        <v>12961754821</v>
      </c>
      <c r="Y17" s="1003">
        <v>12961754821</v>
      </c>
      <c r="Z17" s="1003">
        <v>12961754821</v>
      </c>
      <c r="AA17" s="1003">
        <v>12961754821</v>
      </c>
      <c r="AB17" s="1022">
        <v>12929391321</v>
      </c>
      <c r="AC17" s="1003"/>
      <c r="AD17" s="1003"/>
      <c r="AE17" s="1018"/>
      <c r="AF17" s="1036"/>
      <c r="AG17" s="1020"/>
      <c r="AH17" s="1020"/>
      <c r="AI17" s="1020"/>
      <c r="AJ17" s="1037"/>
      <c r="AK17" s="1020"/>
      <c r="AL17" s="1020"/>
      <c r="AM17" s="1020"/>
      <c r="AN17" s="1020"/>
      <c r="AO17" s="872"/>
      <c r="AP17" s="872"/>
      <c r="AQ17" s="1020"/>
      <c r="AR17" s="1020"/>
      <c r="AS17" s="1020"/>
      <c r="AT17" s="1020"/>
      <c r="AU17" s="1020"/>
      <c r="AV17" s="1020"/>
      <c r="AW17" s="1020"/>
      <c r="AX17" s="1020"/>
      <c r="AY17" s="1020"/>
    </row>
    <row r="18" spans="1:51" ht="27" x14ac:dyDescent="0.25">
      <c r="A18" s="861"/>
      <c r="B18" s="861"/>
      <c r="C18" s="861"/>
      <c r="D18" s="620" t="s">
        <v>104</v>
      </c>
      <c r="E18" s="1002">
        <v>119.34</v>
      </c>
      <c r="F18" s="1002">
        <v>119.34</v>
      </c>
      <c r="G18" s="1002">
        <v>119.34</v>
      </c>
      <c r="H18" s="1002">
        <v>119.34</v>
      </c>
      <c r="I18" s="1002">
        <v>119.34</v>
      </c>
      <c r="J18" s="1002">
        <v>119.34</v>
      </c>
      <c r="K18" s="1002">
        <v>119.34</v>
      </c>
      <c r="L18" s="1002">
        <v>119.34</v>
      </c>
      <c r="M18" s="1002">
        <v>119.34</v>
      </c>
      <c r="N18" s="1002">
        <v>119.34</v>
      </c>
      <c r="O18" s="1002">
        <v>119.34</v>
      </c>
      <c r="P18" s="1003"/>
      <c r="Q18" s="1003"/>
      <c r="R18" s="1003"/>
      <c r="S18" s="1003"/>
      <c r="T18" s="1002">
        <v>0</v>
      </c>
      <c r="U18" s="1004">
        <v>0</v>
      </c>
      <c r="V18" s="1004">
        <v>0</v>
      </c>
      <c r="W18" s="1004">
        <v>0</v>
      </c>
      <c r="X18" s="1003">
        <v>0</v>
      </c>
      <c r="Y18" s="1004">
        <v>0</v>
      </c>
      <c r="Z18" s="1004">
        <v>0</v>
      </c>
      <c r="AA18" s="1038">
        <v>0</v>
      </c>
      <c r="AB18" s="1038">
        <v>0</v>
      </c>
      <c r="AC18" s="1038"/>
      <c r="AD18" s="1038"/>
      <c r="AE18" s="1021"/>
      <c r="AF18" s="1036"/>
      <c r="AG18" s="1020"/>
      <c r="AH18" s="1020"/>
      <c r="AI18" s="1020"/>
      <c r="AJ18" s="1037"/>
      <c r="AK18" s="1020"/>
      <c r="AL18" s="1020"/>
      <c r="AM18" s="1020"/>
      <c r="AN18" s="1020"/>
      <c r="AO18" s="872"/>
      <c r="AP18" s="872"/>
      <c r="AQ18" s="1020"/>
      <c r="AR18" s="1020"/>
      <c r="AS18" s="1020"/>
      <c r="AT18" s="1020"/>
      <c r="AU18" s="1020"/>
      <c r="AV18" s="1020"/>
      <c r="AW18" s="1020"/>
      <c r="AX18" s="1020"/>
      <c r="AY18" s="1020"/>
    </row>
    <row r="19" spans="1:51" ht="27" x14ac:dyDescent="0.25">
      <c r="A19" s="861"/>
      <c r="B19" s="861"/>
      <c r="C19" s="861"/>
      <c r="D19" s="621" t="s">
        <v>105</v>
      </c>
      <c r="E19" s="1003">
        <v>6826933758</v>
      </c>
      <c r="F19" s="1003">
        <v>6826933758</v>
      </c>
      <c r="G19" s="1003">
        <v>6826933758</v>
      </c>
      <c r="H19" s="1003">
        <v>6826933758</v>
      </c>
      <c r="I19" s="1003">
        <v>6826933758</v>
      </c>
      <c r="J19" s="1003">
        <v>6826933758</v>
      </c>
      <c r="K19" s="1003">
        <v>6826933758</v>
      </c>
      <c r="L19" s="1003">
        <v>6826933758</v>
      </c>
      <c r="M19" s="1003">
        <v>6826933758</v>
      </c>
      <c r="N19" s="1003">
        <v>6826933758</v>
      </c>
      <c r="O19" s="1003">
        <v>6826933758</v>
      </c>
      <c r="P19" s="1003"/>
      <c r="Q19" s="1003"/>
      <c r="R19" s="1003"/>
      <c r="S19" s="1003"/>
      <c r="T19" s="1003">
        <v>21349000</v>
      </c>
      <c r="U19" s="1003">
        <v>1747879234</v>
      </c>
      <c r="V19" s="1003">
        <v>1761218128</v>
      </c>
      <c r="W19" s="1003">
        <v>1777962180</v>
      </c>
      <c r="X19" s="1003">
        <v>2159724682</v>
      </c>
      <c r="Y19" s="1003">
        <v>2389068193</v>
      </c>
      <c r="Z19" s="1003">
        <v>2617845917.8980403</v>
      </c>
      <c r="AA19" s="1022">
        <v>3317944528</v>
      </c>
      <c r="AB19" s="1022">
        <v>4135844920</v>
      </c>
      <c r="AC19" s="1003"/>
      <c r="AD19" s="1003"/>
      <c r="AE19" s="1018"/>
      <c r="AF19" s="1036"/>
      <c r="AG19" s="1020"/>
      <c r="AH19" s="1020"/>
      <c r="AI19" s="1020"/>
      <c r="AJ19" s="1037"/>
      <c r="AK19" s="1020"/>
      <c r="AL19" s="1020"/>
      <c r="AM19" s="1020"/>
      <c r="AN19" s="1020"/>
      <c r="AO19" s="872"/>
      <c r="AP19" s="872"/>
      <c r="AQ19" s="1020"/>
      <c r="AR19" s="1020"/>
      <c r="AS19" s="1020"/>
      <c r="AT19" s="1020"/>
      <c r="AU19" s="1020"/>
      <c r="AV19" s="1020"/>
      <c r="AW19" s="1020"/>
      <c r="AX19" s="1020"/>
      <c r="AY19" s="1020"/>
    </row>
    <row r="20" spans="1:51" ht="27" x14ac:dyDescent="0.25">
      <c r="A20" s="861"/>
      <c r="B20" s="861"/>
      <c r="C20" s="861"/>
      <c r="D20" s="620" t="s">
        <v>106</v>
      </c>
      <c r="E20" s="1002">
        <v>254.34</v>
      </c>
      <c r="F20" s="1002">
        <v>254.34</v>
      </c>
      <c r="G20" s="1002">
        <v>254.34</v>
      </c>
      <c r="H20" s="1002">
        <v>254.34</v>
      </c>
      <c r="I20" s="1002">
        <v>254.34</v>
      </c>
      <c r="J20" s="1002">
        <v>254.34</v>
      </c>
      <c r="K20" s="1002">
        <v>254.34</v>
      </c>
      <c r="L20" s="1002">
        <v>254.34</v>
      </c>
      <c r="M20" s="1002">
        <v>254.34</v>
      </c>
      <c r="N20" s="1002">
        <v>254.34</v>
      </c>
      <c r="O20" s="1002">
        <v>254.34</v>
      </c>
      <c r="P20" s="1003"/>
      <c r="Q20" s="1003"/>
      <c r="R20" s="1003"/>
      <c r="S20" s="1003"/>
      <c r="T20" s="1002">
        <v>0</v>
      </c>
      <c r="U20" s="1039">
        <v>2.9000000000000001E-2</v>
      </c>
      <c r="V20" s="1039">
        <v>3.4000000000000002E-2</v>
      </c>
      <c r="W20" s="1039">
        <v>4.51</v>
      </c>
      <c r="X20" s="1039">
        <v>4.57</v>
      </c>
      <c r="Y20" s="1039">
        <v>5.3</v>
      </c>
      <c r="Z20" s="1023">
        <f t="shared" ref="Z20:AB21" si="1">Z16+Z18</f>
        <v>5.3</v>
      </c>
      <c r="AA20" s="1023">
        <f t="shared" si="1"/>
        <v>6.27</v>
      </c>
      <c r="AB20" s="1023">
        <f t="shared" si="1"/>
        <v>6.6539999999999999</v>
      </c>
      <c r="AC20" s="1025"/>
      <c r="AD20" s="1025"/>
      <c r="AE20" s="1026"/>
      <c r="AF20" s="1036"/>
      <c r="AG20" s="1020"/>
      <c r="AH20" s="1020"/>
      <c r="AI20" s="1020"/>
      <c r="AJ20" s="1037"/>
      <c r="AK20" s="1020"/>
      <c r="AL20" s="1020"/>
      <c r="AM20" s="1020"/>
      <c r="AN20" s="1020"/>
      <c r="AO20" s="872"/>
      <c r="AP20" s="872"/>
      <c r="AQ20" s="1020"/>
      <c r="AR20" s="1020"/>
      <c r="AS20" s="1020"/>
      <c r="AT20" s="1020"/>
      <c r="AU20" s="1020"/>
      <c r="AV20" s="1020"/>
      <c r="AW20" s="1020"/>
      <c r="AX20" s="1020"/>
      <c r="AY20" s="1020"/>
    </row>
    <row r="21" spans="1:51" ht="27" x14ac:dyDescent="0.25">
      <c r="A21" s="862"/>
      <c r="B21" s="862"/>
      <c r="C21" s="862"/>
      <c r="D21" s="621" t="s">
        <v>107</v>
      </c>
      <c r="E21" s="1027">
        <v>22466459758</v>
      </c>
      <c r="F21" s="1027">
        <v>22466459758</v>
      </c>
      <c r="G21" s="1027">
        <v>22473664758</v>
      </c>
      <c r="H21" s="1027">
        <v>23548433055</v>
      </c>
      <c r="I21" s="1027">
        <v>23548433055</v>
      </c>
      <c r="J21" s="1027">
        <v>23548433055</v>
      </c>
      <c r="K21" s="1027">
        <v>23548433055</v>
      </c>
      <c r="L21" s="1027">
        <v>23548433055</v>
      </c>
      <c r="M21" s="1027">
        <f>M17+M19</f>
        <v>23548433055</v>
      </c>
      <c r="N21" s="1027">
        <f>N17+N19</f>
        <v>23548433055</v>
      </c>
      <c r="O21" s="1027">
        <f>O17+O19</f>
        <v>23528433055</v>
      </c>
      <c r="P21" s="1003"/>
      <c r="Q21" s="1003"/>
      <c r="R21" s="1003"/>
      <c r="S21" s="1003"/>
      <c r="T21" s="1027">
        <v>12003684825</v>
      </c>
      <c r="U21" s="1027">
        <v>14549738059</v>
      </c>
      <c r="V21" s="1027">
        <v>14718050953</v>
      </c>
      <c r="W21" s="1027">
        <v>14734795005</v>
      </c>
      <c r="X21" s="1027">
        <v>15121479503</v>
      </c>
      <c r="Y21" s="1027">
        <v>15350823014</v>
      </c>
      <c r="Z21" s="1027">
        <f t="shared" si="1"/>
        <v>15579600738.898041</v>
      </c>
      <c r="AA21" s="1027">
        <f t="shared" si="1"/>
        <v>16279699349</v>
      </c>
      <c r="AB21" s="1027">
        <f t="shared" si="1"/>
        <v>17065236241</v>
      </c>
      <c r="AC21" s="1028"/>
      <c r="AD21" s="1028"/>
      <c r="AE21" s="1029"/>
      <c r="AF21" s="1040"/>
      <c r="AG21" s="1031"/>
      <c r="AH21" s="1031"/>
      <c r="AI21" s="1031"/>
      <c r="AJ21" s="1041"/>
      <c r="AK21" s="1031"/>
      <c r="AL21" s="1031"/>
      <c r="AM21" s="1031"/>
      <c r="AN21" s="1031"/>
      <c r="AO21" s="873"/>
      <c r="AP21" s="873"/>
      <c r="AQ21" s="1031"/>
      <c r="AR21" s="1031"/>
      <c r="AS21" s="1031"/>
      <c r="AT21" s="1031"/>
      <c r="AU21" s="1031"/>
      <c r="AV21" s="1031"/>
      <c r="AW21" s="1031"/>
      <c r="AX21" s="1031"/>
      <c r="AY21" s="1031"/>
    </row>
    <row r="22" spans="1:51" ht="18" x14ac:dyDescent="0.25">
      <c r="A22" s="863">
        <v>214</v>
      </c>
      <c r="B22" s="860" t="s">
        <v>73</v>
      </c>
      <c r="C22" s="860" t="s">
        <v>211</v>
      </c>
      <c r="D22" s="620" t="s">
        <v>100</v>
      </c>
      <c r="E22" s="1002">
        <v>590</v>
      </c>
      <c r="F22" s="1002">
        <v>590</v>
      </c>
      <c r="G22" s="1002">
        <v>590</v>
      </c>
      <c r="H22" s="1002">
        <v>590</v>
      </c>
      <c r="I22" s="1002">
        <v>590</v>
      </c>
      <c r="J22" s="1002">
        <v>590</v>
      </c>
      <c r="K22" s="1002">
        <v>590</v>
      </c>
      <c r="L22" s="1002">
        <v>590</v>
      </c>
      <c r="M22" s="1002">
        <v>590</v>
      </c>
      <c r="N22" s="1002">
        <v>590</v>
      </c>
      <c r="O22" s="1002">
        <v>590</v>
      </c>
      <c r="P22" s="1003"/>
      <c r="Q22" s="1003"/>
      <c r="R22" s="1003"/>
      <c r="S22" s="1003"/>
      <c r="T22" s="1002">
        <v>0</v>
      </c>
      <c r="U22" s="1004">
        <v>0</v>
      </c>
      <c r="V22" s="1042">
        <v>0</v>
      </c>
      <c r="W22" s="1004">
        <v>0</v>
      </c>
      <c r="X22" s="1004">
        <v>98.09</v>
      </c>
      <c r="Y22" s="1004">
        <v>173.64</v>
      </c>
      <c r="Z22" s="1006">
        <v>474.91999999999996</v>
      </c>
      <c r="AA22" s="1032">
        <v>477.74</v>
      </c>
      <c r="AB22" s="1032">
        <v>542.56999999999994</v>
      </c>
      <c r="AC22" s="1004"/>
      <c r="AD22" s="1007"/>
      <c r="AE22" s="1008"/>
      <c r="AF22" s="1033" t="s">
        <v>650</v>
      </c>
      <c r="AG22" s="1011" t="s">
        <v>549</v>
      </c>
      <c r="AH22" s="1012" t="s">
        <v>212</v>
      </c>
      <c r="AI22" s="1011" t="s">
        <v>207</v>
      </c>
      <c r="AJ22" s="1010"/>
      <c r="AK22" s="1010" t="s">
        <v>213</v>
      </c>
      <c r="AL22" s="1011" t="s">
        <v>214</v>
      </c>
      <c r="AM22" s="1011" t="s">
        <v>208</v>
      </c>
      <c r="AN22" s="1035">
        <v>7339642</v>
      </c>
      <c r="AO22" s="871">
        <v>3500891</v>
      </c>
      <c r="AP22" s="874">
        <v>3838751</v>
      </c>
      <c r="AQ22" s="1043" t="s">
        <v>209</v>
      </c>
      <c r="AR22" s="1011" t="s">
        <v>209</v>
      </c>
      <c r="AS22" s="1011" t="s">
        <v>203</v>
      </c>
      <c r="AT22" s="1011" t="s">
        <v>209</v>
      </c>
      <c r="AU22" s="1011" t="s">
        <v>203</v>
      </c>
      <c r="AV22" s="1011" t="s">
        <v>209</v>
      </c>
      <c r="AW22" s="1011" t="s">
        <v>203</v>
      </c>
      <c r="AX22" s="1044" t="s">
        <v>210</v>
      </c>
      <c r="AY22" s="1015"/>
    </row>
    <row r="23" spans="1:51" ht="18" x14ac:dyDescent="0.25">
      <c r="A23" s="861"/>
      <c r="B23" s="861"/>
      <c r="C23" s="861"/>
      <c r="D23" s="624" t="s">
        <v>102</v>
      </c>
      <c r="E23" s="1003">
        <v>15816809000</v>
      </c>
      <c r="F23" s="1003">
        <v>15816809000</v>
      </c>
      <c r="G23" s="1003">
        <v>15803983000</v>
      </c>
      <c r="H23" s="1003">
        <v>14723214703</v>
      </c>
      <c r="I23" s="1003">
        <v>14723214703</v>
      </c>
      <c r="J23" s="1003">
        <v>14723214703</v>
      </c>
      <c r="K23" s="1003">
        <v>14723214703</v>
      </c>
      <c r="L23" s="1003">
        <v>14723214703</v>
      </c>
      <c r="M23" s="1003">
        <v>14723214703</v>
      </c>
      <c r="N23" s="1003">
        <v>14723214703</v>
      </c>
      <c r="O23" s="1003">
        <v>14404100245</v>
      </c>
      <c r="P23" s="1003"/>
      <c r="Q23" s="1003"/>
      <c r="R23" s="1003"/>
      <c r="S23" s="1003"/>
      <c r="T23" s="1003">
        <v>13484905703</v>
      </c>
      <c r="U23" s="1022">
        <v>14142797703</v>
      </c>
      <c r="V23" s="1022">
        <v>14241725703</v>
      </c>
      <c r="W23" s="1003">
        <v>14241725703</v>
      </c>
      <c r="X23" s="1003">
        <v>14269781703</v>
      </c>
      <c r="Y23" s="1003">
        <v>14269781703</v>
      </c>
      <c r="Z23" s="1003">
        <v>14269781703</v>
      </c>
      <c r="AA23" s="1003">
        <v>14269781703</v>
      </c>
      <c r="AB23" s="1022">
        <v>14271272103</v>
      </c>
      <c r="AC23" s="1045"/>
      <c r="AD23" s="1003"/>
      <c r="AE23" s="1046"/>
      <c r="AF23" s="1020"/>
      <c r="AG23" s="1020"/>
      <c r="AH23" s="1020"/>
      <c r="AI23" s="1020"/>
      <c r="AJ23" s="1020"/>
      <c r="AK23" s="1020"/>
      <c r="AL23" s="1020"/>
      <c r="AM23" s="1020"/>
      <c r="AN23" s="1020"/>
      <c r="AO23" s="872"/>
      <c r="AP23" s="872"/>
      <c r="AQ23" s="1020"/>
      <c r="AR23" s="1020"/>
      <c r="AS23" s="1020"/>
      <c r="AT23" s="1020"/>
      <c r="AU23" s="1020"/>
      <c r="AV23" s="1020"/>
      <c r="AW23" s="1020"/>
      <c r="AX23" s="1020"/>
      <c r="AY23" s="1020"/>
    </row>
    <row r="24" spans="1:51" ht="27" x14ac:dyDescent="0.25">
      <c r="A24" s="861"/>
      <c r="B24" s="861"/>
      <c r="C24" s="861"/>
      <c r="D24" s="620" t="s">
        <v>104</v>
      </c>
      <c r="E24" s="1002">
        <v>0</v>
      </c>
      <c r="F24" s="1002">
        <v>0</v>
      </c>
      <c r="G24" s="1002">
        <v>0</v>
      </c>
      <c r="H24" s="1002">
        <v>0</v>
      </c>
      <c r="I24" s="1002">
        <v>0</v>
      </c>
      <c r="J24" s="1002">
        <v>0</v>
      </c>
      <c r="K24" s="1002">
        <v>0</v>
      </c>
      <c r="L24" s="1002">
        <v>0</v>
      </c>
      <c r="M24" s="1002">
        <v>0</v>
      </c>
      <c r="N24" s="1002">
        <v>0</v>
      </c>
      <c r="O24" s="1002">
        <v>0</v>
      </c>
      <c r="P24" s="1003"/>
      <c r="Q24" s="1003"/>
      <c r="R24" s="1003"/>
      <c r="S24" s="1003"/>
      <c r="T24" s="1002">
        <v>0</v>
      </c>
      <c r="U24" s="1004">
        <v>0</v>
      </c>
      <c r="V24" s="1004">
        <v>0</v>
      </c>
      <c r="W24" s="1004">
        <v>0</v>
      </c>
      <c r="X24" s="1004">
        <v>0</v>
      </c>
      <c r="Y24" s="1004">
        <v>0</v>
      </c>
      <c r="Z24" s="1004">
        <v>0</v>
      </c>
      <c r="AA24" s="1038">
        <v>0</v>
      </c>
      <c r="AB24" s="1038">
        <v>0</v>
      </c>
      <c r="AC24" s="1004"/>
      <c r="AD24" s="1004"/>
      <c r="AE24" s="1021"/>
      <c r="AF24" s="1020"/>
      <c r="AG24" s="1020"/>
      <c r="AH24" s="1020"/>
      <c r="AI24" s="1020"/>
      <c r="AJ24" s="1020"/>
      <c r="AK24" s="1020"/>
      <c r="AL24" s="1020"/>
      <c r="AM24" s="1020"/>
      <c r="AN24" s="1020"/>
      <c r="AO24" s="872"/>
      <c r="AP24" s="872"/>
      <c r="AQ24" s="1020"/>
      <c r="AR24" s="1020"/>
      <c r="AS24" s="1020"/>
      <c r="AT24" s="1020"/>
      <c r="AU24" s="1020"/>
      <c r="AV24" s="1020"/>
      <c r="AW24" s="1020"/>
      <c r="AX24" s="1020"/>
      <c r="AY24" s="1020"/>
    </row>
    <row r="25" spans="1:51" ht="27" x14ac:dyDescent="0.25">
      <c r="A25" s="861"/>
      <c r="B25" s="861"/>
      <c r="C25" s="861"/>
      <c r="D25" s="625" t="s">
        <v>105</v>
      </c>
      <c r="E25" s="1003">
        <v>8129089326</v>
      </c>
      <c r="F25" s="1003">
        <v>8129089326</v>
      </c>
      <c r="G25" s="1003">
        <v>8129089326</v>
      </c>
      <c r="H25" s="1003">
        <v>8129089326</v>
      </c>
      <c r="I25" s="1003">
        <v>8129089326</v>
      </c>
      <c r="J25" s="1003">
        <v>8129089326</v>
      </c>
      <c r="K25" s="1003">
        <v>8129089326</v>
      </c>
      <c r="L25" s="1003">
        <v>8129089326</v>
      </c>
      <c r="M25" s="1003">
        <v>8129089326</v>
      </c>
      <c r="N25" s="1003">
        <v>8129089326</v>
      </c>
      <c r="O25" s="1003">
        <v>8129089326</v>
      </c>
      <c r="P25" s="1003"/>
      <c r="Q25" s="1003"/>
      <c r="R25" s="1003"/>
      <c r="S25" s="1003"/>
      <c r="T25" s="1003">
        <v>7131483136</v>
      </c>
      <c r="U25" s="1003">
        <v>7189053475</v>
      </c>
      <c r="V25" s="1022">
        <v>7207736506</v>
      </c>
      <c r="W25" s="1003">
        <v>7232907231</v>
      </c>
      <c r="X25" s="1003">
        <v>7265907256</v>
      </c>
      <c r="Y25" s="1003">
        <v>7521185567</v>
      </c>
      <c r="Z25" s="1003">
        <v>7609939453</v>
      </c>
      <c r="AA25" s="1022">
        <v>7730064903</v>
      </c>
      <c r="AB25" s="1022">
        <v>7854581612</v>
      </c>
      <c r="AC25" s="1003"/>
      <c r="AD25" s="1003"/>
      <c r="AE25" s="1018"/>
      <c r="AF25" s="1020"/>
      <c r="AG25" s="1020"/>
      <c r="AH25" s="1020"/>
      <c r="AI25" s="1020"/>
      <c r="AJ25" s="1020"/>
      <c r="AK25" s="1020"/>
      <c r="AL25" s="1020"/>
      <c r="AM25" s="1020"/>
      <c r="AN25" s="1020"/>
      <c r="AO25" s="872"/>
      <c r="AP25" s="872"/>
      <c r="AQ25" s="1020"/>
      <c r="AR25" s="1020"/>
      <c r="AS25" s="1020"/>
      <c r="AT25" s="1020"/>
      <c r="AU25" s="1020"/>
      <c r="AV25" s="1020"/>
      <c r="AW25" s="1020"/>
      <c r="AX25" s="1020"/>
      <c r="AY25" s="1020"/>
    </row>
    <row r="26" spans="1:51" ht="27" x14ac:dyDescent="0.25">
      <c r="A26" s="861"/>
      <c r="B26" s="861"/>
      <c r="C26" s="861"/>
      <c r="D26" s="620" t="s">
        <v>106</v>
      </c>
      <c r="E26" s="1002">
        <v>590</v>
      </c>
      <c r="F26" s="1002">
        <v>590</v>
      </c>
      <c r="G26" s="1002">
        <v>590</v>
      </c>
      <c r="H26" s="1002">
        <v>590</v>
      </c>
      <c r="I26" s="1002">
        <v>590</v>
      </c>
      <c r="J26" s="1002">
        <v>590</v>
      </c>
      <c r="K26" s="1002">
        <v>590</v>
      </c>
      <c r="L26" s="1002">
        <v>590</v>
      </c>
      <c r="M26" s="1002">
        <v>590</v>
      </c>
      <c r="N26" s="1002">
        <v>590</v>
      </c>
      <c r="O26" s="1002">
        <v>590</v>
      </c>
      <c r="P26" s="1003"/>
      <c r="Q26" s="1003"/>
      <c r="R26" s="1003"/>
      <c r="S26" s="1003"/>
      <c r="T26" s="1002">
        <v>0</v>
      </c>
      <c r="U26" s="1023">
        <v>0</v>
      </c>
      <c r="V26" s="1023">
        <v>0</v>
      </c>
      <c r="W26" s="1023">
        <v>0</v>
      </c>
      <c r="X26" s="1023">
        <v>98.09</v>
      </c>
      <c r="Y26" s="1023">
        <v>173.64</v>
      </c>
      <c r="Z26" s="1023">
        <f t="shared" ref="Z26:AB27" si="2">Z22+Z24</f>
        <v>474.91999999999996</v>
      </c>
      <c r="AA26" s="1023">
        <f t="shared" si="2"/>
        <v>477.74</v>
      </c>
      <c r="AB26" s="1023">
        <f t="shared" si="2"/>
        <v>542.56999999999994</v>
      </c>
      <c r="AC26" s="1025"/>
      <c r="AD26" s="1025"/>
      <c r="AE26" s="1026"/>
      <c r="AF26" s="1020"/>
      <c r="AG26" s="1020"/>
      <c r="AH26" s="1020"/>
      <c r="AI26" s="1020"/>
      <c r="AJ26" s="1020"/>
      <c r="AK26" s="1020"/>
      <c r="AL26" s="1020"/>
      <c r="AM26" s="1020"/>
      <c r="AN26" s="1020"/>
      <c r="AO26" s="872"/>
      <c r="AP26" s="872"/>
      <c r="AQ26" s="1020"/>
      <c r="AR26" s="1020"/>
      <c r="AS26" s="1020"/>
      <c r="AT26" s="1020"/>
      <c r="AU26" s="1020"/>
      <c r="AV26" s="1020"/>
      <c r="AW26" s="1020"/>
      <c r="AX26" s="1020"/>
      <c r="AY26" s="1020"/>
    </row>
    <row r="27" spans="1:51" ht="27" x14ac:dyDescent="0.25">
      <c r="A27" s="861"/>
      <c r="B27" s="862"/>
      <c r="C27" s="862"/>
      <c r="D27" s="625" t="s">
        <v>107</v>
      </c>
      <c r="E27" s="1027">
        <v>23945898326</v>
      </c>
      <c r="F27" s="1027">
        <v>23945898326</v>
      </c>
      <c r="G27" s="1027">
        <v>23933072326</v>
      </c>
      <c r="H27" s="1027">
        <v>22852304029</v>
      </c>
      <c r="I27" s="1027">
        <v>22852304029</v>
      </c>
      <c r="J27" s="1027">
        <v>22852304029</v>
      </c>
      <c r="K27" s="1027">
        <v>22852304029</v>
      </c>
      <c r="L27" s="1027">
        <v>22852304029</v>
      </c>
      <c r="M27" s="1027">
        <f>M23+M25</f>
        <v>22852304029</v>
      </c>
      <c r="N27" s="1027">
        <f>N23+N25</f>
        <v>22852304029</v>
      </c>
      <c r="O27" s="1027">
        <f>O23+O25</f>
        <v>22533189571</v>
      </c>
      <c r="P27" s="1027"/>
      <c r="Q27" s="1027"/>
      <c r="R27" s="1027"/>
      <c r="S27" s="1027"/>
      <c r="T27" s="1027">
        <v>20616388839</v>
      </c>
      <c r="U27" s="1047">
        <v>21331851178</v>
      </c>
      <c r="V27" s="1047">
        <v>21449462209</v>
      </c>
      <c r="W27" s="1047">
        <v>21474632934</v>
      </c>
      <c r="X27" s="1047">
        <v>21535688959</v>
      </c>
      <c r="Y27" s="1027">
        <v>21790967270</v>
      </c>
      <c r="Z27" s="1027">
        <f t="shared" si="2"/>
        <v>21879721156</v>
      </c>
      <c r="AA27" s="1027">
        <f t="shared" si="2"/>
        <v>21999846606</v>
      </c>
      <c r="AB27" s="1027">
        <f t="shared" si="2"/>
        <v>22125853715</v>
      </c>
      <c r="AC27" s="1028"/>
      <c r="AD27" s="1028"/>
      <c r="AE27" s="1029"/>
      <c r="AF27" s="1031"/>
      <c r="AG27" s="1031"/>
      <c r="AH27" s="1031"/>
      <c r="AI27" s="1031"/>
      <c r="AJ27" s="1031"/>
      <c r="AK27" s="1031"/>
      <c r="AL27" s="1031"/>
      <c r="AM27" s="1031"/>
      <c r="AN27" s="1031"/>
      <c r="AO27" s="873"/>
      <c r="AP27" s="873"/>
      <c r="AQ27" s="1031"/>
      <c r="AR27" s="1031"/>
      <c r="AS27" s="1031"/>
      <c r="AT27" s="1031"/>
      <c r="AU27" s="1031"/>
      <c r="AV27" s="1031"/>
      <c r="AW27" s="1031"/>
      <c r="AX27" s="1031"/>
      <c r="AY27" s="1031"/>
    </row>
    <row r="28" spans="1:51" ht="18" x14ac:dyDescent="0.25">
      <c r="A28" s="861"/>
      <c r="B28" s="864" t="s">
        <v>155</v>
      </c>
      <c r="C28" s="860" t="s">
        <v>215</v>
      </c>
      <c r="D28" s="620" t="s">
        <v>100</v>
      </c>
      <c r="E28" s="1002">
        <v>0.2</v>
      </c>
      <c r="F28" s="1002">
        <v>0.2</v>
      </c>
      <c r="G28" s="1002">
        <v>0.2</v>
      </c>
      <c r="H28" s="1002">
        <v>0.2</v>
      </c>
      <c r="I28" s="1002">
        <v>0.2</v>
      </c>
      <c r="J28" s="1002">
        <v>0.2</v>
      </c>
      <c r="K28" s="1002">
        <v>0.2</v>
      </c>
      <c r="L28" s="1002">
        <v>0.2</v>
      </c>
      <c r="M28" s="1002">
        <v>0.2</v>
      </c>
      <c r="N28" s="1002">
        <v>0.2</v>
      </c>
      <c r="O28" s="1002">
        <v>1.2</v>
      </c>
      <c r="P28" s="1003"/>
      <c r="Q28" s="1003"/>
      <c r="R28" s="1003"/>
      <c r="S28" s="1003"/>
      <c r="T28" s="1002">
        <v>0</v>
      </c>
      <c r="U28" s="1002">
        <v>0.02</v>
      </c>
      <c r="V28" s="1002">
        <v>0.04</v>
      </c>
      <c r="W28" s="1004">
        <v>0.05</v>
      </c>
      <c r="X28" s="1004">
        <v>7.0000000000000007E-2</v>
      </c>
      <c r="Y28" s="1004">
        <v>0.09</v>
      </c>
      <c r="Z28" s="1004">
        <v>0.11</v>
      </c>
      <c r="AA28" s="1032">
        <v>0.13</v>
      </c>
      <c r="AB28" s="1032">
        <v>0.14000000000000001</v>
      </c>
      <c r="AC28" s="1005"/>
      <c r="AD28" s="1048"/>
      <c r="AE28" s="1005"/>
      <c r="AF28" s="1049" t="s">
        <v>652</v>
      </c>
      <c r="AG28" s="1011" t="s">
        <v>550</v>
      </c>
      <c r="AH28" s="1011" t="s">
        <v>216</v>
      </c>
      <c r="AI28" s="1011" t="s">
        <v>199</v>
      </c>
      <c r="AJ28" s="1011"/>
      <c r="AK28" s="1011" t="s">
        <v>217</v>
      </c>
      <c r="AL28" s="1012" t="s">
        <v>218</v>
      </c>
      <c r="AM28" s="1011" t="s">
        <v>219</v>
      </c>
      <c r="AN28" s="1044">
        <v>1022409</v>
      </c>
      <c r="AO28" s="1044">
        <v>498512</v>
      </c>
      <c r="AP28" s="1044">
        <v>523897</v>
      </c>
      <c r="AQ28" s="1044" t="s">
        <v>203</v>
      </c>
      <c r="AR28" s="1011" t="s">
        <v>203</v>
      </c>
      <c r="AS28" s="1011" t="s">
        <v>203</v>
      </c>
      <c r="AT28" s="1011" t="s">
        <v>203</v>
      </c>
      <c r="AU28" s="1011" t="s">
        <v>203</v>
      </c>
      <c r="AV28" s="1011" t="s">
        <v>203</v>
      </c>
      <c r="AW28" s="1011" t="s">
        <v>203</v>
      </c>
      <c r="AX28" s="1044" t="s">
        <v>220</v>
      </c>
      <c r="AY28" s="1015"/>
    </row>
    <row r="29" spans="1:51" ht="18" x14ac:dyDescent="0.25">
      <c r="A29" s="861"/>
      <c r="B29" s="861"/>
      <c r="C29" s="861"/>
      <c r="D29" s="621" t="s">
        <v>102</v>
      </c>
      <c r="E29" s="1003">
        <v>141616600</v>
      </c>
      <c r="F29" s="1003">
        <v>141616600</v>
      </c>
      <c r="G29" s="1003">
        <v>141616600</v>
      </c>
      <c r="H29" s="1003">
        <v>141616600</v>
      </c>
      <c r="I29" s="1003">
        <v>141616600</v>
      </c>
      <c r="J29" s="1003">
        <v>141616600</v>
      </c>
      <c r="K29" s="1003">
        <v>141616600</v>
      </c>
      <c r="L29" s="1003">
        <v>141616600</v>
      </c>
      <c r="M29" s="1003">
        <v>141616600</v>
      </c>
      <c r="N29" s="1003">
        <v>141616600</v>
      </c>
      <c r="O29" s="1003">
        <v>125585000</v>
      </c>
      <c r="P29" s="1003"/>
      <c r="Q29" s="1003"/>
      <c r="R29" s="1003"/>
      <c r="S29" s="1003"/>
      <c r="T29" s="1003">
        <v>4536200</v>
      </c>
      <c r="U29" s="1003">
        <v>63100200</v>
      </c>
      <c r="V29" s="1003">
        <v>111014800</v>
      </c>
      <c r="W29" s="1003">
        <v>118951000</v>
      </c>
      <c r="X29" s="1003">
        <v>118951000</v>
      </c>
      <c r="Y29" s="1003">
        <v>118951000</v>
      </c>
      <c r="Z29" s="1003">
        <v>118951000</v>
      </c>
      <c r="AA29" s="1003">
        <v>118951000</v>
      </c>
      <c r="AB29" s="1003">
        <v>118951000</v>
      </c>
      <c r="AC29" s="1003"/>
      <c r="AD29" s="1003"/>
      <c r="AE29" s="1050"/>
      <c r="AF29" s="1020"/>
      <c r="AG29" s="1020"/>
      <c r="AH29" s="1020"/>
      <c r="AI29" s="1020"/>
      <c r="AJ29" s="1020"/>
      <c r="AK29" s="1020"/>
      <c r="AL29" s="1020"/>
      <c r="AM29" s="1020"/>
      <c r="AN29" s="1020"/>
      <c r="AO29" s="1020"/>
      <c r="AP29" s="1020"/>
      <c r="AQ29" s="1020"/>
      <c r="AR29" s="1020"/>
      <c r="AS29" s="1020"/>
      <c r="AT29" s="1020"/>
      <c r="AU29" s="1020"/>
      <c r="AV29" s="1020"/>
      <c r="AW29" s="1020"/>
      <c r="AX29" s="1020"/>
      <c r="AY29" s="1020"/>
    </row>
    <row r="30" spans="1:51" ht="27" x14ac:dyDescent="0.25">
      <c r="A30" s="861"/>
      <c r="B30" s="861"/>
      <c r="C30" s="861"/>
      <c r="D30" s="620" t="s">
        <v>104</v>
      </c>
      <c r="E30" s="1002">
        <v>0</v>
      </c>
      <c r="F30" s="1002">
        <v>0</v>
      </c>
      <c r="G30" s="1002">
        <v>0</v>
      </c>
      <c r="H30" s="1003">
        <v>0</v>
      </c>
      <c r="I30" s="1002">
        <v>0</v>
      </c>
      <c r="J30" s="1002">
        <v>0</v>
      </c>
      <c r="K30" s="1002">
        <v>0</v>
      </c>
      <c r="L30" s="1002">
        <v>0</v>
      </c>
      <c r="M30" s="1002">
        <v>0</v>
      </c>
      <c r="N30" s="1002">
        <v>0</v>
      </c>
      <c r="O30" s="1002">
        <v>1</v>
      </c>
      <c r="P30" s="1003"/>
      <c r="Q30" s="1003"/>
      <c r="R30" s="1003"/>
      <c r="S30" s="1003"/>
      <c r="T30" s="1002">
        <v>0</v>
      </c>
      <c r="U30" s="1003">
        <v>0</v>
      </c>
      <c r="V30" s="1002">
        <v>0</v>
      </c>
      <c r="W30" s="1002">
        <v>0</v>
      </c>
      <c r="X30" s="1004">
        <v>0</v>
      </c>
      <c r="Y30" s="1004">
        <v>0</v>
      </c>
      <c r="Z30" s="1004">
        <v>0</v>
      </c>
      <c r="AA30" s="1038">
        <v>0</v>
      </c>
      <c r="AB30" s="1038">
        <v>0</v>
      </c>
      <c r="AC30" s="1005"/>
      <c r="AD30" s="1004"/>
      <c r="AE30" s="1021"/>
      <c r="AF30" s="1020"/>
      <c r="AG30" s="1020"/>
      <c r="AH30" s="1020"/>
      <c r="AI30" s="1020"/>
      <c r="AJ30" s="1020"/>
      <c r="AK30" s="1020"/>
      <c r="AL30" s="1020"/>
      <c r="AM30" s="1020"/>
      <c r="AN30" s="1020"/>
      <c r="AO30" s="1020"/>
      <c r="AP30" s="1020"/>
      <c r="AQ30" s="1020"/>
      <c r="AR30" s="1020"/>
      <c r="AS30" s="1020"/>
      <c r="AT30" s="1020"/>
      <c r="AU30" s="1020"/>
      <c r="AV30" s="1020"/>
      <c r="AW30" s="1020"/>
      <c r="AX30" s="1020"/>
      <c r="AY30" s="1020"/>
    </row>
    <row r="31" spans="1:51" ht="27" x14ac:dyDescent="0.25">
      <c r="A31" s="861"/>
      <c r="B31" s="861"/>
      <c r="C31" s="861"/>
      <c r="D31" s="626" t="s">
        <v>105</v>
      </c>
      <c r="E31" s="1003">
        <v>100151210</v>
      </c>
      <c r="F31" s="1003">
        <v>100151210</v>
      </c>
      <c r="G31" s="1003">
        <v>100151210</v>
      </c>
      <c r="H31" s="1003">
        <v>100151210</v>
      </c>
      <c r="I31" s="1003">
        <v>100151210</v>
      </c>
      <c r="J31" s="1003">
        <v>100151210</v>
      </c>
      <c r="K31" s="1003">
        <v>100151210</v>
      </c>
      <c r="L31" s="1003">
        <v>100151210</v>
      </c>
      <c r="M31" s="1003">
        <v>100151210</v>
      </c>
      <c r="N31" s="1003">
        <v>100151210</v>
      </c>
      <c r="O31" s="1003">
        <v>100151211</v>
      </c>
      <c r="P31" s="1003"/>
      <c r="Q31" s="1003"/>
      <c r="R31" s="1003"/>
      <c r="S31" s="1003"/>
      <c r="T31" s="1003">
        <v>36308281</v>
      </c>
      <c r="U31" s="1003">
        <v>42703341</v>
      </c>
      <c r="V31" s="1045">
        <v>45892631.799999997</v>
      </c>
      <c r="W31" s="1003">
        <v>47240431</v>
      </c>
      <c r="X31" s="1003">
        <v>50005843</v>
      </c>
      <c r="Y31" s="1003">
        <v>50549940</v>
      </c>
      <c r="Z31" s="1003">
        <v>50798455</v>
      </c>
      <c r="AA31" s="1022">
        <v>50852294</v>
      </c>
      <c r="AB31" s="1022">
        <v>51223394</v>
      </c>
      <c r="AC31" s="1005"/>
      <c r="AD31" s="1005"/>
      <c r="AE31" s="1050"/>
      <c r="AF31" s="1020"/>
      <c r="AG31" s="1020"/>
      <c r="AH31" s="1020"/>
      <c r="AI31" s="1020"/>
      <c r="AJ31" s="1020"/>
      <c r="AK31" s="1020"/>
      <c r="AL31" s="1020"/>
      <c r="AM31" s="1020"/>
      <c r="AN31" s="1020"/>
      <c r="AO31" s="1020"/>
      <c r="AP31" s="1020"/>
      <c r="AQ31" s="1020"/>
      <c r="AR31" s="1020"/>
      <c r="AS31" s="1020"/>
      <c r="AT31" s="1020"/>
      <c r="AU31" s="1020"/>
      <c r="AV31" s="1020"/>
      <c r="AW31" s="1020"/>
      <c r="AX31" s="1020"/>
      <c r="AY31" s="1020"/>
    </row>
    <row r="32" spans="1:51" ht="27" x14ac:dyDescent="0.25">
      <c r="A32" s="861"/>
      <c r="B32" s="861"/>
      <c r="C32" s="861"/>
      <c r="D32" s="620" t="s">
        <v>106</v>
      </c>
      <c r="E32" s="1002">
        <v>0.2</v>
      </c>
      <c r="F32" s="1002">
        <v>0.2</v>
      </c>
      <c r="G32" s="1002">
        <v>0.2</v>
      </c>
      <c r="H32" s="1002">
        <v>0.2</v>
      </c>
      <c r="I32" s="1002">
        <v>0.2</v>
      </c>
      <c r="J32" s="1002">
        <v>0.2</v>
      </c>
      <c r="K32" s="1002">
        <v>0.2</v>
      </c>
      <c r="L32" s="1002">
        <v>0.2</v>
      </c>
      <c r="M32" s="1002">
        <v>0.2</v>
      </c>
      <c r="N32" s="1002">
        <v>0.2</v>
      </c>
      <c r="O32" s="1002">
        <v>1.2</v>
      </c>
      <c r="P32" s="1003"/>
      <c r="Q32" s="1003"/>
      <c r="R32" s="1003"/>
      <c r="S32" s="1003"/>
      <c r="T32" s="1002">
        <v>0</v>
      </c>
      <c r="U32" s="1003">
        <v>0.02</v>
      </c>
      <c r="V32" s="1023">
        <v>0.04</v>
      </c>
      <c r="W32" s="1023">
        <v>0.05</v>
      </c>
      <c r="X32" s="1023">
        <v>7.0000000000000007E-2</v>
      </c>
      <c r="Y32" s="1023">
        <v>0.09</v>
      </c>
      <c r="Z32" s="1023">
        <f t="shared" ref="Z32:AB33" si="3">Z28+Z30</f>
        <v>0.11</v>
      </c>
      <c r="AA32" s="1023">
        <f t="shared" si="3"/>
        <v>0.13</v>
      </c>
      <c r="AB32" s="1023">
        <f t="shared" si="3"/>
        <v>0.14000000000000001</v>
      </c>
      <c r="AC32" s="1039"/>
      <c r="AD32" s="1039"/>
      <c r="AE32" s="1051"/>
      <c r="AF32" s="1020"/>
      <c r="AG32" s="1020"/>
      <c r="AH32" s="1020"/>
      <c r="AI32" s="1020"/>
      <c r="AJ32" s="1020"/>
      <c r="AK32" s="1020"/>
      <c r="AL32" s="1020"/>
      <c r="AM32" s="1020"/>
      <c r="AN32" s="1020"/>
      <c r="AO32" s="1020"/>
      <c r="AP32" s="1020"/>
      <c r="AQ32" s="1020"/>
      <c r="AR32" s="1020"/>
      <c r="AS32" s="1020"/>
      <c r="AT32" s="1020"/>
      <c r="AU32" s="1020"/>
      <c r="AV32" s="1020"/>
      <c r="AW32" s="1020"/>
      <c r="AX32" s="1020"/>
      <c r="AY32" s="1020"/>
    </row>
    <row r="33" spans="1:51" ht="27" x14ac:dyDescent="0.25">
      <c r="A33" s="861"/>
      <c r="B33" s="861"/>
      <c r="C33" s="862"/>
      <c r="D33" s="621" t="s">
        <v>107</v>
      </c>
      <c r="E33" s="1027">
        <v>241767810</v>
      </c>
      <c r="F33" s="1027">
        <v>241767810</v>
      </c>
      <c r="G33" s="1027">
        <v>241767810</v>
      </c>
      <c r="H33" s="1027">
        <v>241767810</v>
      </c>
      <c r="I33" s="1027">
        <v>241767810</v>
      </c>
      <c r="J33" s="1027">
        <v>241767810</v>
      </c>
      <c r="K33" s="1027">
        <v>241767810</v>
      </c>
      <c r="L33" s="1027">
        <v>241767810</v>
      </c>
      <c r="M33" s="1027">
        <f>M29+M31</f>
        <v>241767810</v>
      </c>
      <c r="N33" s="1027">
        <f>N29+N31</f>
        <v>241767810</v>
      </c>
      <c r="O33" s="1027">
        <f>O29+O31</f>
        <v>225736211</v>
      </c>
      <c r="P33" s="1003"/>
      <c r="Q33" s="1003"/>
      <c r="R33" s="1003"/>
      <c r="S33" s="1003"/>
      <c r="T33" s="1027">
        <v>40844481</v>
      </c>
      <c r="U33" s="1027">
        <v>105803541</v>
      </c>
      <c r="V33" s="1047">
        <v>156907431.80000001</v>
      </c>
      <c r="W33" s="1047">
        <v>166191431</v>
      </c>
      <c r="X33" s="1047">
        <v>168956843</v>
      </c>
      <c r="Y33" s="627">
        <v>169500940</v>
      </c>
      <c r="Z33" s="627">
        <f t="shared" si="3"/>
        <v>169749455</v>
      </c>
      <c r="AA33" s="627">
        <f t="shared" si="3"/>
        <v>169803294</v>
      </c>
      <c r="AB33" s="627">
        <f t="shared" si="3"/>
        <v>170174394</v>
      </c>
      <c r="AC33" s="1052"/>
      <c r="AD33" s="1052"/>
      <c r="AE33" s="1029"/>
      <c r="AF33" s="1020"/>
      <c r="AG33" s="1031"/>
      <c r="AH33" s="1031"/>
      <c r="AI33" s="1031"/>
      <c r="AJ33" s="1031"/>
      <c r="AK33" s="1031"/>
      <c r="AL33" s="1031"/>
      <c r="AM33" s="1031"/>
      <c r="AN33" s="1031"/>
      <c r="AO33" s="1031"/>
      <c r="AP33" s="1031"/>
      <c r="AQ33" s="1031"/>
      <c r="AR33" s="1031"/>
      <c r="AS33" s="1031"/>
      <c r="AT33" s="1031"/>
      <c r="AU33" s="1031"/>
      <c r="AV33" s="1031"/>
      <c r="AW33" s="1031"/>
      <c r="AX33" s="1031"/>
      <c r="AY33" s="1031"/>
    </row>
    <row r="34" spans="1:51" ht="18" x14ac:dyDescent="0.25">
      <c r="A34" s="861"/>
      <c r="B34" s="861"/>
      <c r="C34" s="860" t="s">
        <v>221</v>
      </c>
      <c r="D34" s="620" t="s">
        <v>100</v>
      </c>
      <c r="E34" s="1002">
        <v>0.2</v>
      </c>
      <c r="F34" s="1002">
        <v>0.2</v>
      </c>
      <c r="G34" s="1002">
        <v>0.2</v>
      </c>
      <c r="H34" s="1002">
        <v>0.2</v>
      </c>
      <c r="I34" s="1002">
        <v>0.2</v>
      </c>
      <c r="J34" s="1002">
        <v>0.2</v>
      </c>
      <c r="K34" s="1002">
        <v>0.2</v>
      </c>
      <c r="L34" s="1002">
        <v>0.2</v>
      </c>
      <c r="M34" s="1002">
        <v>0.2</v>
      </c>
      <c r="N34" s="1002">
        <v>0.2</v>
      </c>
      <c r="O34" s="1002">
        <v>1.2</v>
      </c>
      <c r="P34" s="1003"/>
      <c r="Q34" s="1003"/>
      <c r="R34" s="1003"/>
      <c r="S34" s="1003"/>
      <c r="T34" s="1002">
        <v>0</v>
      </c>
      <c r="U34" s="1003">
        <v>0.02</v>
      </c>
      <c r="V34" s="1002">
        <v>0.04</v>
      </c>
      <c r="W34" s="1004">
        <v>0.05</v>
      </c>
      <c r="X34" s="1004">
        <v>7.0000000000000007E-2</v>
      </c>
      <c r="Y34" s="1004">
        <v>0.09</v>
      </c>
      <c r="Z34" s="1004">
        <v>0.11</v>
      </c>
      <c r="AA34" s="1032">
        <v>0.13</v>
      </c>
      <c r="AB34" s="1032">
        <v>0.14000000000000001</v>
      </c>
      <c r="AC34" s="1005"/>
      <c r="AD34" s="1048"/>
      <c r="AE34" s="1005"/>
      <c r="AF34" s="1020"/>
      <c r="AG34" s="1011" t="s">
        <v>551</v>
      </c>
      <c r="AH34" s="1012" t="s">
        <v>222</v>
      </c>
      <c r="AI34" s="1011" t="s">
        <v>199</v>
      </c>
      <c r="AJ34" s="1011"/>
      <c r="AK34" s="1011" t="s">
        <v>223</v>
      </c>
      <c r="AL34" s="1011" t="s">
        <v>224</v>
      </c>
      <c r="AM34" s="1011" t="s">
        <v>219</v>
      </c>
      <c r="AN34" s="1035">
        <v>1823372</v>
      </c>
      <c r="AO34" s="1044">
        <v>852064</v>
      </c>
      <c r="AP34" s="1044">
        <v>971308</v>
      </c>
      <c r="AQ34" s="1044" t="s">
        <v>203</v>
      </c>
      <c r="AR34" s="1011" t="s">
        <v>203</v>
      </c>
      <c r="AS34" s="1011" t="s">
        <v>203</v>
      </c>
      <c r="AT34" s="1011" t="s">
        <v>203</v>
      </c>
      <c r="AU34" s="1011" t="s">
        <v>203</v>
      </c>
      <c r="AV34" s="1011" t="s">
        <v>203</v>
      </c>
      <c r="AW34" s="1011" t="s">
        <v>203</v>
      </c>
      <c r="AX34" s="1044" t="s">
        <v>225</v>
      </c>
      <c r="AY34" s="1015"/>
    </row>
    <row r="35" spans="1:51" ht="18" x14ac:dyDescent="0.25">
      <c r="A35" s="861"/>
      <c r="B35" s="861"/>
      <c r="C35" s="861"/>
      <c r="D35" s="626" t="s">
        <v>102</v>
      </c>
      <c r="E35" s="1003">
        <v>141616600</v>
      </c>
      <c r="F35" s="1003">
        <v>141616600</v>
      </c>
      <c r="G35" s="1003">
        <v>141616600</v>
      </c>
      <c r="H35" s="1003">
        <v>141616600</v>
      </c>
      <c r="I35" s="1003">
        <v>141616600</v>
      </c>
      <c r="J35" s="1003">
        <v>141616600</v>
      </c>
      <c r="K35" s="1003">
        <v>141616600</v>
      </c>
      <c r="L35" s="1003">
        <v>141616600</v>
      </c>
      <c r="M35" s="1003">
        <v>141616600</v>
      </c>
      <c r="N35" s="1003">
        <v>141616600</v>
      </c>
      <c r="O35" s="1003">
        <v>125585000</v>
      </c>
      <c r="P35" s="1003"/>
      <c r="Q35" s="1003"/>
      <c r="R35" s="1003"/>
      <c r="S35" s="1003"/>
      <c r="T35" s="1003">
        <v>4536200</v>
      </c>
      <c r="U35" s="1003">
        <v>63100200</v>
      </c>
      <c r="V35" s="1003">
        <v>111014800</v>
      </c>
      <c r="W35" s="1003">
        <v>118951000</v>
      </c>
      <c r="X35" s="1003">
        <v>118951000</v>
      </c>
      <c r="Y35" s="1003">
        <v>118951000</v>
      </c>
      <c r="Z35" s="1003">
        <v>118951000</v>
      </c>
      <c r="AA35" s="1003">
        <v>118951000</v>
      </c>
      <c r="AB35" s="1003">
        <v>118951000</v>
      </c>
      <c r="AC35" s="1003"/>
      <c r="AD35" s="1003"/>
      <c r="AE35" s="1053"/>
      <c r="AF35" s="1020"/>
      <c r="AG35" s="1020"/>
      <c r="AH35" s="1020"/>
      <c r="AI35" s="1020"/>
      <c r="AJ35" s="1020"/>
      <c r="AK35" s="1020"/>
      <c r="AL35" s="1020"/>
      <c r="AM35" s="1020"/>
      <c r="AN35" s="1020"/>
      <c r="AO35" s="1020"/>
      <c r="AP35" s="1020"/>
      <c r="AQ35" s="1020"/>
      <c r="AR35" s="1020"/>
      <c r="AS35" s="1020"/>
      <c r="AT35" s="1020"/>
      <c r="AU35" s="1020"/>
      <c r="AV35" s="1020"/>
      <c r="AW35" s="1020"/>
      <c r="AX35" s="1020"/>
      <c r="AY35" s="1020"/>
    </row>
    <row r="36" spans="1:51" ht="27" x14ac:dyDescent="0.25">
      <c r="A36" s="861"/>
      <c r="B36" s="861"/>
      <c r="C36" s="861"/>
      <c r="D36" s="620" t="s">
        <v>104</v>
      </c>
      <c r="E36" s="1002">
        <v>0</v>
      </c>
      <c r="F36" s="1002">
        <v>0</v>
      </c>
      <c r="G36" s="1002">
        <v>0</v>
      </c>
      <c r="H36" s="1003">
        <v>0</v>
      </c>
      <c r="I36" s="1002">
        <v>0</v>
      </c>
      <c r="J36" s="1002">
        <v>0</v>
      </c>
      <c r="K36" s="1002">
        <v>0</v>
      </c>
      <c r="L36" s="1002">
        <v>0</v>
      </c>
      <c r="M36" s="1002">
        <v>0</v>
      </c>
      <c r="N36" s="1002">
        <v>0</v>
      </c>
      <c r="O36" s="1002">
        <v>1</v>
      </c>
      <c r="P36" s="1003"/>
      <c r="Q36" s="1003"/>
      <c r="R36" s="1003"/>
      <c r="S36" s="1003"/>
      <c r="T36" s="1002">
        <v>0</v>
      </c>
      <c r="U36" s="1003">
        <v>0</v>
      </c>
      <c r="V36" s="1002">
        <v>0</v>
      </c>
      <c r="W36" s="1002">
        <v>0</v>
      </c>
      <c r="X36" s="1004">
        <v>0</v>
      </c>
      <c r="Y36" s="1004">
        <v>0</v>
      </c>
      <c r="Z36" s="1004">
        <v>0</v>
      </c>
      <c r="AA36" s="1038">
        <v>0</v>
      </c>
      <c r="AB36" s="1038">
        <v>0</v>
      </c>
      <c r="AC36" s="1005"/>
      <c r="AD36" s="1004"/>
      <c r="AE36" s="1021"/>
      <c r="AF36" s="1020"/>
      <c r="AG36" s="1020"/>
      <c r="AH36" s="1020"/>
      <c r="AI36" s="1020"/>
      <c r="AJ36" s="1020"/>
      <c r="AK36" s="1020"/>
      <c r="AL36" s="1020"/>
      <c r="AM36" s="1020"/>
      <c r="AN36" s="1020"/>
      <c r="AO36" s="1020"/>
      <c r="AP36" s="1020"/>
      <c r="AQ36" s="1020"/>
      <c r="AR36" s="1020"/>
      <c r="AS36" s="1020"/>
      <c r="AT36" s="1020"/>
      <c r="AU36" s="1020"/>
      <c r="AV36" s="1020"/>
      <c r="AW36" s="1020"/>
      <c r="AX36" s="1020"/>
      <c r="AY36" s="1020"/>
    </row>
    <row r="37" spans="1:51" ht="27" x14ac:dyDescent="0.25">
      <c r="A37" s="861"/>
      <c r="B37" s="861"/>
      <c r="C37" s="861"/>
      <c r="D37" s="624" t="s">
        <v>105</v>
      </c>
      <c r="E37" s="1003">
        <v>100151210</v>
      </c>
      <c r="F37" s="1003">
        <v>100151210</v>
      </c>
      <c r="G37" s="1003">
        <v>100151210</v>
      </c>
      <c r="H37" s="1003">
        <v>100151210</v>
      </c>
      <c r="I37" s="1003">
        <v>100151210</v>
      </c>
      <c r="J37" s="1003">
        <v>100151210</v>
      </c>
      <c r="K37" s="1003">
        <v>100151210</v>
      </c>
      <c r="L37" s="1003">
        <v>100151210</v>
      </c>
      <c r="M37" s="1003">
        <v>100151210</v>
      </c>
      <c r="N37" s="1003">
        <v>100151210</v>
      </c>
      <c r="O37" s="1003">
        <v>100151211</v>
      </c>
      <c r="P37" s="1003"/>
      <c r="Q37" s="1003"/>
      <c r="R37" s="1003"/>
      <c r="S37" s="1003"/>
      <c r="T37" s="1003">
        <v>36308281</v>
      </c>
      <c r="U37" s="1003">
        <v>42703341</v>
      </c>
      <c r="V37" s="1045">
        <v>45892631.799999997</v>
      </c>
      <c r="W37" s="1003">
        <v>47240431</v>
      </c>
      <c r="X37" s="1003">
        <v>50005843</v>
      </c>
      <c r="Y37" s="1003">
        <v>50549940</v>
      </c>
      <c r="Z37" s="1003">
        <v>50798455</v>
      </c>
      <c r="AA37" s="1022">
        <v>50852294</v>
      </c>
      <c r="AB37" s="1022">
        <v>51223394</v>
      </c>
      <c r="AC37" s="1005"/>
      <c r="AD37" s="1005"/>
      <c r="AE37" s="1054"/>
      <c r="AF37" s="1020"/>
      <c r="AG37" s="1020"/>
      <c r="AH37" s="1020"/>
      <c r="AI37" s="1020"/>
      <c r="AJ37" s="1020"/>
      <c r="AK37" s="1020"/>
      <c r="AL37" s="1020"/>
      <c r="AM37" s="1020"/>
      <c r="AN37" s="1020"/>
      <c r="AO37" s="1020"/>
      <c r="AP37" s="1020"/>
      <c r="AQ37" s="1020"/>
      <c r="AR37" s="1020"/>
      <c r="AS37" s="1020"/>
      <c r="AT37" s="1020"/>
      <c r="AU37" s="1020"/>
      <c r="AV37" s="1020"/>
      <c r="AW37" s="1020"/>
      <c r="AX37" s="1020"/>
      <c r="AY37" s="1020"/>
    </row>
    <row r="38" spans="1:51" ht="27" x14ac:dyDescent="0.25">
      <c r="A38" s="861"/>
      <c r="B38" s="861"/>
      <c r="C38" s="861"/>
      <c r="D38" s="620" t="s">
        <v>106</v>
      </c>
      <c r="E38" s="1002">
        <v>0.2</v>
      </c>
      <c r="F38" s="1002">
        <v>0.2</v>
      </c>
      <c r="G38" s="1002">
        <v>0.2</v>
      </c>
      <c r="H38" s="1002">
        <v>0.2</v>
      </c>
      <c r="I38" s="1002">
        <v>0.2</v>
      </c>
      <c r="J38" s="1002">
        <v>0.2</v>
      </c>
      <c r="K38" s="1002">
        <v>0.2</v>
      </c>
      <c r="L38" s="1002">
        <v>0.2</v>
      </c>
      <c r="M38" s="1002">
        <v>0.2</v>
      </c>
      <c r="N38" s="1002">
        <v>0.2</v>
      </c>
      <c r="O38" s="1002">
        <v>1.2</v>
      </c>
      <c r="P38" s="1003"/>
      <c r="Q38" s="1003"/>
      <c r="R38" s="1003"/>
      <c r="S38" s="1003"/>
      <c r="T38" s="1002">
        <v>0</v>
      </c>
      <c r="U38" s="1003">
        <v>0.02</v>
      </c>
      <c r="V38" s="1023">
        <v>0.04</v>
      </c>
      <c r="W38" s="1023">
        <v>0.05</v>
      </c>
      <c r="X38" s="1023">
        <v>7.0000000000000007E-2</v>
      </c>
      <c r="Y38" s="1023">
        <v>0.09</v>
      </c>
      <c r="Z38" s="1023">
        <f t="shared" ref="Z38:AB39" si="4">Z34+Z36</f>
        <v>0.11</v>
      </c>
      <c r="AA38" s="1023">
        <f t="shared" si="4"/>
        <v>0.13</v>
      </c>
      <c r="AB38" s="1023">
        <f t="shared" si="4"/>
        <v>0.14000000000000001</v>
      </c>
      <c r="AC38" s="1039"/>
      <c r="AD38" s="1039"/>
      <c r="AE38" s="1051"/>
      <c r="AF38" s="1020"/>
      <c r="AG38" s="1020"/>
      <c r="AH38" s="1020"/>
      <c r="AI38" s="1020"/>
      <c r="AJ38" s="1020"/>
      <c r="AK38" s="1020"/>
      <c r="AL38" s="1020"/>
      <c r="AM38" s="1020"/>
      <c r="AN38" s="1020"/>
      <c r="AO38" s="1020"/>
      <c r="AP38" s="1020"/>
      <c r="AQ38" s="1020"/>
      <c r="AR38" s="1020"/>
      <c r="AS38" s="1020"/>
      <c r="AT38" s="1020"/>
      <c r="AU38" s="1020"/>
      <c r="AV38" s="1020"/>
      <c r="AW38" s="1020"/>
      <c r="AX38" s="1020"/>
      <c r="AY38" s="1020"/>
    </row>
    <row r="39" spans="1:51" ht="27" x14ac:dyDescent="0.25">
      <c r="A39" s="861"/>
      <c r="B39" s="861"/>
      <c r="C39" s="862"/>
      <c r="D39" s="621" t="s">
        <v>107</v>
      </c>
      <c r="E39" s="1027">
        <v>241767810</v>
      </c>
      <c r="F39" s="1027">
        <v>241767810</v>
      </c>
      <c r="G39" s="1027">
        <v>241767810</v>
      </c>
      <c r="H39" s="1027">
        <v>241767810</v>
      </c>
      <c r="I39" s="1027">
        <v>241767810</v>
      </c>
      <c r="J39" s="1027">
        <v>241767810</v>
      </c>
      <c r="K39" s="1027">
        <v>241767810</v>
      </c>
      <c r="L39" s="1027">
        <v>241767810</v>
      </c>
      <c r="M39" s="1027">
        <f>M35+M37</f>
        <v>241767810</v>
      </c>
      <c r="N39" s="1027">
        <f>N35+N37</f>
        <v>241767810</v>
      </c>
      <c r="O39" s="1027">
        <f>O35+O37</f>
        <v>225736211</v>
      </c>
      <c r="P39" s="1003"/>
      <c r="Q39" s="1003"/>
      <c r="R39" s="1003"/>
      <c r="S39" s="1003"/>
      <c r="T39" s="1027">
        <v>40844481</v>
      </c>
      <c r="U39" s="1027">
        <v>105803541</v>
      </c>
      <c r="V39" s="1047">
        <v>156907431.80000001</v>
      </c>
      <c r="W39" s="1047">
        <v>166191431</v>
      </c>
      <c r="X39" s="1047">
        <v>168956843</v>
      </c>
      <c r="Y39" s="1027">
        <v>169500940</v>
      </c>
      <c r="Z39" s="1055">
        <f t="shared" si="4"/>
        <v>169749455</v>
      </c>
      <c r="AA39" s="1055">
        <f t="shared" si="4"/>
        <v>169803294</v>
      </c>
      <c r="AB39" s="1055">
        <f t="shared" si="4"/>
        <v>170174394</v>
      </c>
      <c r="AC39" s="1052"/>
      <c r="AD39" s="1052"/>
      <c r="AE39" s="1029"/>
      <c r="AF39" s="1020"/>
      <c r="AG39" s="1031"/>
      <c r="AH39" s="1031"/>
      <c r="AI39" s="1031"/>
      <c r="AJ39" s="1031"/>
      <c r="AK39" s="1031"/>
      <c r="AL39" s="1031"/>
      <c r="AM39" s="1031"/>
      <c r="AN39" s="1031"/>
      <c r="AO39" s="1031"/>
      <c r="AP39" s="1031"/>
      <c r="AQ39" s="1031"/>
      <c r="AR39" s="1031"/>
      <c r="AS39" s="1031"/>
      <c r="AT39" s="1031"/>
      <c r="AU39" s="1031"/>
      <c r="AV39" s="1031"/>
      <c r="AW39" s="1031"/>
      <c r="AX39" s="1031"/>
      <c r="AY39" s="1031"/>
    </row>
    <row r="40" spans="1:51" ht="18" x14ac:dyDescent="0.25">
      <c r="A40" s="861"/>
      <c r="B40" s="861"/>
      <c r="C40" s="860" t="s">
        <v>226</v>
      </c>
      <c r="D40" s="620" t="s">
        <v>100</v>
      </c>
      <c r="E40" s="1002">
        <v>0.2</v>
      </c>
      <c r="F40" s="1002">
        <v>0.2</v>
      </c>
      <c r="G40" s="1002">
        <v>0.2</v>
      </c>
      <c r="H40" s="1002">
        <v>0.2</v>
      </c>
      <c r="I40" s="1002">
        <v>0.2</v>
      </c>
      <c r="J40" s="1002">
        <v>0.2</v>
      </c>
      <c r="K40" s="1002">
        <v>0.2</v>
      </c>
      <c r="L40" s="1002">
        <v>0.2</v>
      </c>
      <c r="M40" s="1002">
        <v>0.2</v>
      </c>
      <c r="N40" s="1002">
        <v>0.2</v>
      </c>
      <c r="O40" s="1002">
        <v>1.2</v>
      </c>
      <c r="P40" s="1003"/>
      <c r="Q40" s="1003"/>
      <c r="R40" s="1003"/>
      <c r="S40" s="1003"/>
      <c r="T40" s="1002">
        <v>0</v>
      </c>
      <c r="U40" s="1003">
        <v>0.02</v>
      </c>
      <c r="V40" s="1002">
        <v>0.04</v>
      </c>
      <c r="W40" s="1004">
        <v>0.05</v>
      </c>
      <c r="X40" s="1004">
        <v>7.0000000000000007E-2</v>
      </c>
      <c r="Y40" s="1004">
        <v>0.09</v>
      </c>
      <c r="Z40" s="1004">
        <v>0.11</v>
      </c>
      <c r="AA40" s="1032">
        <v>0.13</v>
      </c>
      <c r="AB40" s="1032">
        <v>0.14000000000000001</v>
      </c>
      <c r="AC40" s="1005"/>
      <c r="AD40" s="1048"/>
      <c r="AE40" s="1005"/>
      <c r="AF40" s="1020"/>
      <c r="AG40" s="1011" t="s">
        <v>227</v>
      </c>
      <c r="AH40" s="1011" t="s">
        <v>228</v>
      </c>
      <c r="AI40" s="1011" t="s">
        <v>199</v>
      </c>
      <c r="AJ40" s="1011"/>
      <c r="AK40" s="1011" t="s">
        <v>229</v>
      </c>
      <c r="AL40" s="1011" t="s">
        <v>230</v>
      </c>
      <c r="AM40" s="1011" t="s">
        <v>219</v>
      </c>
      <c r="AN40" s="1035">
        <v>165989</v>
      </c>
      <c r="AO40" s="1044">
        <v>78809</v>
      </c>
      <c r="AP40" s="1044">
        <v>87180</v>
      </c>
      <c r="AQ40" s="1044" t="s">
        <v>203</v>
      </c>
      <c r="AR40" s="1011" t="s">
        <v>203</v>
      </c>
      <c r="AS40" s="1011" t="s">
        <v>203</v>
      </c>
      <c r="AT40" s="1011" t="s">
        <v>203</v>
      </c>
      <c r="AU40" s="1011" t="s">
        <v>203</v>
      </c>
      <c r="AV40" s="1011" t="s">
        <v>203</v>
      </c>
      <c r="AW40" s="1011" t="s">
        <v>203</v>
      </c>
      <c r="AX40" s="1044" t="s">
        <v>231</v>
      </c>
      <c r="AY40" s="1015"/>
    </row>
    <row r="41" spans="1:51" ht="18" x14ac:dyDescent="0.25">
      <c r="A41" s="861"/>
      <c r="B41" s="861"/>
      <c r="C41" s="861"/>
      <c r="D41" s="625" t="s">
        <v>102</v>
      </c>
      <c r="E41" s="1003">
        <v>141616600</v>
      </c>
      <c r="F41" s="1003">
        <v>141616600</v>
      </c>
      <c r="G41" s="1003">
        <v>141616600</v>
      </c>
      <c r="H41" s="1003">
        <v>141616600</v>
      </c>
      <c r="I41" s="1003">
        <v>141616600</v>
      </c>
      <c r="J41" s="1003">
        <v>141616600</v>
      </c>
      <c r="K41" s="1003">
        <v>141616600</v>
      </c>
      <c r="L41" s="1003">
        <v>141616600</v>
      </c>
      <c r="M41" s="1003">
        <v>141616600</v>
      </c>
      <c r="N41" s="1003">
        <v>141616600</v>
      </c>
      <c r="O41" s="1003">
        <v>125585000</v>
      </c>
      <c r="P41" s="1003"/>
      <c r="Q41" s="1003"/>
      <c r="R41" s="1003"/>
      <c r="S41" s="1003"/>
      <c r="T41" s="1003">
        <v>4536200</v>
      </c>
      <c r="U41" s="1003">
        <v>63100200</v>
      </c>
      <c r="V41" s="1003">
        <v>111014800</v>
      </c>
      <c r="W41" s="1003">
        <v>118951000</v>
      </c>
      <c r="X41" s="1003">
        <v>118951000</v>
      </c>
      <c r="Y41" s="1003">
        <v>118951000</v>
      </c>
      <c r="Z41" s="1003">
        <v>118951000</v>
      </c>
      <c r="AA41" s="1003">
        <v>118951000</v>
      </c>
      <c r="AB41" s="1003">
        <v>118951000</v>
      </c>
      <c r="AC41" s="1003"/>
      <c r="AD41" s="1003"/>
      <c r="AE41" s="1051"/>
      <c r="AF41" s="1020"/>
      <c r="AG41" s="1020"/>
      <c r="AH41" s="1020"/>
      <c r="AI41" s="1020"/>
      <c r="AJ41" s="1020"/>
      <c r="AK41" s="1020"/>
      <c r="AL41" s="1020"/>
      <c r="AM41" s="1020"/>
      <c r="AN41" s="1020"/>
      <c r="AO41" s="1020"/>
      <c r="AP41" s="1020"/>
      <c r="AQ41" s="1020"/>
      <c r="AR41" s="1020"/>
      <c r="AS41" s="1020"/>
      <c r="AT41" s="1020"/>
      <c r="AU41" s="1020"/>
      <c r="AV41" s="1020"/>
      <c r="AW41" s="1020"/>
      <c r="AX41" s="1020"/>
      <c r="AY41" s="1020"/>
    </row>
    <row r="42" spans="1:51" ht="27" x14ac:dyDescent="0.25">
      <c r="A42" s="861"/>
      <c r="B42" s="861"/>
      <c r="C42" s="861"/>
      <c r="D42" s="620" t="s">
        <v>104</v>
      </c>
      <c r="E42" s="1002">
        <v>0</v>
      </c>
      <c r="F42" s="1002">
        <v>0</v>
      </c>
      <c r="G42" s="1002">
        <v>0</v>
      </c>
      <c r="H42" s="1003">
        <v>0</v>
      </c>
      <c r="I42" s="1002">
        <v>0</v>
      </c>
      <c r="J42" s="1002">
        <v>0</v>
      </c>
      <c r="K42" s="1002">
        <v>0</v>
      </c>
      <c r="L42" s="1002">
        <v>0</v>
      </c>
      <c r="M42" s="1002">
        <v>0</v>
      </c>
      <c r="N42" s="1002">
        <v>0</v>
      </c>
      <c r="O42" s="1002">
        <v>1</v>
      </c>
      <c r="P42" s="1003"/>
      <c r="Q42" s="1003"/>
      <c r="R42" s="1003"/>
      <c r="S42" s="1003"/>
      <c r="T42" s="1002">
        <v>0</v>
      </c>
      <c r="U42" s="1003">
        <v>0</v>
      </c>
      <c r="V42" s="1002">
        <v>0</v>
      </c>
      <c r="W42" s="1002">
        <v>0</v>
      </c>
      <c r="X42" s="1004">
        <v>0</v>
      </c>
      <c r="Y42" s="1004">
        <v>0</v>
      </c>
      <c r="Z42" s="1004">
        <v>0</v>
      </c>
      <c r="AA42" s="1038">
        <v>0</v>
      </c>
      <c r="AB42" s="1038">
        <v>0</v>
      </c>
      <c r="AC42" s="1005"/>
      <c r="AD42" s="1004"/>
      <c r="AE42" s="1021"/>
      <c r="AF42" s="1020"/>
      <c r="AG42" s="1020"/>
      <c r="AH42" s="1020"/>
      <c r="AI42" s="1020"/>
      <c r="AJ42" s="1020"/>
      <c r="AK42" s="1020"/>
      <c r="AL42" s="1020"/>
      <c r="AM42" s="1020"/>
      <c r="AN42" s="1020"/>
      <c r="AO42" s="1020"/>
      <c r="AP42" s="1020"/>
      <c r="AQ42" s="1020"/>
      <c r="AR42" s="1020"/>
      <c r="AS42" s="1020"/>
      <c r="AT42" s="1020"/>
      <c r="AU42" s="1020"/>
      <c r="AV42" s="1020"/>
      <c r="AW42" s="1020"/>
      <c r="AX42" s="1020"/>
      <c r="AY42" s="1020"/>
    </row>
    <row r="43" spans="1:51" ht="27" x14ac:dyDescent="0.25">
      <c r="A43" s="861"/>
      <c r="B43" s="861"/>
      <c r="C43" s="861"/>
      <c r="D43" s="621" t="s">
        <v>105</v>
      </c>
      <c r="E43" s="1003">
        <v>100151210</v>
      </c>
      <c r="F43" s="1003">
        <v>100151210</v>
      </c>
      <c r="G43" s="1003">
        <v>100151210</v>
      </c>
      <c r="H43" s="1003">
        <v>100151210</v>
      </c>
      <c r="I43" s="1003">
        <v>100151210</v>
      </c>
      <c r="J43" s="1003">
        <v>100151210</v>
      </c>
      <c r="K43" s="1003">
        <v>100151210</v>
      </c>
      <c r="L43" s="1003">
        <v>100151210</v>
      </c>
      <c r="M43" s="1003">
        <v>100151210</v>
      </c>
      <c r="N43" s="1003">
        <v>100151210</v>
      </c>
      <c r="O43" s="1003">
        <v>100151211</v>
      </c>
      <c r="P43" s="1003"/>
      <c r="Q43" s="1003"/>
      <c r="R43" s="1003"/>
      <c r="S43" s="1003"/>
      <c r="T43" s="1003">
        <v>36308281</v>
      </c>
      <c r="U43" s="1003">
        <v>42703341</v>
      </c>
      <c r="V43" s="1045">
        <v>45892631.799999997</v>
      </c>
      <c r="W43" s="1003">
        <v>47240431</v>
      </c>
      <c r="X43" s="1003">
        <v>50005843</v>
      </c>
      <c r="Y43" s="1003">
        <v>50549940</v>
      </c>
      <c r="Z43" s="1003">
        <v>50798455</v>
      </c>
      <c r="AA43" s="1022">
        <v>50852294</v>
      </c>
      <c r="AB43" s="1022">
        <v>51223394</v>
      </c>
      <c r="AC43" s="1005"/>
      <c r="AD43" s="1005"/>
      <c r="AE43" s="1050"/>
      <c r="AF43" s="1020"/>
      <c r="AG43" s="1020"/>
      <c r="AH43" s="1020"/>
      <c r="AI43" s="1020"/>
      <c r="AJ43" s="1020"/>
      <c r="AK43" s="1020"/>
      <c r="AL43" s="1020"/>
      <c r="AM43" s="1020"/>
      <c r="AN43" s="1020"/>
      <c r="AO43" s="1020"/>
      <c r="AP43" s="1020"/>
      <c r="AQ43" s="1020"/>
      <c r="AR43" s="1020"/>
      <c r="AS43" s="1020"/>
      <c r="AT43" s="1020"/>
      <c r="AU43" s="1020"/>
      <c r="AV43" s="1020"/>
      <c r="AW43" s="1020"/>
      <c r="AX43" s="1020"/>
      <c r="AY43" s="1020"/>
    </row>
    <row r="44" spans="1:51" ht="27" x14ac:dyDescent="0.25">
      <c r="A44" s="861"/>
      <c r="B44" s="861"/>
      <c r="C44" s="861"/>
      <c r="D44" s="620" t="s">
        <v>106</v>
      </c>
      <c r="E44" s="1002">
        <v>0.2</v>
      </c>
      <c r="F44" s="1002">
        <v>0.2</v>
      </c>
      <c r="G44" s="1002">
        <v>0.2</v>
      </c>
      <c r="H44" s="1002">
        <v>0.2</v>
      </c>
      <c r="I44" s="1002">
        <v>0.2</v>
      </c>
      <c r="J44" s="1002">
        <v>0.2</v>
      </c>
      <c r="K44" s="1002">
        <v>0.2</v>
      </c>
      <c r="L44" s="1002">
        <v>0.2</v>
      </c>
      <c r="M44" s="1002">
        <v>0.2</v>
      </c>
      <c r="N44" s="1002">
        <v>0.2</v>
      </c>
      <c r="O44" s="1002">
        <v>1.2</v>
      </c>
      <c r="P44" s="1003"/>
      <c r="Q44" s="1003"/>
      <c r="R44" s="1003"/>
      <c r="S44" s="1003"/>
      <c r="T44" s="1002">
        <v>0</v>
      </c>
      <c r="U44" s="1003">
        <v>0.02</v>
      </c>
      <c r="V44" s="1023">
        <v>0.04</v>
      </c>
      <c r="W44" s="1023">
        <v>0.05</v>
      </c>
      <c r="X44" s="1023">
        <v>7.0000000000000007E-2</v>
      </c>
      <c r="Y44" s="1023">
        <v>0.09</v>
      </c>
      <c r="Z44" s="1023">
        <f t="shared" ref="Z44:AB45" si="5">Z40+Z42</f>
        <v>0.11</v>
      </c>
      <c r="AA44" s="1023">
        <f t="shared" si="5"/>
        <v>0.13</v>
      </c>
      <c r="AB44" s="1023">
        <f t="shared" si="5"/>
        <v>0.14000000000000001</v>
      </c>
      <c r="AC44" s="1039"/>
      <c r="AD44" s="1039"/>
      <c r="AE44" s="1051"/>
      <c r="AF44" s="1020"/>
      <c r="AG44" s="1020"/>
      <c r="AH44" s="1020"/>
      <c r="AI44" s="1020"/>
      <c r="AJ44" s="1020"/>
      <c r="AK44" s="1020"/>
      <c r="AL44" s="1020"/>
      <c r="AM44" s="1020"/>
      <c r="AN44" s="1020"/>
      <c r="AO44" s="1020"/>
      <c r="AP44" s="1020"/>
      <c r="AQ44" s="1020"/>
      <c r="AR44" s="1020"/>
      <c r="AS44" s="1020"/>
      <c r="AT44" s="1020"/>
      <c r="AU44" s="1020"/>
      <c r="AV44" s="1020"/>
      <c r="AW44" s="1020"/>
      <c r="AX44" s="1020"/>
      <c r="AY44" s="1020"/>
    </row>
    <row r="45" spans="1:51" ht="27" x14ac:dyDescent="0.25">
      <c r="A45" s="861"/>
      <c r="B45" s="861"/>
      <c r="C45" s="862"/>
      <c r="D45" s="621" t="s">
        <v>107</v>
      </c>
      <c r="E45" s="1027">
        <v>241767810</v>
      </c>
      <c r="F45" s="1027">
        <v>241767810</v>
      </c>
      <c r="G45" s="1027">
        <v>241767810</v>
      </c>
      <c r="H45" s="1027">
        <v>241767810</v>
      </c>
      <c r="I45" s="1027">
        <v>241767810</v>
      </c>
      <c r="J45" s="1027">
        <v>241767810</v>
      </c>
      <c r="K45" s="1027">
        <v>241767810</v>
      </c>
      <c r="L45" s="1027">
        <v>241767810</v>
      </c>
      <c r="M45" s="1027">
        <f>M41+M43</f>
        <v>241767810</v>
      </c>
      <c r="N45" s="1027">
        <f>N41+N43</f>
        <v>241767810</v>
      </c>
      <c r="O45" s="1027">
        <f>O41+O43</f>
        <v>225736211</v>
      </c>
      <c r="P45" s="1003"/>
      <c r="Q45" s="1003"/>
      <c r="R45" s="1003"/>
      <c r="S45" s="1003"/>
      <c r="T45" s="1027">
        <v>40844481</v>
      </c>
      <c r="U45" s="1027">
        <v>105803541</v>
      </c>
      <c r="V45" s="1047">
        <v>156907431.80000001</v>
      </c>
      <c r="W45" s="1047">
        <v>166191431</v>
      </c>
      <c r="X45" s="1047">
        <v>168956843</v>
      </c>
      <c r="Y45" s="1027">
        <v>169500940</v>
      </c>
      <c r="Z45" s="1055">
        <f t="shared" si="5"/>
        <v>169749455</v>
      </c>
      <c r="AA45" s="1055">
        <f t="shared" si="5"/>
        <v>169803294</v>
      </c>
      <c r="AB45" s="1055">
        <f t="shared" si="5"/>
        <v>170174394</v>
      </c>
      <c r="AC45" s="1052"/>
      <c r="AD45" s="1052"/>
      <c r="AE45" s="1029"/>
      <c r="AF45" s="1020"/>
      <c r="AG45" s="1031"/>
      <c r="AH45" s="1031"/>
      <c r="AI45" s="1031"/>
      <c r="AJ45" s="1031"/>
      <c r="AK45" s="1031"/>
      <c r="AL45" s="1031"/>
      <c r="AM45" s="1031"/>
      <c r="AN45" s="1031"/>
      <c r="AO45" s="1031"/>
      <c r="AP45" s="1031"/>
      <c r="AQ45" s="1031"/>
      <c r="AR45" s="1031"/>
      <c r="AS45" s="1031"/>
      <c r="AT45" s="1031"/>
      <c r="AU45" s="1031"/>
      <c r="AV45" s="1031"/>
      <c r="AW45" s="1031"/>
      <c r="AX45" s="1031"/>
      <c r="AY45" s="1031"/>
    </row>
    <row r="46" spans="1:51" ht="18" x14ac:dyDescent="0.25">
      <c r="A46" s="861"/>
      <c r="B46" s="861"/>
      <c r="C46" s="860" t="s">
        <v>232</v>
      </c>
      <c r="D46" s="620" t="s">
        <v>100</v>
      </c>
      <c r="E46" s="1002">
        <v>0.2</v>
      </c>
      <c r="F46" s="1002">
        <v>0.2</v>
      </c>
      <c r="G46" s="1002">
        <v>0.2</v>
      </c>
      <c r="H46" s="1002">
        <v>0.2</v>
      </c>
      <c r="I46" s="1002">
        <v>0.2</v>
      </c>
      <c r="J46" s="1002">
        <v>0.2</v>
      </c>
      <c r="K46" s="1002">
        <v>0.2</v>
      </c>
      <c r="L46" s="1002">
        <v>0.2</v>
      </c>
      <c r="M46" s="1002">
        <v>0.2</v>
      </c>
      <c r="N46" s="1002">
        <v>0.2</v>
      </c>
      <c r="O46" s="1002">
        <v>1.2</v>
      </c>
      <c r="P46" s="1003"/>
      <c r="Q46" s="1003"/>
      <c r="R46" s="1003"/>
      <c r="S46" s="1003"/>
      <c r="T46" s="1002">
        <v>0</v>
      </c>
      <c r="U46" s="1003">
        <v>0.02</v>
      </c>
      <c r="V46" s="1002">
        <v>0.04</v>
      </c>
      <c r="W46" s="1004">
        <v>0.06</v>
      </c>
      <c r="X46" s="1004">
        <v>7.0000000000000007E-2</v>
      </c>
      <c r="Y46" s="1004">
        <v>0.09</v>
      </c>
      <c r="Z46" s="1004">
        <v>0.11</v>
      </c>
      <c r="AA46" s="1032">
        <v>0.12</v>
      </c>
      <c r="AB46" s="1032">
        <v>0.15</v>
      </c>
      <c r="AC46" s="1005"/>
      <c r="AD46" s="1048"/>
      <c r="AE46" s="1005"/>
      <c r="AF46" s="1020"/>
      <c r="AG46" s="1011" t="s">
        <v>233</v>
      </c>
      <c r="AH46" s="1011" t="s">
        <v>234</v>
      </c>
      <c r="AI46" s="1011" t="s">
        <v>199</v>
      </c>
      <c r="AJ46" s="1011"/>
      <c r="AK46" s="1011" t="s">
        <v>235</v>
      </c>
      <c r="AL46" s="1011" t="s">
        <v>236</v>
      </c>
      <c r="AM46" s="1011" t="s">
        <v>219</v>
      </c>
      <c r="AN46" s="1035">
        <v>1250684</v>
      </c>
      <c r="AO46" s="1044">
        <v>588830</v>
      </c>
      <c r="AP46" s="1044">
        <v>661854</v>
      </c>
      <c r="AQ46" s="1044" t="s">
        <v>203</v>
      </c>
      <c r="AR46" s="1011" t="s">
        <v>203</v>
      </c>
      <c r="AS46" s="1011" t="s">
        <v>203</v>
      </c>
      <c r="AT46" s="1011" t="s">
        <v>203</v>
      </c>
      <c r="AU46" s="1011" t="s">
        <v>203</v>
      </c>
      <c r="AV46" s="1011" t="s">
        <v>203</v>
      </c>
      <c r="AW46" s="1011" t="s">
        <v>203</v>
      </c>
      <c r="AX46" s="1044" t="s">
        <v>237</v>
      </c>
      <c r="AY46" s="1015"/>
    </row>
    <row r="47" spans="1:51" ht="18" x14ac:dyDescent="0.25">
      <c r="A47" s="861"/>
      <c r="B47" s="861"/>
      <c r="C47" s="861"/>
      <c r="D47" s="621" t="s">
        <v>102</v>
      </c>
      <c r="E47" s="1003">
        <v>141616600</v>
      </c>
      <c r="F47" s="1003">
        <v>141616600</v>
      </c>
      <c r="G47" s="1003">
        <v>141616600</v>
      </c>
      <c r="H47" s="1003">
        <v>141616600</v>
      </c>
      <c r="I47" s="1003">
        <v>141616600</v>
      </c>
      <c r="J47" s="1003">
        <v>141616600</v>
      </c>
      <c r="K47" s="1003">
        <v>141616600</v>
      </c>
      <c r="L47" s="1003">
        <v>141616600</v>
      </c>
      <c r="M47" s="1003">
        <v>141616600</v>
      </c>
      <c r="N47" s="1003">
        <v>141616600</v>
      </c>
      <c r="O47" s="1003">
        <v>125585000</v>
      </c>
      <c r="P47" s="1003"/>
      <c r="Q47" s="1003"/>
      <c r="R47" s="1003"/>
      <c r="S47" s="1003"/>
      <c r="T47" s="1003">
        <v>4536200</v>
      </c>
      <c r="U47" s="1003">
        <v>63100200</v>
      </c>
      <c r="V47" s="1003">
        <v>111014800</v>
      </c>
      <c r="W47" s="1003">
        <v>118951000</v>
      </c>
      <c r="X47" s="1003">
        <v>118951000</v>
      </c>
      <c r="Y47" s="1003">
        <v>118951000</v>
      </c>
      <c r="Z47" s="1003">
        <v>118951000</v>
      </c>
      <c r="AA47" s="1003">
        <v>118951000</v>
      </c>
      <c r="AB47" s="1003">
        <v>118951000</v>
      </c>
      <c r="AC47" s="1003"/>
      <c r="AD47" s="1003"/>
      <c r="AE47" s="1053"/>
      <c r="AF47" s="1020"/>
      <c r="AG47" s="1020"/>
      <c r="AH47" s="1020"/>
      <c r="AI47" s="1020"/>
      <c r="AJ47" s="1020"/>
      <c r="AK47" s="1020"/>
      <c r="AL47" s="1020"/>
      <c r="AM47" s="1020"/>
      <c r="AN47" s="1020"/>
      <c r="AO47" s="1020"/>
      <c r="AP47" s="1020"/>
      <c r="AQ47" s="1020"/>
      <c r="AR47" s="1020"/>
      <c r="AS47" s="1020"/>
      <c r="AT47" s="1020"/>
      <c r="AU47" s="1020"/>
      <c r="AV47" s="1020"/>
      <c r="AW47" s="1020"/>
      <c r="AX47" s="1020"/>
      <c r="AY47" s="1020"/>
    </row>
    <row r="48" spans="1:51" ht="27" x14ac:dyDescent="0.25">
      <c r="A48" s="861"/>
      <c r="B48" s="861"/>
      <c r="C48" s="861"/>
      <c r="D48" s="620" t="s">
        <v>104</v>
      </c>
      <c r="E48" s="1002">
        <v>0</v>
      </c>
      <c r="F48" s="1002">
        <v>0</v>
      </c>
      <c r="G48" s="1002">
        <v>0</v>
      </c>
      <c r="H48" s="1003">
        <v>0</v>
      </c>
      <c r="I48" s="1002">
        <v>0</v>
      </c>
      <c r="J48" s="1002">
        <v>0</v>
      </c>
      <c r="K48" s="1002">
        <v>0</v>
      </c>
      <c r="L48" s="1002">
        <v>0</v>
      </c>
      <c r="M48" s="1002">
        <v>0</v>
      </c>
      <c r="N48" s="1002">
        <v>0</v>
      </c>
      <c r="O48" s="1002">
        <v>1</v>
      </c>
      <c r="P48" s="1003"/>
      <c r="Q48" s="1003"/>
      <c r="R48" s="1003"/>
      <c r="S48" s="1003"/>
      <c r="T48" s="1002">
        <v>0</v>
      </c>
      <c r="U48" s="1003">
        <v>0</v>
      </c>
      <c r="V48" s="1002">
        <v>0</v>
      </c>
      <c r="W48" s="1002">
        <v>0</v>
      </c>
      <c r="X48" s="1004">
        <v>0</v>
      </c>
      <c r="Y48" s="1004">
        <v>0</v>
      </c>
      <c r="Z48" s="1004">
        <v>0</v>
      </c>
      <c r="AA48" s="1038">
        <v>0</v>
      </c>
      <c r="AB48" s="1038">
        <v>0</v>
      </c>
      <c r="AC48" s="1005"/>
      <c r="AD48" s="1004"/>
      <c r="AE48" s="1056"/>
      <c r="AF48" s="1020"/>
      <c r="AG48" s="1020"/>
      <c r="AH48" s="1020"/>
      <c r="AI48" s="1020"/>
      <c r="AJ48" s="1020"/>
      <c r="AK48" s="1020"/>
      <c r="AL48" s="1020"/>
      <c r="AM48" s="1020"/>
      <c r="AN48" s="1020"/>
      <c r="AO48" s="1020"/>
      <c r="AP48" s="1020"/>
      <c r="AQ48" s="1020"/>
      <c r="AR48" s="1020"/>
      <c r="AS48" s="1020"/>
      <c r="AT48" s="1020"/>
      <c r="AU48" s="1020"/>
      <c r="AV48" s="1020"/>
      <c r="AW48" s="1020"/>
      <c r="AX48" s="1020"/>
      <c r="AY48" s="1020"/>
    </row>
    <row r="49" spans="1:53" ht="27" x14ac:dyDescent="0.25">
      <c r="A49" s="861"/>
      <c r="B49" s="861"/>
      <c r="C49" s="861"/>
      <c r="D49" s="621" t="s">
        <v>105</v>
      </c>
      <c r="E49" s="1003">
        <v>100151210</v>
      </c>
      <c r="F49" s="1003">
        <v>100151210</v>
      </c>
      <c r="G49" s="1003">
        <v>100151210</v>
      </c>
      <c r="H49" s="1003">
        <v>100151210</v>
      </c>
      <c r="I49" s="1003">
        <v>100151210</v>
      </c>
      <c r="J49" s="1003">
        <v>100151210</v>
      </c>
      <c r="K49" s="1003">
        <v>100151210</v>
      </c>
      <c r="L49" s="1003">
        <v>100151210</v>
      </c>
      <c r="M49" s="1003">
        <v>100151210</v>
      </c>
      <c r="N49" s="1003">
        <v>100151210</v>
      </c>
      <c r="O49" s="1003">
        <v>100151211</v>
      </c>
      <c r="P49" s="1003"/>
      <c r="Q49" s="1003"/>
      <c r="R49" s="1003"/>
      <c r="S49" s="1003"/>
      <c r="T49" s="1003">
        <v>36308281</v>
      </c>
      <c r="U49" s="1003">
        <v>42703341</v>
      </c>
      <c r="V49" s="1045">
        <v>45892631.799999997</v>
      </c>
      <c r="W49" s="1003">
        <v>47240430</v>
      </c>
      <c r="X49" s="1003">
        <v>50005843</v>
      </c>
      <c r="Y49" s="1003">
        <v>50549940</v>
      </c>
      <c r="Z49" s="1003">
        <v>50798455</v>
      </c>
      <c r="AA49" s="1022">
        <v>50852294</v>
      </c>
      <c r="AB49" s="1022">
        <v>51223394</v>
      </c>
      <c r="AC49" s="1005"/>
      <c r="AD49" s="1005"/>
      <c r="AE49" s="1050"/>
      <c r="AF49" s="1020"/>
      <c r="AG49" s="1020"/>
      <c r="AH49" s="1020"/>
      <c r="AI49" s="1020"/>
      <c r="AJ49" s="1020"/>
      <c r="AK49" s="1020"/>
      <c r="AL49" s="1020"/>
      <c r="AM49" s="1020"/>
      <c r="AN49" s="1020"/>
      <c r="AO49" s="1020"/>
      <c r="AP49" s="1020"/>
      <c r="AQ49" s="1020"/>
      <c r="AR49" s="1020"/>
      <c r="AS49" s="1020"/>
      <c r="AT49" s="1020"/>
      <c r="AU49" s="1020"/>
      <c r="AV49" s="1020"/>
      <c r="AW49" s="1020"/>
      <c r="AX49" s="1020"/>
      <c r="AY49" s="1020"/>
    </row>
    <row r="50" spans="1:53" ht="27" x14ac:dyDescent="0.25">
      <c r="A50" s="861"/>
      <c r="B50" s="861"/>
      <c r="C50" s="861"/>
      <c r="D50" s="620" t="s">
        <v>106</v>
      </c>
      <c r="E50" s="1002">
        <v>0.2</v>
      </c>
      <c r="F50" s="1002">
        <v>0.2</v>
      </c>
      <c r="G50" s="1002">
        <v>0.2</v>
      </c>
      <c r="H50" s="1002">
        <v>0.2</v>
      </c>
      <c r="I50" s="1002">
        <v>0.2</v>
      </c>
      <c r="J50" s="1002">
        <v>0.2</v>
      </c>
      <c r="K50" s="1002">
        <v>0.2</v>
      </c>
      <c r="L50" s="1002">
        <v>0.2</v>
      </c>
      <c r="M50" s="1002">
        <v>0.2</v>
      </c>
      <c r="N50" s="1002">
        <v>0.2</v>
      </c>
      <c r="O50" s="1002">
        <v>1.2</v>
      </c>
      <c r="P50" s="1003"/>
      <c r="Q50" s="1003"/>
      <c r="R50" s="1003"/>
      <c r="S50" s="1003"/>
      <c r="T50" s="1002">
        <v>0</v>
      </c>
      <c r="U50" s="1003">
        <v>0.02</v>
      </c>
      <c r="V50" s="1023">
        <v>0.04</v>
      </c>
      <c r="W50" s="1023">
        <v>0.06</v>
      </c>
      <c r="X50" s="1023">
        <v>7.0000000000000007E-2</v>
      </c>
      <c r="Y50" s="1023">
        <v>0.09</v>
      </c>
      <c r="Z50" s="1023">
        <f t="shared" ref="Z50:AB51" si="6">Z46+Z48</f>
        <v>0.11</v>
      </c>
      <c r="AA50" s="1023">
        <f t="shared" si="6"/>
        <v>0.12</v>
      </c>
      <c r="AB50" s="1023">
        <f t="shared" si="6"/>
        <v>0.15</v>
      </c>
      <c r="AC50" s="1039"/>
      <c r="AD50" s="1039"/>
      <c r="AE50" s="1051"/>
      <c r="AF50" s="1020"/>
      <c r="AG50" s="1020"/>
      <c r="AH50" s="1020"/>
      <c r="AI50" s="1020"/>
      <c r="AJ50" s="1020"/>
      <c r="AK50" s="1020"/>
      <c r="AL50" s="1020"/>
      <c r="AM50" s="1020"/>
      <c r="AN50" s="1020"/>
      <c r="AO50" s="1020"/>
      <c r="AP50" s="1020"/>
      <c r="AQ50" s="1020"/>
      <c r="AR50" s="1020"/>
      <c r="AS50" s="1020"/>
      <c r="AT50" s="1020"/>
      <c r="AU50" s="1020"/>
      <c r="AV50" s="1020"/>
      <c r="AW50" s="1020"/>
      <c r="AX50" s="1020"/>
      <c r="AY50" s="1020"/>
    </row>
    <row r="51" spans="1:53" ht="27" x14ac:dyDescent="0.25">
      <c r="A51" s="861"/>
      <c r="B51" s="861"/>
      <c r="C51" s="862"/>
      <c r="D51" s="621" t="s">
        <v>107</v>
      </c>
      <c r="E51" s="1027">
        <v>241767810</v>
      </c>
      <c r="F51" s="1027">
        <v>241767810</v>
      </c>
      <c r="G51" s="1027">
        <v>241767810</v>
      </c>
      <c r="H51" s="1027">
        <v>241767810</v>
      </c>
      <c r="I51" s="1027">
        <v>241767810</v>
      </c>
      <c r="J51" s="1027">
        <v>241767810</v>
      </c>
      <c r="K51" s="1027">
        <v>241767810</v>
      </c>
      <c r="L51" s="1027">
        <v>241767810</v>
      </c>
      <c r="M51" s="1027">
        <f>M47+M49</f>
        <v>241767810</v>
      </c>
      <c r="N51" s="1027">
        <f>N47+N49</f>
        <v>241767810</v>
      </c>
      <c r="O51" s="1027">
        <f>O47+O49</f>
        <v>225736211</v>
      </c>
      <c r="P51" s="1003"/>
      <c r="Q51" s="1003"/>
      <c r="R51" s="1003"/>
      <c r="S51" s="1003"/>
      <c r="T51" s="1027">
        <v>40844481</v>
      </c>
      <c r="U51" s="1027">
        <v>105803541</v>
      </c>
      <c r="V51" s="1047">
        <v>156907431.80000001</v>
      </c>
      <c r="W51" s="1047">
        <v>166191430</v>
      </c>
      <c r="X51" s="1047">
        <v>168956843</v>
      </c>
      <c r="Y51" s="1027">
        <v>169500940</v>
      </c>
      <c r="Z51" s="1055">
        <f t="shared" si="6"/>
        <v>169749455</v>
      </c>
      <c r="AA51" s="1055">
        <f t="shared" si="6"/>
        <v>169803294</v>
      </c>
      <c r="AB51" s="1055">
        <f t="shared" si="6"/>
        <v>170174394</v>
      </c>
      <c r="AC51" s="1052"/>
      <c r="AD51" s="1052"/>
      <c r="AE51" s="1029"/>
      <c r="AF51" s="1020"/>
      <c r="AG51" s="1031"/>
      <c r="AH51" s="1031"/>
      <c r="AI51" s="1031"/>
      <c r="AJ51" s="1031"/>
      <c r="AK51" s="1031"/>
      <c r="AL51" s="1031"/>
      <c r="AM51" s="1031"/>
      <c r="AN51" s="1031"/>
      <c r="AO51" s="1031"/>
      <c r="AP51" s="1031"/>
      <c r="AQ51" s="1031"/>
      <c r="AR51" s="1031"/>
      <c r="AS51" s="1031"/>
      <c r="AT51" s="1031"/>
      <c r="AU51" s="1031"/>
      <c r="AV51" s="1031"/>
      <c r="AW51" s="1031"/>
      <c r="AX51" s="1031"/>
      <c r="AY51" s="1031"/>
    </row>
    <row r="52" spans="1:53" ht="18" x14ac:dyDescent="0.25">
      <c r="A52" s="861"/>
      <c r="B52" s="861"/>
      <c r="C52" s="860" t="s">
        <v>238</v>
      </c>
      <c r="D52" s="620" t="s">
        <v>100</v>
      </c>
      <c r="E52" s="1002">
        <v>0.2</v>
      </c>
      <c r="F52" s="1002">
        <v>0.2</v>
      </c>
      <c r="G52" s="1002">
        <v>0.2</v>
      </c>
      <c r="H52" s="1002">
        <v>0.2</v>
      </c>
      <c r="I52" s="1002">
        <v>0.2</v>
      </c>
      <c r="J52" s="1002">
        <v>0.2</v>
      </c>
      <c r="K52" s="1002">
        <v>0.2</v>
      </c>
      <c r="L52" s="1002">
        <v>0.2</v>
      </c>
      <c r="M52" s="1002">
        <v>0.2</v>
      </c>
      <c r="N52" s="1002">
        <v>0.2</v>
      </c>
      <c r="O52" s="1002">
        <v>1.2</v>
      </c>
      <c r="P52" s="1003"/>
      <c r="Q52" s="1003"/>
      <c r="R52" s="1003"/>
      <c r="S52" s="1003"/>
      <c r="T52" s="1002">
        <v>0</v>
      </c>
      <c r="U52" s="1003">
        <v>0.01</v>
      </c>
      <c r="V52" s="1002">
        <v>0.02</v>
      </c>
      <c r="W52" s="1004">
        <v>0.06</v>
      </c>
      <c r="X52" s="1004">
        <v>0.08</v>
      </c>
      <c r="Y52" s="1004">
        <v>0.09</v>
      </c>
      <c r="Z52" s="1004">
        <v>0.1</v>
      </c>
      <c r="AA52" s="1032">
        <v>0.12</v>
      </c>
      <c r="AB52" s="1032">
        <v>0.15</v>
      </c>
      <c r="AC52" s="1005"/>
      <c r="AD52" s="1048"/>
      <c r="AE52" s="1027"/>
      <c r="AF52" s="1020"/>
      <c r="AG52" s="1011" t="s">
        <v>552</v>
      </c>
      <c r="AH52" s="1011" t="s">
        <v>239</v>
      </c>
      <c r="AI52" s="1011" t="s">
        <v>240</v>
      </c>
      <c r="AJ52" s="1011"/>
      <c r="AK52" s="1011" t="s">
        <v>241</v>
      </c>
      <c r="AL52" s="1011" t="s">
        <v>242</v>
      </c>
      <c r="AM52" s="1011" t="s">
        <v>219</v>
      </c>
      <c r="AN52" s="1035">
        <v>2669864</v>
      </c>
      <c r="AO52" s="1044">
        <v>1287152</v>
      </c>
      <c r="AP52" s="1044">
        <v>1382712</v>
      </c>
      <c r="AQ52" s="1044" t="s">
        <v>203</v>
      </c>
      <c r="AR52" s="1011" t="s">
        <v>203</v>
      </c>
      <c r="AS52" s="1011" t="s">
        <v>203</v>
      </c>
      <c r="AT52" s="1011" t="s">
        <v>203</v>
      </c>
      <c r="AU52" s="1011" t="s">
        <v>203</v>
      </c>
      <c r="AV52" s="1011" t="s">
        <v>203</v>
      </c>
      <c r="AW52" s="1011" t="s">
        <v>203</v>
      </c>
      <c r="AX52" s="1011" t="s">
        <v>203</v>
      </c>
      <c r="AY52" s="1011"/>
    </row>
    <row r="53" spans="1:53" ht="18" x14ac:dyDescent="0.25">
      <c r="A53" s="861"/>
      <c r="B53" s="861"/>
      <c r="C53" s="861"/>
      <c r="D53" s="621" t="s">
        <v>102</v>
      </c>
      <c r="E53" s="1003">
        <v>141616600</v>
      </c>
      <c r="F53" s="1003">
        <v>141616600</v>
      </c>
      <c r="G53" s="1003">
        <v>141616600</v>
      </c>
      <c r="H53" s="1003">
        <v>141616600</v>
      </c>
      <c r="I53" s="1003">
        <v>141616600</v>
      </c>
      <c r="J53" s="1003">
        <v>141616600</v>
      </c>
      <c r="K53" s="1003">
        <v>141616600</v>
      </c>
      <c r="L53" s="1003">
        <v>141616600</v>
      </c>
      <c r="M53" s="1003">
        <v>141616600</v>
      </c>
      <c r="N53" s="1003">
        <v>141616600</v>
      </c>
      <c r="O53" s="1003">
        <v>125585000</v>
      </c>
      <c r="P53" s="1003"/>
      <c r="Q53" s="1003"/>
      <c r="R53" s="1003"/>
      <c r="S53" s="1003"/>
      <c r="T53" s="1003">
        <v>4536200</v>
      </c>
      <c r="U53" s="1003">
        <v>63100200</v>
      </c>
      <c r="V53" s="1003">
        <v>111014800</v>
      </c>
      <c r="W53" s="1003">
        <v>118951000</v>
      </c>
      <c r="X53" s="1003">
        <v>118951000</v>
      </c>
      <c r="Y53" s="1003">
        <v>118951000</v>
      </c>
      <c r="Z53" s="1003">
        <v>118951000</v>
      </c>
      <c r="AA53" s="1003">
        <v>118951000</v>
      </c>
      <c r="AB53" s="1003">
        <v>118951000</v>
      </c>
      <c r="AC53" s="1003"/>
      <c r="AD53" s="1003"/>
      <c r="AE53" s="1029"/>
      <c r="AF53" s="1020"/>
      <c r="AG53" s="1020"/>
      <c r="AH53" s="1020"/>
      <c r="AI53" s="1020"/>
      <c r="AJ53" s="1020"/>
      <c r="AK53" s="1020"/>
      <c r="AL53" s="1020"/>
      <c r="AM53" s="1020"/>
      <c r="AN53" s="1020"/>
      <c r="AO53" s="1020"/>
      <c r="AP53" s="1020"/>
      <c r="AQ53" s="1020"/>
      <c r="AR53" s="1020"/>
      <c r="AS53" s="1020"/>
      <c r="AT53" s="1020"/>
      <c r="AU53" s="1020"/>
      <c r="AV53" s="1020"/>
      <c r="AW53" s="1020"/>
      <c r="AX53" s="1020"/>
      <c r="AY53" s="1020"/>
    </row>
    <row r="54" spans="1:53" ht="27" x14ac:dyDescent="0.25">
      <c r="A54" s="861"/>
      <c r="B54" s="861"/>
      <c r="C54" s="861"/>
      <c r="D54" s="620" t="s">
        <v>104</v>
      </c>
      <c r="E54" s="1002">
        <v>0</v>
      </c>
      <c r="F54" s="1002">
        <v>0</v>
      </c>
      <c r="G54" s="1002">
        <v>0</v>
      </c>
      <c r="H54" s="1002">
        <v>0</v>
      </c>
      <c r="I54" s="1002">
        <v>0</v>
      </c>
      <c r="J54" s="1002">
        <v>0</v>
      </c>
      <c r="K54" s="1002">
        <v>0</v>
      </c>
      <c r="L54" s="1002">
        <v>0</v>
      </c>
      <c r="M54" s="1002">
        <v>0</v>
      </c>
      <c r="N54" s="1002">
        <v>0</v>
      </c>
      <c r="O54" s="1002">
        <v>1</v>
      </c>
      <c r="P54" s="1003"/>
      <c r="Q54" s="1003"/>
      <c r="R54" s="1003"/>
      <c r="S54" s="1003"/>
      <c r="T54" s="1002">
        <v>0</v>
      </c>
      <c r="U54" s="1002">
        <v>0</v>
      </c>
      <c r="V54" s="1002">
        <v>0</v>
      </c>
      <c r="W54" s="1002">
        <v>0</v>
      </c>
      <c r="X54" s="1004">
        <v>0</v>
      </c>
      <c r="Y54" s="1004">
        <v>0</v>
      </c>
      <c r="Z54" s="1004">
        <v>0</v>
      </c>
      <c r="AA54" s="1038">
        <v>0</v>
      </c>
      <c r="AB54" s="1038">
        <v>0</v>
      </c>
      <c r="AC54" s="1005"/>
      <c r="AD54" s="1057"/>
      <c r="AE54" s="1029"/>
      <c r="AF54" s="1020"/>
      <c r="AG54" s="1020"/>
      <c r="AH54" s="1020"/>
      <c r="AI54" s="1020"/>
      <c r="AJ54" s="1020"/>
      <c r="AK54" s="1020"/>
      <c r="AL54" s="1020"/>
      <c r="AM54" s="1020"/>
      <c r="AN54" s="1020"/>
      <c r="AO54" s="1020"/>
      <c r="AP54" s="1020"/>
      <c r="AQ54" s="1020"/>
      <c r="AR54" s="1020"/>
      <c r="AS54" s="1020"/>
      <c r="AT54" s="1020"/>
      <c r="AU54" s="1020"/>
      <c r="AV54" s="1020"/>
      <c r="AW54" s="1020"/>
      <c r="AX54" s="1020"/>
      <c r="AY54" s="1020"/>
    </row>
    <row r="55" spans="1:53" ht="27" x14ac:dyDescent="0.25">
      <c r="A55" s="861"/>
      <c r="B55" s="861"/>
      <c r="C55" s="861"/>
      <c r="D55" s="621" t="s">
        <v>105</v>
      </c>
      <c r="E55" s="1003">
        <v>100151211</v>
      </c>
      <c r="F55" s="1003">
        <v>100151211</v>
      </c>
      <c r="G55" s="1003">
        <v>100151211</v>
      </c>
      <c r="H55" s="1003">
        <v>100151211</v>
      </c>
      <c r="I55" s="1003">
        <v>100151211</v>
      </c>
      <c r="J55" s="1003">
        <v>100151211</v>
      </c>
      <c r="K55" s="1003">
        <v>100151211</v>
      </c>
      <c r="L55" s="1003">
        <v>100151211</v>
      </c>
      <c r="M55" s="1003">
        <v>100151211</v>
      </c>
      <c r="N55" s="1003">
        <v>100151211</v>
      </c>
      <c r="O55" s="1003">
        <v>100151212</v>
      </c>
      <c r="P55" s="1003"/>
      <c r="Q55" s="1003"/>
      <c r="R55" s="1003"/>
      <c r="S55" s="1003"/>
      <c r="T55" s="1003">
        <v>36308280</v>
      </c>
      <c r="U55" s="1003">
        <v>42703340</v>
      </c>
      <c r="V55" s="1045">
        <v>45892631.799999997</v>
      </c>
      <c r="W55" s="1003">
        <v>47240430</v>
      </c>
      <c r="X55" s="1003">
        <v>50005846</v>
      </c>
      <c r="Y55" s="1003">
        <v>50549942</v>
      </c>
      <c r="Z55" s="1003">
        <v>50798455</v>
      </c>
      <c r="AA55" s="1022">
        <v>50852294</v>
      </c>
      <c r="AB55" s="1022">
        <v>51223394</v>
      </c>
      <c r="AC55" s="1022"/>
      <c r="AD55" s="1022"/>
      <c r="AE55" s="1029"/>
      <c r="AF55" s="1020"/>
      <c r="AG55" s="1020"/>
      <c r="AH55" s="1020"/>
      <c r="AI55" s="1020"/>
      <c r="AJ55" s="1020"/>
      <c r="AK55" s="1020"/>
      <c r="AL55" s="1020"/>
      <c r="AM55" s="1020"/>
      <c r="AN55" s="1020"/>
      <c r="AO55" s="1020"/>
      <c r="AP55" s="1020"/>
      <c r="AQ55" s="1020"/>
      <c r="AR55" s="1020"/>
      <c r="AS55" s="1020"/>
      <c r="AT55" s="1020"/>
      <c r="AU55" s="1020"/>
      <c r="AV55" s="1020"/>
      <c r="AW55" s="1020"/>
      <c r="AX55" s="1020"/>
      <c r="AY55" s="1020"/>
    </row>
    <row r="56" spans="1:53" ht="27" x14ac:dyDescent="0.25">
      <c r="A56" s="861"/>
      <c r="B56" s="861"/>
      <c r="C56" s="861"/>
      <c r="D56" s="620" t="s">
        <v>106</v>
      </c>
      <c r="E56" s="1002">
        <v>0.2</v>
      </c>
      <c r="F56" s="1002">
        <v>0.2</v>
      </c>
      <c r="G56" s="1002">
        <v>0.2</v>
      </c>
      <c r="H56" s="1002">
        <v>0.2</v>
      </c>
      <c r="I56" s="1002">
        <v>0.2</v>
      </c>
      <c r="J56" s="1002">
        <v>0.2</v>
      </c>
      <c r="K56" s="1002">
        <v>0.2</v>
      </c>
      <c r="L56" s="1002">
        <v>0.2</v>
      </c>
      <c r="M56" s="1002">
        <v>0.2</v>
      </c>
      <c r="N56" s="1002">
        <v>0.2</v>
      </c>
      <c r="O56" s="1002">
        <v>1.2</v>
      </c>
      <c r="P56" s="1003"/>
      <c r="Q56" s="1003"/>
      <c r="R56" s="1003"/>
      <c r="S56" s="1003"/>
      <c r="T56" s="1002">
        <v>0</v>
      </c>
      <c r="U56" s="1002">
        <v>0.01</v>
      </c>
      <c r="V56" s="1023">
        <v>0.02</v>
      </c>
      <c r="W56" s="1023">
        <v>0.06</v>
      </c>
      <c r="X56" s="1023">
        <v>0.08</v>
      </c>
      <c r="Y56" s="1023">
        <v>0.09</v>
      </c>
      <c r="Z56" s="1023">
        <f t="shared" ref="Z56:AB57" si="7">Z52+Z54</f>
        <v>0.1</v>
      </c>
      <c r="AA56" s="1023">
        <f t="shared" si="7"/>
        <v>0.12</v>
      </c>
      <c r="AB56" s="1023">
        <f t="shared" si="7"/>
        <v>0.15</v>
      </c>
      <c r="AC56" s="1039"/>
      <c r="AD56" s="1039"/>
      <c r="AE56" s="1029"/>
      <c r="AF56" s="1020"/>
      <c r="AG56" s="1020"/>
      <c r="AH56" s="1020"/>
      <c r="AI56" s="1020"/>
      <c r="AJ56" s="1020"/>
      <c r="AK56" s="1020"/>
      <c r="AL56" s="1020"/>
      <c r="AM56" s="1020"/>
      <c r="AN56" s="1020"/>
      <c r="AO56" s="1020"/>
      <c r="AP56" s="1020"/>
      <c r="AQ56" s="1020"/>
      <c r="AR56" s="1020"/>
      <c r="AS56" s="1020"/>
      <c r="AT56" s="1020"/>
      <c r="AU56" s="1020"/>
      <c r="AV56" s="1020"/>
      <c r="AW56" s="1020"/>
      <c r="AX56" s="1020"/>
      <c r="AY56" s="1020"/>
    </row>
    <row r="57" spans="1:53" ht="27" x14ac:dyDescent="0.25">
      <c r="A57" s="862"/>
      <c r="B57" s="862"/>
      <c r="C57" s="862"/>
      <c r="D57" s="621" t="s">
        <v>107</v>
      </c>
      <c r="E57" s="1027">
        <v>241767811</v>
      </c>
      <c r="F57" s="1027">
        <v>241767811</v>
      </c>
      <c r="G57" s="1027">
        <v>241767811</v>
      </c>
      <c r="H57" s="1023">
        <v>0</v>
      </c>
      <c r="I57" s="1027">
        <v>0</v>
      </c>
      <c r="J57" s="1027">
        <v>241767811</v>
      </c>
      <c r="K57" s="1027">
        <v>241767811</v>
      </c>
      <c r="L57" s="1027">
        <v>241767811</v>
      </c>
      <c r="M57" s="1027">
        <f>M53+M55</f>
        <v>241767811</v>
      </c>
      <c r="N57" s="1027">
        <f>N53+N55</f>
        <v>241767811</v>
      </c>
      <c r="O57" s="1027">
        <f>O53+O55</f>
        <v>225736212</v>
      </c>
      <c r="P57" s="1003"/>
      <c r="Q57" s="1003"/>
      <c r="R57" s="1003"/>
      <c r="S57" s="1003"/>
      <c r="T57" s="1027">
        <v>40844480</v>
      </c>
      <c r="U57" s="1027">
        <v>105803540</v>
      </c>
      <c r="V57" s="1047">
        <v>156907431.80000001</v>
      </c>
      <c r="W57" s="1047">
        <v>166191430</v>
      </c>
      <c r="X57" s="1047">
        <v>168956846</v>
      </c>
      <c r="Y57" s="1027">
        <v>169500942</v>
      </c>
      <c r="Z57" s="1055">
        <f t="shared" si="7"/>
        <v>169749455</v>
      </c>
      <c r="AA57" s="1055">
        <f t="shared" si="7"/>
        <v>169803294</v>
      </c>
      <c r="AB57" s="1055">
        <f t="shared" si="7"/>
        <v>170174394</v>
      </c>
      <c r="AC57" s="1052"/>
      <c r="AD57" s="1052"/>
      <c r="AE57" s="1029"/>
      <c r="AF57" s="1020"/>
      <c r="AG57" s="1020"/>
      <c r="AH57" s="1020"/>
      <c r="AI57" s="1031"/>
      <c r="AJ57" s="1020"/>
      <c r="AK57" s="1020"/>
      <c r="AL57" s="1020"/>
      <c r="AM57" s="1031"/>
      <c r="AN57" s="1031"/>
      <c r="AO57" s="1031"/>
      <c r="AP57" s="1031"/>
      <c r="AQ57" s="1031"/>
      <c r="AR57" s="1031"/>
      <c r="AS57" s="1031"/>
      <c r="AT57" s="1031"/>
      <c r="AU57" s="1031"/>
      <c r="AV57" s="1031"/>
      <c r="AW57" s="1031"/>
      <c r="AX57" s="1031"/>
      <c r="AY57" s="1020"/>
    </row>
    <row r="58" spans="1:53" ht="18" x14ac:dyDescent="0.25">
      <c r="A58" s="863"/>
      <c r="B58" s="864"/>
      <c r="C58" s="865" t="s">
        <v>243</v>
      </c>
      <c r="D58" s="620" t="s">
        <v>100</v>
      </c>
      <c r="E58" s="1023">
        <v>1</v>
      </c>
      <c r="F58" s="1023">
        <v>1</v>
      </c>
      <c r="G58" s="1023">
        <v>1</v>
      </c>
      <c r="H58" s="1023">
        <v>1</v>
      </c>
      <c r="I58" s="1023">
        <v>1</v>
      </c>
      <c r="J58" s="1023">
        <v>1</v>
      </c>
      <c r="K58" s="1023">
        <v>1</v>
      </c>
      <c r="L58" s="1023">
        <v>1</v>
      </c>
      <c r="M58" s="1023">
        <v>1</v>
      </c>
      <c r="N58" s="1023">
        <v>1</v>
      </c>
      <c r="O58" s="1023">
        <v>1</v>
      </c>
      <c r="P58" s="1003"/>
      <c r="Q58" s="1003"/>
      <c r="R58" s="1003"/>
      <c r="S58" s="1003"/>
      <c r="T58" s="1023">
        <v>0</v>
      </c>
      <c r="U58" s="1023">
        <v>0.09</v>
      </c>
      <c r="V58" s="1023">
        <v>0.18</v>
      </c>
      <c r="W58" s="1023">
        <v>0.27</v>
      </c>
      <c r="X58" s="1023">
        <v>0.36000000000000004</v>
      </c>
      <c r="Y58" s="1023">
        <v>0.44999999999999996</v>
      </c>
      <c r="Z58" s="1023">
        <f t="shared" ref="Z58:AB59" si="8">Z28+Z34+Z40+Z46+Z52</f>
        <v>0.54</v>
      </c>
      <c r="AA58" s="1023">
        <f t="shared" si="8"/>
        <v>0.63</v>
      </c>
      <c r="AB58" s="1023">
        <f t="shared" si="8"/>
        <v>0.72000000000000008</v>
      </c>
      <c r="AC58" s="1023"/>
      <c r="AD58" s="1023"/>
      <c r="AE58" s="1027"/>
      <c r="AF58" s="1058"/>
      <c r="AG58" s="1059"/>
      <c r="AH58" s="1059"/>
      <c r="AI58" s="1059"/>
      <c r="AJ58" s="1059"/>
      <c r="AK58" s="1059"/>
      <c r="AL58" s="1059"/>
      <c r="AM58" s="1059"/>
      <c r="AN58" s="1059"/>
      <c r="AO58" s="1059"/>
      <c r="AP58" s="1059"/>
      <c r="AQ58" s="1059"/>
      <c r="AR58" s="1059"/>
      <c r="AS58" s="1059"/>
      <c r="AT58" s="1059"/>
      <c r="AU58" s="1059"/>
      <c r="AV58" s="1059"/>
      <c r="AW58" s="1059"/>
      <c r="AX58" s="1059"/>
      <c r="AY58" s="1060"/>
    </row>
    <row r="59" spans="1:53" ht="18" x14ac:dyDescent="0.25">
      <c r="A59" s="861"/>
      <c r="B59" s="861"/>
      <c r="C59" s="861"/>
      <c r="D59" s="621" t="s">
        <v>102</v>
      </c>
      <c r="E59" s="1027">
        <v>708083000</v>
      </c>
      <c r="F59" s="1027">
        <v>708083000</v>
      </c>
      <c r="G59" s="1027">
        <v>708083000</v>
      </c>
      <c r="H59" s="1027">
        <v>708083000</v>
      </c>
      <c r="I59" s="1027">
        <v>708083000</v>
      </c>
      <c r="J59" s="1027">
        <v>708083000</v>
      </c>
      <c r="K59" s="1027">
        <v>708083000</v>
      </c>
      <c r="L59" s="1027">
        <v>708083000</v>
      </c>
      <c r="M59" s="1027">
        <f>M29+M35+M41+M47+M53</f>
        <v>708083000</v>
      </c>
      <c r="N59" s="1027">
        <f>N29+N35+N41+N47+N53</f>
        <v>708083000</v>
      </c>
      <c r="O59" s="1027">
        <f>O29+O35+O41+O47+O53</f>
        <v>627925000</v>
      </c>
      <c r="P59" s="1003"/>
      <c r="Q59" s="1003"/>
      <c r="R59" s="1003"/>
      <c r="S59" s="1003"/>
      <c r="T59" s="1027">
        <v>22681000</v>
      </c>
      <c r="U59" s="1047">
        <v>315501000</v>
      </c>
      <c r="V59" s="1047">
        <v>555074000</v>
      </c>
      <c r="W59" s="1027">
        <v>594755000</v>
      </c>
      <c r="X59" s="1027">
        <v>594755000</v>
      </c>
      <c r="Y59" s="1027">
        <f>Y29+Y35+Y41+Y47+Y53</f>
        <v>594755000</v>
      </c>
      <c r="Z59" s="1027">
        <f t="shared" si="8"/>
        <v>594755000</v>
      </c>
      <c r="AA59" s="1027">
        <f t="shared" si="8"/>
        <v>594755000</v>
      </c>
      <c r="AB59" s="1027">
        <f t="shared" si="8"/>
        <v>594755000</v>
      </c>
      <c r="AC59" s="1027"/>
      <c r="AD59" s="1027"/>
      <c r="AE59" s="1029"/>
      <c r="AF59" s="1061"/>
      <c r="AG59" s="1062"/>
      <c r="AH59" s="1062"/>
      <c r="AI59" s="1062"/>
      <c r="AJ59" s="1062"/>
      <c r="AK59" s="1062"/>
      <c r="AL59" s="1062"/>
      <c r="AM59" s="1062"/>
      <c r="AN59" s="1062"/>
      <c r="AO59" s="1062"/>
      <c r="AP59" s="1062"/>
      <c r="AQ59" s="1062"/>
      <c r="AR59" s="1062"/>
      <c r="AS59" s="1062"/>
      <c r="AT59" s="1062"/>
      <c r="AU59" s="1062"/>
      <c r="AV59" s="1062"/>
      <c r="AW59" s="1062"/>
      <c r="AX59" s="1062"/>
      <c r="AY59" s="1063"/>
    </row>
    <row r="60" spans="1:53" ht="27" x14ac:dyDescent="0.25">
      <c r="A60" s="861"/>
      <c r="B60" s="861"/>
      <c r="C60" s="861"/>
      <c r="D60" s="620" t="s">
        <v>104</v>
      </c>
      <c r="E60" s="1023">
        <v>0</v>
      </c>
      <c r="F60" s="1023">
        <v>0</v>
      </c>
      <c r="G60" s="1023">
        <v>0</v>
      </c>
      <c r="H60" s="1027">
        <v>0</v>
      </c>
      <c r="I60" s="1027">
        <v>0</v>
      </c>
      <c r="J60" s="1027">
        <v>0</v>
      </c>
      <c r="K60" s="1027">
        <v>0</v>
      </c>
      <c r="L60" s="1027">
        <v>0</v>
      </c>
      <c r="M60" s="1027">
        <v>0</v>
      </c>
      <c r="N60" s="1027">
        <v>0</v>
      </c>
      <c r="O60" s="1027">
        <v>0</v>
      </c>
      <c r="P60" s="1027"/>
      <c r="Q60" s="1027"/>
      <c r="R60" s="1027"/>
      <c r="S60" s="1027"/>
      <c r="T60" s="1023">
        <v>0</v>
      </c>
      <c r="U60" s="1057">
        <v>0</v>
      </c>
      <c r="V60" s="1057">
        <v>0</v>
      </c>
      <c r="W60" s="1057">
        <v>0</v>
      </c>
      <c r="X60" s="1057">
        <v>0</v>
      </c>
      <c r="Y60" s="1057">
        <v>0</v>
      </c>
      <c r="Z60" s="1057">
        <v>0</v>
      </c>
      <c r="AA60" s="1057">
        <v>0</v>
      </c>
      <c r="AB60" s="1057">
        <v>0</v>
      </c>
      <c r="AC60" s="1057"/>
      <c r="AD60" s="1057"/>
      <c r="AE60" s="1029"/>
      <c r="AF60" s="1061"/>
      <c r="AG60" s="1062"/>
      <c r="AH60" s="1062"/>
      <c r="AI60" s="1062"/>
      <c r="AJ60" s="1062"/>
      <c r="AK60" s="1062"/>
      <c r="AL60" s="1062"/>
      <c r="AM60" s="1062"/>
      <c r="AN60" s="1062"/>
      <c r="AO60" s="1062"/>
      <c r="AP60" s="1062"/>
      <c r="AQ60" s="1062"/>
      <c r="AR60" s="1062"/>
      <c r="AS60" s="1062"/>
      <c r="AT60" s="1062"/>
      <c r="AU60" s="1062"/>
      <c r="AV60" s="1062"/>
      <c r="AW60" s="1062"/>
      <c r="AX60" s="1062"/>
      <c r="AY60" s="1063"/>
    </row>
    <row r="61" spans="1:53" ht="27" x14ac:dyDescent="0.25">
      <c r="A61" s="861"/>
      <c r="B61" s="861"/>
      <c r="C61" s="861"/>
      <c r="D61" s="621" t="s">
        <v>105</v>
      </c>
      <c r="E61" s="1027">
        <v>500756051</v>
      </c>
      <c r="F61" s="1027">
        <v>500756051</v>
      </c>
      <c r="G61" s="1027">
        <v>500756051</v>
      </c>
      <c r="H61" s="1027">
        <v>500756051</v>
      </c>
      <c r="I61" s="1027">
        <v>500756051</v>
      </c>
      <c r="J61" s="1027">
        <v>500756051</v>
      </c>
      <c r="K61" s="1027">
        <v>500756051</v>
      </c>
      <c r="L61" s="1027">
        <v>500756051</v>
      </c>
      <c r="M61" s="1027">
        <f>M31+M37+M43+M49+M55</f>
        <v>500756051</v>
      </c>
      <c r="N61" s="1027">
        <f>N31+N37+N43+N49+N55</f>
        <v>500756051</v>
      </c>
      <c r="O61" s="1027">
        <v>500756051</v>
      </c>
      <c r="P61" s="1003"/>
      <c r="Q61" s="1003"/>
      <c r="R61" s="1003"/>
      <c r="S61" s="1003"/>
      <c r="T61" s="1027">
        <v>181541404</v>
      </c>
      <c r="U61" s="1047">
        <v>213516704</v>
      </c>
      <c r="V61" s="1047">
        <v>229463159</v>
      </c>
      <c r="W61" s="1027">
        <v>236202153</v>
      </c>
      <c r="X61" s="1027">
        <v>250029218</v>
      </c>
      <c r="Y61" s="1027">
        <v>252749702</v>
      </c>
      <c r="Z61" s="1027">
        <f>Z31+Z37+Z43+Z49+Z55</f>
        <v>253992275</v>
      </c>
      <c r="AA61" s="1027">
        <f>AA31+AA37+AA43+AA49+AA55</f>
        <v>254261470</v>
      </c>
      <c r="AB61" s="1027">
        <f>AB31+AB37+AB43+AB49+AB55</f>
        <v>256116970</v>
      </c>
      <c r="AC61" s="1027"/>
      <c r="AD61" s="1027"/>
      <c r="AE61" s="1029"/>
      <c r="AF61" s="1064"/>
      <c r="AG61" s="1065"/>
      <c r="AH61" s="1065"/>
      <c r="AI61" s="1065"/>
      <c r="AJ61" s="1065"/>
      <c r="AK61" s="1065"/>
      <c r="AL61" s="1065"/>
      <c r="AM61" s="1065"/>
      <c r="AN61" s="1065"/>
      <c r="AO61" s="1065"/>
      <c r="AP61" s="1065"/>
      <c r="AQ61" s="1065"/>
      <c r="AR61" s="1065"/>
      <c r="AS61" s="1065"/>
      <c r="AT61" s="1065"/>
      <c r="AU61" s="1065"/>
      <c r="AV61" s="1065"/>
      <c r="AW61" s="1065"/>
      <c r="AX61" s="1065"/>
      <c r="AY61" s="1066"/>
    </row>
    <row r="62" spans="1:53" ht="27" x14ac:dyDescent="0.25">
      <c r="A62" s="861"/>
      <c r="B62" s="861"/>
      <c r="C62" s="861"/>
      <c r="D62" s="620" t="s">
        <v>106</v>
      </c>
      <c r="E62" s="1023">
        <v>1</v>
      </c>
      <c r="F62" s="1023">
        <v>1</v>
      </c>
      <c r="G62" s="1067">
        <v>1</v>
      </c>
      <c r="H62" s="1067">
        <v>1</v>
      </c>
      <c r="I62" s="1067">
        <v>1</v>
      </c>
      <c r="J62" s="1067">
        <v>1</v>
      </c>
      <c r="K62" s="1067">
        <v>1</v>
      </c>
      <c r="L62" s="1067">
        <v>1</v>
      </c>
      <c r="M62" s="1067">
        <v>1</v>
      </c>
      <c r="N62" s="1067">
        <v>1</v>
      </c>
      <c r="O62" s="1067">
        <v>1</v>
      </c>
      <c r="P62" s="1023"/>
      <c r="Q62" s="1023"/>
      <c r="R62" s="1029"/>
      <c r="S62" s="1068"/>
      <c r="T62" s="1023">
        <v>0</v>
      </c>
      <c r="U62" s="1023">
        <v>0.09</v>
      </c>
      <c r="V62" s="1023">
        <v>0.18</v>
      </c>
      <c r="W62" s="1023">
        <v>0.27</v>
      </c>
      <c r="X62" s="1023">
        <v>0.36000000000000004</v>
      </c>
      <c r="Y62" s="1023">
        <v>0.44999999999999996</v>
      </c>
      <c r="Z62" s="1023">
        <f t="shared" ref="Z62:AB63" si="9">Z58+Z60</f>
        <v>0.54</v>
      </c>
      <c r="AA62" s="1023">
        <f t="shared" si="9"/>
        <v>0.63</v>
      </c>
      <c r="AB62" s="1023">
        <f t="shared" si="9"/>
        <v>0.72000000000000008</v>
      </c>
      <c r="AC62" s="1023"/>
      <c r="AD62" s="1023"/>
      <c r="AE62" s="1029"/>
      <c r="AF62" s="1058"/>
      <c r="AG62" s="1059"/>
      <c r="AH62" s="1059"/>
      <c r="AI62" s="1059"/>
      <c r="AJ62" s="1059"/>
      <c r="AK62" s="1059"/>
      <c r="AL62" s="1059"/>
      <c r="AM62" s="1059"/>
      <c r="AN62" s="1059"/>
      <c r="AO62" s="1059"/>
      <c r="AP62" s="1059"/>
      <c r="AQ62" s="1059"/>
      <c r="AR62" s="1059"/>
      <c r="AS62" s="1059"/>
      <c r="AT62" s="1059"/>
      <c r="AU62" s="1059"/>
      <c r="AV62" s="1059"/>
      <c r="AW62" s="1059"/>
      <c r="AX62" s="1059"/>
      <c r="AY62" s="1060"/>
    </row>
    <row r="63" spans="1:53" ht="27" x14ac:dyDescent="0.25">
      <c r="A63" s="862"/>
      <c r="B63" s="862"/>
      <c r="C63" s="862"/>
      <c r="D63" s="621" t="s">
        <v>107</v>
      </c>
      <c r="E63" s="1027">
        <v>1208839051</v>
      </c>
      <c r="F63" s="1027">
        <v>1208839051</v>
      </c>
      <c r="G63" s="1069">
        <v>1208839051</v>
      </c>
      <c r="H63" s="1069">
        <v>967071240</v>
      </c>
      <c r="I63" s="1069">
        <v>967071240</v>
      </c>
      <c r="J63" s="1047">
        <v>1208839051</v>
      </c>
      <c r="K63" s="1047">
        <v>1208839051</v>
      </c>
      <c r="L63" s="1047">
        <v>1208839051</v>
      </c>
      <c r="M63" s="1027">
        <f>M59+M61</f>
        <v>1208839051</v>
      </c>
      <c r="N63" s="1027">
        <f>N59+N61</f>
        <v>1208839051</v>
      </c>
      <c r="O63" s="1027">
        <f>O59+O61</f>
        <v>1128681051</v>
      </c>
      <c r="P63" s="1027"/>
      <c r="Q63" s="1027"/>
      <c r="R63" s="1027"/>
      <c r="S63" s="1068"/>
      <c r="T63" s="1047">
        <v>204222404</v>
      </c>
      <c r="U63" s="1047">
        <v>529017704</v>
      </c>
      <c r="V63" s="1047">
        <v>784537159</v>
      </c>
      <c r="W63" s="1047">
        <v>830957153</v>
      </c>
      <c r="X63" s="1047">
        <v>844784218</v>
      </c>
      <c r="Y63" s="1027">
        <v>847504702</v>
      </c>
      <c r="Z63" s="1055">
        <f t="shared" si="9"/>
        <v>848747275</v>
      </c>
      <c r="AA63" s="1055">
        <f t="shared" si="9"/>
        <v>849016470</v>
      </c>
      <c r="AB63" s="1055">
        <f t="shared" si="9"/>
        <v>850871970</v>
      </c>
      <c r="AC63" s="1047"/>
      <c r="AD63" s="1047"/>
      <c r="AE63" s="1029"/>
      <c r="AF63" s="1064"/>
      <c r="AG63" s="1065"/>
      <c r="AH63" s="1065"/>
      <c r="AI63" s="1065"/>
      <c r="AJ63" s="1065"/>
      <c r="AK63" s="1065"/>
      <c r="AL63" s="1065"/>
      <c r="AM63" s="1065"/>
      <c r="AN63" s="1065"/>
      <c r="AO63" s="1065"/>
      <c r="AP63" s="1065"/>
      <c r="AQ63" s="1065"/>
      <c r="AR63" s="1065"/>
      <c r="AS63" s="1065"/>
      <c r="AT63" s="1065"/>
      <c r="AU63" s="1065"/>
      <c r="AV63" s="1065"/>
      <c r="AW63" s="1065"/>
      <c r="AX63" s="1065"/>
      <c r="AY63" s="1066"/>
    </row>
    <row r="64" spans="1:53" ht="36" x14ac:dyDescent="0.25">
      <c r="A64" s="847" t="s">
        <v>244</v>
      </c>
      <c r="B64" s="848"/>
      <c r="C64" s="849"/>
      <c r="D64" s="628" t="s">
        <v>245</v>
      </c>
      <c r="E64" s="629">
        <v>39475813000</v>
      </c>
      <c r="F64" s="629">
        <v>39475813000</v>
      </c>
      <c r="G64" s="629">
        <v>39475813000</v>
      </c>
      <c r="H64" s="629">
        <v>39475813000</v>
      </c>
      <c r="I64" s="629">
        <v>39475813000</v>
      </c>
      <c r="J64" s="629">
        <v>39475813000</v>
      </c>
      <c r="K64" s="629">
        <v>39475813000</v>
      </c>
      <c r="L64" s="629">
        <v>39475813000</v>
      </c>
      <c r="M64" s="629">
        <f>M11+M17+M23+M59</f>
        <v>39475813000</v>
      </c>
      <c r="N64" s="629">
        <f>N11+N17+N23+N59</f>
        <v>39475813000</v>
      </c>
      <c r="O64" s="629">
        <f>O11+O17+O23+O59</f>
        <v>38986146985</v>
      </c>
      <c r="P64" s="629"/>
      <c r="Q64" s="629"/>
      <c r="R64" s="629"/>
      <c r="S64" s="629"/>
      <c r="T64" s="629">
        <v>32089737544</v>
      </c>
      <c r="U64" s="629">
        <v>34259087544</v>
      </c>
      <c r="V64" s="629">
        <v>34861602544</v>
      </c>
      <c r="W64" s="629">
        <v>34922707544</v>
      </c>
      <c r="X64" s="629">
        <v>34955685540</v>
      </c>
      <c r="Y64" s="629">
        <v>34955685540</v>
      </c>
      <c r="Z64" s="629">
        <f>Z11+Z17+Z23+Z59</f>
        <v>34976621540</v>
      </c>
      <c r="AA64" s="629">
        <f>AA11+AA17+AA23+AA59</f>
        <v>34976621540</v>
      </c>
      <c r="AB64" s="629">
        <f>AB11+AB17+AB23+AB59</f>
        <v>34945748440</v>
      </c>
      <c r="AC64" s="630"/>
      <c r="AD64" s="630"/>
      <c r="AE64" s="630"/>
      <c r="AF64" s="630"/>
      <c r="AG64" s="631"/>
      <c r="AH64" s="631"/>
      <c r="AI64" s="631"/>
      <c r="AJ64" s="631"/>
      <c r="AK64" s="631"/>
      <c r="AL64" s="631"/>
      <c r="AM64" s="631"/>
      <c r="AN64" s="631"/>
      <c r="AO64" s="631"/>
      <c r="AP64" s="631"/>
      <c r="AQ64" s="631"/>
      <c r="AR64" s="631"/>
      <c r="AS64" s="631"/>
      <c r="AT64" s="631"/>
      <c r="AU64" s="631"/>
      <c r="AV64" s="631"/>
      <c r="AW64" s="631"/>
      <c r="AX64" s="631"/>
      <c r="AY64" s="631"/>
      <c r="BA64" s="632"/>
    </row>
    <row r="65" spans="1:51" ht="36" x14ac:dyDescent="0.25">
      <c r="A65" s="850"/>
      <c r="B65" s="851"/>
      <c r="C65" s="852"/>
      <c r="D65" s="633" t="s">
        <v>246</v>
      </c>
      <c r="E65" s="629">
        <v>18496151952</v>
      </c>
      <c r="F65" s="629">
        <v>18596303163</v>
      </c>
      <c r="G65" s="629">
        <v>18596303163</v>
      </c>
      <c r="H65" s="629">
        <v>18496151952</v>
      </c>
      <c r="I65" s="629">
        <v>18596303163</v>
      </c>
      <c r="J65" s="629">
        <v>18596303163</v>
      </c>
      <c r="K65" s="629">
        <v>18596303163</v>
      </c>
      <c r="L65" s="629">
        <v>18596303163</v>
      </c>
      <c r="M65" s="629">
        <f>M13+M19+M25+M61</f>
        <v>18596303163</v>
      </c>
      <c r="N65" s="629">
        <f>N13+N19+N25+N61</f>
        <v>18596303163</v>
      </c>
      <c r="O65" s="629">
        <f>O13+O19+O25+O61</f>
        <v>18596303163</v>
      </c>
      <c r="P65" s="629"/>
      <c r="Q65" s="629"/>
      <c r="R65" s="629"/>
      <c r="S65" s="629"/>
      <c r="T65" s="629">
        <v>7381246363</v>
      </c>
      <c r="U65" s="629">
        <v>9455092471</v>
      </c>
      <c r="V65" s="629">
        <v>9585483770.9999962</v>
      </c>
      <c r="W65" s="629">
        <v>9934192559</v>
      </c>
      <c r="X65" s="629">
        <v>10607795802</v>
      </c>
      <c r="Y65" s="629">
        <v>11464109864</v>
      </c>
      <c r="Z65" s="629">
        <f>Z13+Z19+Z25+Z61</f>
        <v>12402473733.666666</v>
      </c>
      <c r="AA65" s="629">
        <f>AA13+AA19+AA25+AA61</f>
        <v>13678160339</v>
      </c>
      <c r="AB65" s="629">
        <f>AB13+AB19+AB25+AB61</f>
        <v>14770648472</v>
      </c>
      <c r="AC65" s="629"/>
      <c r="AD65" s="629"/>
      <c r="AE65" s="629"/>
      <c r="AF65" s="634"/>
      <c r="AG65" s="635"/>
      <c r="AH65" s="635"/>
      <c r="AI65" s="635"/>
      <c r="AJ65" s="635"/>
      <c r="AK65" s="635"/>
      <c r="AL65" s="635"/>
      <c r="AM65" s="635"/>
      <c r="AN65" s="635"/>
      <c r="AO65" s="635"/>
      <c r="AP65" s="635"/>
      <c r="AQ65" s="635"/>
      <c r="AR65" s="635"/>
      <c r="AS65" s="635"/>
      <c r="AT65" s="635"/>
      <c r="AU65" s="635"/>
      <c r="AV65" s="635"/>
      <c r="AW65" s="635"/>
      <c r="AX65" s="635"/>
      <c r="AY65" s="635"/>
    </row>
    <row r="66" spans="1:51" ht="36" x14ac:dyDescent="0.25">
      <c r="A66" s="853"/>
      <c r="B66" s="854"/>
      <c r="C66" s="855"/>
      <c r="D66" s="628" t="s">
        <v>247</v>
      </c>
      <c r="E66" s="629">
        <v>57971964952</v>
      </c>
      <c r="F66" s="629">
        <v>58072116163</v>
      </c>
      <c r="G66" s="629">
        <v>58072116163</v>
      </c>
      <c r="H66" s="629">
        <v>57971964952</v>
      </c>
      <c r="I66" s="629">
        <v>58072116163</v>
      </c>
      <c r="J66" s="629">
        <v>58072116163</v>
      </c>
      <c r="K66" s="629">
        <v>58072116163</v>
      </c>
      <c r="L66" s="629">
        <v>58072116163</v>
      </c>
      <c r="M66" s="629">
        <f>M64+M65</f>
        <v>58072116163</v>
      </c>
      <c r="N66" s="629">
        <f>N64+N65</f>
        <v>58072116163</v>
      </c>
      <c r="O66" s="629">
        <f>O64+O65</f>
        <v>57582450148</v>
      </c>
      <c r="P66" s="629"/>
      <c r="Q66" s="629"/>
      <c r="R66" s="629"/>
      <c r="S66" s="629"/>
      <c r="T66" s="629">
        <v>39470983907</v>
      </c>
      <c r="U66" s="629">
        <v>43714180015</v>
      </c>
      <c r="V66" s="629">
        <v>44447086315</v>
      </c>
      <c r="W66" s="629">
        <v>44856900103</v>
      </c>
      <c r="X66" s="629">
        <v>45563481342</v>
      </c>
      <c r="Y66" s="629">
        <v>46419795404</v>
      </c>
      <c r="Z66" s="629">
        <f>Z64+Z65</f>
        <v>47379095273.666664</v>
      </c>
      <c r="AA66" s="629">
        <f>AA64+AA65</f>
        <v>48654781879</v>
      </c>
      <c r="AB66" s="629">
        <f>AB64+AB65</f>
        <v>49716396912</v>
      </c>
      <c r="AC66" s="630"/>
      <c r="AD66" s="630"/>
      <c r="AE66" s="630"/>
      <c r="AF66" s="630"/>
      <c r="AG66" s="631"/>
      <c r="AH66" s="631"/>
      <c r="AI66" s="631"/>
      <c r="AJ66" s="631"/>
      <c r="AK66" s="631"/>
      <c r="AL66" s="631"/>
      <c r="AM66" s="631"/>
      <c r="AN66" s="631"/>
      <c r="AO66" s="631"/>
      <c r="AP66" s="631"/>
      <c r="AQ66" s="631"/>
      <c r="AR66" s="631"/>
      <c r="AS66" s="631"/>
      <c r="AT66" s="631"/>
      <c r="AU66" s="631"/>
      <c r="AV66" s="631"/>
      <c r="AW66" s="631"/>
      <c r="AX66" s="631"/>
      <c r="AY66" s="631"/>
    </row>
    <row r="67" spans="1:51" x14ac:dyDescent="0.25">
      <c r="A67" s="636"/>
      <c r="B67" s="636"/>
      <c r="C67" s="636"/>
      <c r="D67" s="636"/>
      <c r="E67" s="637"/>
      <c r="F67" s="638"/>
      <c r="G67" s="637"/>
      <c r="H67" s="637"/>
      <c r="I67" s="637"/>
      <c r="J67" s="637"/>
      <c r="K67" s="637"/>
      <c r="L67" s="637"/>
      <c r="M67" s="637"/>
      <c r="N67" s="637"/>
      <c r="O67" s="639"/>
      <c r="P67" s="637"/>
      <c r="Q67" s="637"/>
      <c r="R67" s="637"/>
      <c r="S67" s="637"/>
      <c r="T67" s="637"/>
      <c r="U67" s="637"/>
      <c r="V67" s="637"/>
      <c r="W67" s="637"/>
      <c r="X67" s="637"/>
      <c r="Y67" s="637"/>
      <c r="Z67" s="637"/>
      <c r="AA67" s="637"/>
      <c r="AB67" s="637"/>
      <c r="AC67" s="637"/>
      <c r="AD67" s="640"/>
      <c r="AE67" s="636"/>
      <c r="AF67" s="641"/>
      <c r="AG67" s="636"/>
      <c r="AH67" s="636"/>
      <c r="AI67" s="636"/>
      <c r="AJ67" s="636"/>
      <c r="AK67" s="636"/>
      <c r="AL67" s="636"/>
      <c r="AM67" s="636"/>
      <c r="AN67" s="636"/>
      <c r="AO67" s="636"/>
      <c r="AP67" s="642"/>
      <c r="AQ67" s="642"/>
      <c r="AR67" s="636"/>
      <c r="AS67" s="636"/>
      <c r="AT67" s="636"/>
      <c r="AU67" s="636"/>
      <c r="AV67" s="636"/>
      <c r="AW67" s="636"/>
      <c r="AX67" s="642"/>
      <c r="AY67" s="643"/>
    </row>
    <row r="68" spans="1:51" x14ac:dyDescent="0.25">
      <c r="A68" s="644"/>
      <c r="B68" s="644"/>
      <c r="C68" s="856" t="s">
        <v>80</v>
      </c>
      <c r="D68" s="857"/>
      <c r="E68" s="857"/>
      <c r="F68" s="857"/>
      <c r="G68" s="857"/>
      <c r="H68" s="857"/>
      <c r="I68" s="857"/>
      <c r="J68" s="857"/>
      <c r="K68" s="857"/>
      <c r="L68" s="857"/>
      <c r="M68" s="857"/>
      <c r="N68" s="857"/>
      <c r="O68" s="857"/>
      <c r="P68" s="857"/>
      <c r="Q68" s="857"/>
      <c r="R68" s="857"/>
      <c r="S68" s="857"/>
      <c r="T68" s="645"/>
      <c r="U68" s="646"/>
      <c r="V68" s="646"/>
      <c r="W68" s="644"/>
      <c r="X68" s="644"/>
      <c r="Y68" s="644"/>
      <c r="Z68" s="644"/>
      <c r="AA68" s="647"/>
      <c r="AB68" s="648"/>
      <c r="AC68" s="649"/>
      <c r="AD68" s="650"/>
      <c r="AE68" s="649"/>
      <c r="AF68" s="651"/>
      <c r="AG68" s="647"/>
      <c r="AH68" s="649"/>
      <c r="AI68" s="649"/>
      <c r="AJ68" s="649"/>
      <c r="AK68" s="649"/>
      <c r="AL68" s="649"/>
      <c r="AM68" s="649"/>
      <c r="AN68" s="649"/>
      <c r="AO68" s="649"/>
      <c r="AP68" s="649"/>
      <c r="AQ68" s="649"/>
      <c r="AR68" s="649"/>
      <c r="AS68" s="649"/>
      <c r="AT68" s="649"/>
      <c r="AU68" s="649"/>
      <c r="AV68" s="649"/>
      <c r="AW68" s="649"/>
      <c r="AX68" s="649"/>
      <c r="AY68" s="649"/>
    </row>
    <row r="69" spans="1:51" x14ac:dyDescent="0.25">
      <c r="A69" s="649"/>
      <c r="B69" s="652" t="s">
        <v>81</v>
      </c>
      <c r="C69" s="858" t="s">
        <v>82</v>
      </c>
      <c r="D69" s="844"/>
      <c r="E69" s="844"/>
      <c r="F69" s="844"/>
      <c r="G69" s="844"/>
      <c r="H69" s="844"/>
      <c r="I69" s="845"/>
      <c r="J69" s="859" t="s">
        <v>83</v>
      </c>
      <c r="K69" s="844"/>
      <c r="L69" s="844"/>
      <c r="M69" s="844"/>
      <c r="N69" s="844"/>
      <c r="O69" s="844"/>
      <c r="P69" s="845"/>
      <c r="Q69" s="645"/>
      <c r="R69" s="645"/>
      <c r="S69" s="645"/>
      <c r="T69" s="645"/>
      <c r="U69" s="653"/>
      <c r="V69" s="653"/>
      <c r="W69" s="644"/>
      <c r="X69" s="373"/>
      <c r="Y69" s="374"/>
      <c r="Z69" s="644"/>
      <c r="AA69" s="644"/>
      <c r="AB69" s="644"/>
      <c r="AC69" s="644"/>
      <c r="AD69" s="654"/>
      <c r="AE69" s="644"/>
      <c r="AF69" s="655"/>
      <c r="AG69" s="656"/>
      <c r="AH69" s="649"/>
      <c r="AI69" s="649"/>
      <c r="AJ69" s="649"/>
      <c r="AK69" s="649"/>
      <c r="AL69" s="649"/>
      <c r="AM69" s="649"/>
      <c r="AN69" s="649"/>
      <c r="AO69" s="649"/>
      <c r="AP69" s="649"/>
      <c r="AQ69" s="649"/>
      <c r="AR69" s="649"/>
      <c r="AS69" s="649"/>
      <c r="AT69" s="649"/>
      <c r="AU69" s="649"/>
      <c r="AV69" s="649"/>
      <c r="AW69" s="649"/>
      <c r="AX69" s="649"/>
      <c r="AY69" s="649"/>
    </row>
    <row r="70" spans="1:51" x14ac:dyDescent="0.25">
      <c r="A70" s="644"/>
      <c r="B70" s="657">
        <v>13</v>
      </c>
      <c r="C70" s="843" t="s">
        <v>161</v>
      </c>
      <c r="D70" s="844"/>
      <c r="E70" s="844"/>
      <c r="F70" s="844"/>
      <c r="G70" s="844"/>
      <c r="H70" s="844"/>
      <c r="I70" s="845"/>
      <c r="J70" s="843" t="s">
        <v>85</v>
      </c>
      <c r="K70" s="844"/>
      <c r="L70" s="844"/>
      <c r="M70" s="844"/>
      <c r="N70" s="844"/>
      <c r="O70" s="844"/>
      <c r="P70" s="845"/>
      <c r="Q70" s="645"/>
      <c r="R70" s="645"/>
      <c r="S70" s="645"/>
      <c r="T70" s="645"/>
      <c r="U70" s="658"/>
      <c r="V70" s="659"/>
      <c r="W70" s="644"/>
      <c r="X70" s="373"/>
      <c r="Y70" s="374"/>
      <c r="Z70" s="644"/>
      <c r="AA70" s="644"/>
      <c r="AB70" s="644"/>
      <c r="AC70" s="644"/>
      <c r="AD70" s="654"/>
      <c r="AE70" s="644"/>
      <c r="AF70" s="655"/>
      <c r="AG70" s="649"/>
      <c r="AH70" s="649"/>
      <c r="AI70" s="649"/>
      <c r="AJ70" s="649"/>
      <c r="AK70" s="649"/>
      <c r="AL70" s="649"/>
      <c r="AM70" s="649"/>
      <c r="AN70" s="649"/>
      <c r="AO70" s="649"/>
      <c r="AP70" s="649"/>
      <c r="AQ70" s="649"/>
      <c r="AR70" s="649"/>
      <c r="AS70" s="649"/>
      <c r="AT70" s="649"/>
      <c r="AU70" s="649"/>
      <c r="AV70" s="649"/>
      <c r="AW70" s="649"/>
      <c r="AX70" s="649"/>
      <c r="AY70" s="649"/>
    </row>
    <row r="71" spans="1:51" x14ac:dyDescent="0.25">
      <c r="A71" s="644"/>
      <c r="B71" s="657">
        <v>14</v>
      </c>
      <c r="C71" s="843" t="s">
        <v>86</v>
      </c>
      <c r="D71" s="844"/>
      <c r="E71" s="844"/>
      <c r="F71" s="844"/>
      <c r="G71" s="844"/>
      <c r="H71" s="844"/>
      <c r="I71" s="845"/>
      <c r="J71" s="846" t="s">
        <v>162</v>
      </c>
      <c r="K71" s="844"/>
      <c r="L71" s="844"/>
      <c r="M71" s="844"/>
      <c r="N71" s="844"/>
      <c r="O71" s="844"/>
      <c r="P71" s="845"/>
      <c r="Q71" s="645"/>
      <c r="R71" s="645"/>
      <c r="S71" s="645"/>
      <c r="T71" s="645"/>
      <c r="U71" s="645"/>
      <c r="V71" s="659"/>
      <c r="W71" s="644"/>
      <c r="X71" s="644"/>
      <c r="Y71" s="644"/>
      <c r="Z71" s="644"/>
      <c r="AA71" s="644"/>
      <c r="AB71" s="644"/>
      <c r="AC71" s="644"/>
      <c r="AD71" s="654"/>
      <c r="AE71" s="644"/>
      <c r="AF71" s="655"/>
      <c r="AG71" s="649"/>
      <c r="AH71" s="649"/>
      <c r="AI71" s="649"/>
      <c r="AJ71" s="649"/>
      <c r="AK71" s="649"/>
      <c r="AL71" s="649"/>
      <c r="AM71" s="649"/>
      <c r="AN71" s="649"/>
      <c r="AO71" s="649"/>
      <c r="AP71" s="649"/>
      <c r="AQ71" s="649"/>
      <c r="AR71" s="649"/>
      <c r="AS71" s="649"/>
      <c r="AT71" s="649"/>
      <c r="AU71" s="649"/>
      <c r="AV71" s="649"/>
      <c r="AW71" s="649"/>
      <c r="AX71" s="649"/>
      <c r="AY71" s="649"/>
    </row>
    <row r="72" spans="1:51" ht="15.75" x14ac:dyDescent="0.25">
      <c r="A72" s="660"/>
      <c r="B72" s="660"/>
      <c r="C72" s="660"/>
      <c r="D72" s="660"/>
      <c r="E72" s="661"/>
      <c r="F72" s="661"/>
      <c r="G72" s="661"/>
      <c r="H72" s="661"/>
      <c r="I72" s="661"/>
      <c r="J72" s="661"/>
      <c r="K72" s="661"/>
      <c r="L72" s="661"/>
      <c r="M72" s="661"/>
      <c r="N72" s="661"/>
      <c r="O72" s="662"/>
      <c r="P72" s="661"/>
      <c r="Q72" s="661"/>
      <c r="R72" s="660"/>
      <c r="S72" s="660"/>
      <c r="T72" s="660"/>
      <c r="U72" s="660"/>
      <c r="V72" s="663"/>
      <c r="W72" s="660"/>
      <c r="X72" s="660"/>
      <c r="Y72" s="660"/>
      <c r="Z72" s="660"/>
      <c r="AA72" s="660"/>
      <c r="AB72" s="664"/>
      <c r="AC72" s="660"/>
      <c r="AD72" s="665"/>
      <c r="AE72" s="660"/>
      <c r="AF72" s="655"/>
      <c r="AG72" s="660"/>
      <c r="AH72" s="660"/>
      <c r="AI72" s="660"/>
      <c r="AJ72" s="660"/>
      <c r="AK72" s="660"/>
      <c r="AL72" s="660"/>
      <c r="AM72" s="660"/>
      <c r="AN72" s="660"/>
      <c r="AO72" s="660"/>
      <c r="AP72" s="660"/>
      <c r="AQ72" s="660"/>
      <c r="AR72" s="660"/>
      <c r="AS72" s="660"/>
      <c r="AT72" s="660"/>
      <c r="AU72" s="660"/>
      <c r="AV72" s="660"/>
      <c r="AW72" s="660"/>
      <c r="AX72" s="660"/>
      <c r="AY72" s="643"/>
    </row>
    <row r="73" spans="1:51" ht="15.75" x14ac:dyDescent="0.25">
      <c r="A73" s="660"/>
      <c r="B73" s="660"/>
      <c r="C73" s="660"/>
      <c r="D73" s="660"/>
      <c r="E73" s="660"/>
      <c r="F73" s="666"/>
      <c r="G73" s="660"/>
      <c r="H73" s="660"/>
      <c r="I73" s="660"/>
      <c r="J73" s="660"/>
      <c r="K73" s="660"/>
      <c r="L73" s="660"/>
      <c r="M73" s="660"/>
      <c r="N73" s="660"/>
      <c r="O73" s="662"/>
      <c r="P73" s="660"/>
      <c r="Q73" s="660"/>
      <c r="R73" s="660"/>
      <c r="S73" s="660"/>
      <c r="T73" s="660"/>
      <c r="U73" s="660"/>
      <c r="V73" s="668"/>
      <c r="W73" s="371"/>
      <c r="X73" s="660"/>
      <c r="Y73" s="669"/>
      <c r="Z73" s="660"/>
      <c r="AA73" s="660"/>
      <c r="AB73" s="660"/>
      <c r="AC73" s="660"/>
      <c r="AD73" s="671"/>
      <c r="AE73" s="660"/>
      <c r="AF73" s="672"/>
      <c r="AG73" s="660"/>
      <c r="AH73" s="660"/>
      <c r="AI73" s="660"/>
      <c r="AJ73" s="660"/>
      <c r="AK73" s="660"/>
      <c r="AL73" s="660"/>
      <c r="AM73" s="660"/>
      <c r="AN73" s="660"/>
      <c r="AO73" s="660"/>
      <c r="AP73" s="660"/>
      <c r="AQ73" s="660"/>
      <c r="AR73" s="660"/>
      <c r="AS73" s="660"/>
      <c r="AT73" s="660"/>
      <c r="AU73" s="660"/>
      <c r="AV73" s="660"/>
      <c r="AW73" s="660"/>
      <c r="AX73" s="660"/>
      <c r="AY73" s="643"/>
    </row>
    <row r="74" spans="1:51" ht="15.75" x14ac:dyDescent="0.25">
      <c r="A74" s="660"/>
      <c r="B74" s="660"/>
      <c r="C74" s="660"/>
      <c r="D74" s="660"/>
      <c r="E74" s="673"/>
      <c r="F74" s="674"/>
      <c r="G74" s="675"/>
      <c r="H74" s="676"/>
      <c r="I74" s="676"/>
      <c r="J74" s="676"/>
      <c r="K74" s="676"/>
      <c r="L74" s="676"/>
      <c r="M74" s="676"/>
      <c r="N74" s="676"/>
      <c r="O74" s="662"/>
      <c r="Q74" s="676"/>
      <c r="R74" s="676"/>
      <c r="S74" s="676"/>
      <c r="T74" s="676"/>
      <c r="U74" s="676"/>
      <c r="V74" s="676"/>
      <c r="W74" s="676"/>
      <c r="X74" s="676"/>
      <c r="Y74" s="676"/>
      <c r="Z74" s="676"/>
      <c r="AA74" s="676"/>
      <c r="AB74" s="676"/>
      <c r="AC74" s="676"/>
      <c r="AD74" s="665"/>
      <c r="AE74" s="660"/>
      <c r="AF74" s="660"/>
      <c r="AG74" s="660"/>
      <c r="AH74" s="660"/>
      <c r="AI74" s="660"/>
      <c r="AJ74" s="660"/>
      <c r="AK74" s="660"/>
      <c r="AL74" s="660"/>
      <c r="AM74" s="660"/>
      <c r="AN74" s="660"/>
      <c r="AO74" s="660"/>
      <c r="AP74" s="660"/>
      <c r="AQ74" s="660"/>
      <c r="AR74" s="660"/>
      <c r="AS74" s="660"/>
      <c r="AT74" s="660"/>
      <c r="AU74" s="660"/>
      <c r="AV74" s="660"/>
      <c r="AW74" s="660"/>
      <c r="AX74" s="660"/>
      <c r="AY74" s="643"/>
    </row>
    <row r="75" spans="1:51" ht="15.75" x14ac:dyDescent="0.25">
      <c r="A75" s="660"/>
      <c r="B75" s="660"/>
      <c r="C75" s="660"/>
      <c r="D75" s="660"/>
      <c r="E75" s="673"/>
      <c r="F75" s="677"/>
      <c r="G75" s="675"/>
      <c r="H75" s="372"/>
      <c r="I75" s="664"/>
      <c r="J75" s="660"/>
      <c r="K75" s="660"/>
      <c r="L75" s="660"/>
      <c r="M75" s="660"/>
      <c r="N75" s="663"/>
      <c r="O75" s="662"/>
      <c r="Q75" s="660"/>
      <c r="R75" s="678"/>
      <c r="S75" s="660"/>
      <c r="T75" s="673"/>
      <c r="U75" s="663"/>
      <c r="V75" s="663"/>
      <c r="W75" s="660"/>
      <c r="X75" s="660"/>
      <c r="Y75" s="670"/>
      <c r="Z75" s="660"/>
      <c r="AA75" s="660"/>
      <c r="AB75" s="660"/>
      <c r="AC75" s="679"/>
      <c r="AD75" s="655"/>
      <c r="AE75" s="660"/>
      <c r="AF75" s="660"/>
      <c r="AG75" s="660"/>
      <c r="AH75" s="660"/>
      <c r="AI75" s="660"/>
      <c r="AJ75" s="660"/>
      <c r="AK75" s="660"/>
      <c r="AL75" s="660"/>
      <c r="AM75" s="660"/>
      <c r="AN75" s="660"/>
      <c r="AO75" s="660"/>
      <c r="AP75" s="660"/>
      <c r="AQ75" s="660"/>
      <c r="AR75" s="660"/>
      <c r="AS75" s="660"/>
      <c r="AT75" s="660"/>
      <c r="AU75" s="660"/>
      <c r="AV75" s="660"/>
      <c r="AW75" s="660"/>
      <c r="AX75" s="660"/>
      <c r="AY75" s="643"/>
    </row>
    <row r="76" spans="1:51" ht="15.75" x14ac:dyDescent="0.25">
      <c r="A76" s="660"/>
      <c r="B76" s="660"/>
      <c r="C76" s="660"/>
      <c r="D76" s="660"/>
      <c r="E76" s="678"/>
      <c r="F76" s="677"/>
      <c r="G76" s="660"/>
      <c r="H76" s="372"/>
      <c r="I76" s="664"/>
      <c r="J76" s="660"/>
      <c r="K76" s="660"/>
      <c r="L76" s="660"/>
      <c r="M76" s="680"/>
      <c r="N76" s="660"/>
      <c r="O76" s="662"/>
      <c r="P76" s="660"/>
      <c r="Q76" s="660"/>
      <c r="R76" s="680"/>
      <c r="S76" s="660"/>
      <c r="T76" s="673"/>
      <c r="U76" s="660"/>
      <c r="V76" s="660"/>
      <c r="W76" s="660"/>
      <c r="X76" s="660"/>
      <c r="Y76" s="660"/>
      <c r="Z76" s="660"/>
      <c r="AA76" s="660"/>
      <c r="AB76" s="664"/>
      <c r="AC76" s="660"/>
      <c r="AD76" s="665"/>
      <c r="AE76" s="660"/>
      <c r="AF76" s="660"/>
      <c r="AG76" s="660"/>
      <c r="AH76" s="660"/>
      <c r="AI76" s="660"/>
      <c r="AJ76" s="660"/>
      <c r="AK76" s="660"/>
      <c r="AL76" s="660"/>
      <c r="AM76" s="660"/>
      <c r="AN76" s="660"/>
      <c r="AO76" s="660"/>
      <c r="AP76" s="660"/>
      <c r="AQ76" s="660"/>
      <c r="AR76" s="660"/>
      <c r="AS76" s="660"/>
      <c r="AT76" s="660"/>
      <c r="AU76" s="660"/>
      <c r="AV76" s="660"/>
      <c r="AW76" s="660"/>
      <c r="AX76" s="660"/>
      <c r="AY76" s="643"/>
    </row>
    <row r="77" spans="1:51" x14ac:dyDescent="0.25">
      <c r="A77" s="660"/>
      <c r="B77" s="660"/>
      <c r="C77" s="660"/>
      <c r="D77" s="660"/>
      <c r="E77" s="675"/>
      <c r="F77" s="666"/>
      <c r="G77" s="675"/>
      <c r="H77" s="681"/>
      <c r="I77" s="664"/>
      <c r="J77" s="660"/>
      <c r="K77" s="660"/>
      <c r="L77" s="660"/>
      <c r="M77" s="660"/>
      <c r="N77" s="660"/>
      <c r="O77" s="667"/>
      <c r="P77" s="660"/>
      <c r="Q77" s="675"/>
      <c r="R77" s="660"/>
      <c r="S77" s="660"/>
      <c r="T77" s="673"/>
      <c r="U77" s="660"/>
      <c r="V77" s="660"/>
      <c r="W77" s="660"/>
      <c r="X77" s="660"/>
      <c r="Y77" s="660"/>
      <c r="Z77" s="660"/>
      <c r="AA77" s="660"/>
      <c r="AB77" s="664"/>
      <c r="AC77" s="660"/>
      <c r="AD77" s="665"/>
      <c r="AE77" s="660"/>
      <c r="AF77" s="660"/>
      <c r="AG77" s="660"/>
      <c r="AH77" s="660"/>
      <c r="AI77" s="660"/>
      <c r="AJ77" s="660"/>
      <c r="AK77" s="660"/>
      <c r="AL77" s="660"/>
      <c r="AM77" s="660"/>
      <c r="AN77" s="660"/>
      <c r="AO77" s="660"/>
      <c r="AP77" s="660"/>
      <c r="AQ77" s="660"/>
      <c r="AR77" s="660"/>
      <c r="AS77" s="660"/>
      <c r="AT77" s="660"/>
      <c r="AU77" s="660"/>
      <c r="AV77" s="660"/>
      <c r="AW77" s="660"/>
      <c r="AX77" s="660"/>
      <c r="AY77" s="643"/>
    </row>
    <row r="78" spans="1:51" x14ac:dyDescent="0.25">
      <c r="A78" s="660"/>
      <c r="B78" s="660"/>
      <c r="C78" s="660"/>
      <c r="D78" s="660"/>
      <c r="E78" s="660"/>
      <c r="F78" s="666"/>
      <c r="G78" s="660"/>
      <c r="H78" s="660"/>
      <c r="I78" s="664"/>
      <c r="J78" s="660"/>
      <c r="K78" s="660"/>
      <c r="L78" s="660"/>
      <c r="M78" s="660"/>
      <c r="N78" s="660"/>
      <c r="O78" s="667"/>
      <c r="P78" s="660"/>
      <c r="Q78" s="675"/>
      <c r="R78" s="660"/>
      <c r="S78" s="660"/>
      <c r="T78" s="673"/>
      <c r="U78" s="660"/>
      <c r="V78" s="660"/>
      <c r="W78" s="660"/>
      <c r="X78" s="660"/>
      <c r="Y78" s="660"/>
      <c r="Z78" s="660"/>
      <c r="AA78" s="660"/>
      <c r="AB78" s="664"/>
      <c r="AC78" s="660"/>
      <c r="AD78" s="665"/>
      <c r="AE78" s="660"/>
      <c r="AF78" s="660"/>
      <c r="AG78" s="660"/>
      <c r="AH78" s="660"/>
      <c r="AI78" s="660"/>
      <c r="AJ78" s="660"/>
      <c r="AK78" s="660"/>
      <c r="AL78" s="660"/>
      <c r="AM78" s="660"/>
      <c r="AN78" s="660"/>
      <c r="AO78" s="660"/>
      <c r="AP78" s="660"/>
      <c r="AQ78" s="660"/>
      <c r="AR78" s="660"/>
      <c r="AS78" s="660"/>
      <c r="AT78" s="660"/>
      <c r="AU78" s="660"/>
      <c r="AV78" s="660"/>
      <c r="AW78" s="660"/>
      <c r="AX78" s="660"/>
      <c r="AY78" s="643"/>
    </row>
    <row r="79" spans="1:51" x14ac:dyDescent="0.25">
      <c r="A79" s="660"/>
      <c r="B79" s="660"/>
      <c r="C79" s="660"/>
      <c r="D79" s="660"/>
      <c r="E79" s="675"/>
      <c r="F79" s="674"/>
      <c r="G79" s="678"/>
      <c r="H79" s="664"/>
      <c r="I79" s="664"/>
      <c r="J79" s="660"/>
      <c r="K79" s="660"/>
      <c r="L79" s="660"/>
      <c r="M79" s="660"/>
      <c r="N79" s="660"/>
      <c r="O79" s="667"/>
      <c r="P79" s="660"/>
      <c r="Q79" s="660"/>
      <c r="R79" s="660"/>
      <c r="S79" s="660"/>
      <c r="T79" s="660"/>
      <c r="U79" s="660"/>
      <c r="V79" s="660"/>
      <c r="W79" s="660"/>
      <c r="X79" s="660"/>
      <c r="Y79" s="660"/>
      <c r="Z79" s="660"/>
      <c r="AA79" s="660"/>
      <c r="AB79" s="660"/>
      <c r="AC79" s="660"/>
      <c r="AD79" s="665"/>
      <c r="AE79" s="660"/>
      <c r="AF79" s="660"/>
      <c r="AG79" s="660"/>
      <c r="AH79" s="660"/>
      <c r="AI79" s="660"/>
      <c r="AJ79" s="660"/>
      <c r="AK79" s="660"/>
      <c r="AL79" s="660"/>
      <c r="AM79" s="660"/>
      <c r="AN79" s="660"/>
      <c r="AO79" s="660"/>
      <c r="AP79" s="660"/>
      <c r="AQ79" s="660"/>
      <c r="AR79" s="660"/>
      <c r="AS79" s="660"/>
      <c r="AT79" s="660"/>
      <c r="AU79" s="660"/>
      <c r="AV79" s="660"/>
      <c r="AW79" s="660"/>
      <c r="AX79" s="660"/>
      <c r="AY79" s="643"/>
    </row>
    <row r="80" spans="1:51" x14ac:dyDescent="0.25">
      <c r="A80" s="660"/>
      <c r="B80" s="660"/>
      <c r="C80" s="660"/>
      <c r="D80" s="660"/>
      <c r="E80" s="660"/>
      <c r="F80" s="674"/>
      <c r="G80" s="675"/>
      <c r="H80" s="664"/>
      <c r="I80" s="664"/>
      <c r="J80" s="660"/>
      <c r="K80" s="660"/>
      <c r="L80" s="660"/>
      <c r="M80" s="660"/>
      <c r="N80" s="660"/>
      <c r="O80" s="667"/>
      <c r="P80" s="660"/>
      <c r="Q80" s="660"/>
      <c r="R80" s="660"/>
      <c r="S80" s="660"/>
      <c r="T80" s="660"/>
      <c r="U80" s="660"/>
      <c r="V80" s="660"/>
      <c r="W80" s="660"/>
      <c r="X80" s="660"/>
      <c r="Y80" s="660"/>
      <c r="Z80" s="660"/>
      <c r="AA80" s="660"/>
      <c r="AB80" s="660"/>
      <c r="AC80" s="660"/>
      <c r="AD80" s="665"/>
      <c r="AE80" s="660"/>
      <c r="AF80" s="660"/>
      <c r="AG80" s="660"/>
      <c r="AH80" s="660"/>
      <c r="AI80" s="660"/>
      <c r="AJ80" s="660"/>
      <c r="AK80" s="660"/>
      <c r="AL80" s="660"/>
      <c r="AM80" s="660"/>
      <c r="AN80" s="660"/>
      <c r="AO80" s="660"/>
      <c r="AP80" s="660"/>
      <c r="AQ80" s="660"/>
      <c r="AR80" s="660"/>
      <c r="AS80" s="660"/>
      <c r="AT80" s="660"/>
      <c r="AU80" s="660"/>
      <c r="AV80" s="660"/>
      <c r="AW80" s="660"/>
      <c r="AX80" s="660"/>
      <c r="AY80" s="643"/>
    </row>
    <row r="81" spans="1:50" x14ac:dyDescent="0.25">
      <c r="A81" s="660"/>
      <c r="B81" s="660"/>
      <c r="C81" s="660"/>
      <c r="D81" s="660"/>
      <c r="E81" s="660"/>
      <c r="F81" s="674"/>
      <c r="G81" s="675"/>
      <c r="H81" s="664"/>
      <c r="I81" s="664"/>
      <c r="J81" s="660"/>
      <c r="K81" s="660"/>
      <c r="L81" s="660"/>
      <c r="M81" s="660"/>
      <c r="N81" s="660"/>
      <c r="O81" s="667"/>
      <c r="P81" s="660"/>
      <c r="Q81" s="660"/>
      <c r="R81" s="660"/>
      <c r="S81" s="660"/>
      <c r="T81" s="660"/>
      <c r="U81" s="660"/>
      <c r="V81" s="660"/>
      <c r="W81" s="660"/>
      <c r="X81" s="660"/>
      <c r="Y81" s="660"/>
      <c r="Z81" s="660"/>
      <c r="AA81" s="660"/>
      <c r="AB81" s="660"/>
      <c r="AC81" s="660"/>
      <c r="AD81" s="665"/>
      <c r="AE81" s="660"/>
      <c r="AF81" s="660"/>
      <c r="AG81" s="660"/>
      <c r="AH81" s="660"/>
      <c r="AI81" s="660"/>
      <c r="AJ81" s="660"/>
      <c r="AK81" s="660"/>
      <c r="AL81" s="660"/>
      <c r="AM81" s="660"/>
      <c r="AN81" s="660"/>
      <c r="AO81" s="660"/>
      <c r="AP81" s="660"/>
      <c r="AQ81" s="660"/>
      <c r="AR81" s="660"/>
      <c r="AS81" s="660"/>
      <c r="AT81" s="660"/>
      <c r="AU81" s="660"/>
      <c r="AV81" s="660"/>
      <c r="AW81" s="660"/>
      <c r="AX81" s="660"/>
    </row>
    <row r="82" spans="1:50" x14ac:dyDescent="0.25">
      <c r="A82" s="643"/>
      <c r="B82" s="643"/>
      <c r="C82" s="643"/>
      <c r="D82" s="643"/>
      <c r="E82" s="643"/>
      <c r="F82" s="666"/>
      <c r="G82" s="643"/>
      <c r="H82" s="643"/>
      <c r="I82" s="664"/>
      <c r="J82" s="643"/>
      <c r="K82" s="643"/>
      <c r="L82" s="643"/>
      <c r="M82" s="643"/>
      <c r="N82" s="643"/>
      <c r="O82" s="667"/>
      <c r="P82" s="643"/>
      <c r="Q82" s="643"/>
      <c r="R82" s="660"/>
      <c r="S82" s="660"/>
      <c r="T82" s="660"/>
      <c r="U82" s="660"/>
      <c r="V82" s="660"/>
      <c r="W82" s="660"/>
      <c r="X82" s="660"/>
      <c r="Y82" s="660"/>
      <c r="Z82" s="660"/>
      <c r="AA82" s="660"/>
      <c r="AB82" s="660"/>
      <c r="AC82" s="660"/>
      <c r="AD82" s="665"/>
      <c r="AE82" s="643"/>
      <c r="AF82" s="643"/>
      <c r="AG82" s="643"/>
      <c r="AH82" s="643"/>
      <c r="AI82" s="643"/>
      <c r="AJ82" s="643"/>
      <c r="AK82" s="643"/>
      <c r="AL82" s="643"/>
      <c r="AM82" s="643"/>
      <c r="AN82" s="643"/>
      <c r="AO82" s="643"/>
      <c r="AP82" s="643"/>
      <c r="AQ82" s="643"/>
      <c r="AR82" s="643"/>
      <c r="AS82" s="643"/>
      <c r="AT82" s="643"/>
      <c r="AU82" s="643"/>
      <c r="AV82" s="643"/>
      <c r="AW82" s="643"/>
      <c r="AX82" s="643"/>
    </row>
    <row r="83" spans="1:50" x14ac:dyDescent="0.25">
      <c r="A83" s="643"/>
      <c r="B83" s="643"/>
      <c r="C83" s="643"/>
      <c r="D83" s="643"/>
      <c r="E83" s="643"/>
      <c r="F83" s="666"/>
      <c r="G83" s="643"/>
      <c r="H83" s="643"/>
      <c r="I83" s="664"/>
      <c r="J83" s="643"/>
      <c r="K83" s="643"/>
      <c r="L83" s="643"/>
      <c r="M83" s="643"/>
      <c r="N83" s="643"/>
      <c r="O83" s="667"/>
      <c r="P83" s="643"/>
      <c r="Q83" s="643"/>
      <c r="R83" s="660"/>
      <c r="S83" s="660"/>
      <c r="T83" s="660"/>
      <c r="U83" s="660"/>
      <c r="V83" s="660"/>
      <c r="W83" s="660"/>
      <c r="X83" s="660"/>
      <c r="Y83" s="660"/>
      <c r="Z83" s="660"/>
      <c r="AA83" s="660"/>
      <c r="AB83" s="660"/>
      <c r="AC83" s="660"/>
      <c r="AD83" s="665"/>
      <c r="AE83" s="643"/>
      <c r="AF83" s="643"/>
      <c r="AG83" s="643"/>
      <c r="AH83" s="643"/>
      <c r="AI83" s="643"/>
      <c r="AJ83" s="643"/>
      <c r="AK83" s="643"/>
      <c r="AL83" s="643"/>
      <c r="AM83" s="643"/>
      <c r="AN83" s="643"/>
      <c r="AO83" s="643"/>
      <c r="AP83" s="643"/>
      <c r="AQ83" s="643"/>
      <c r="AR83" s="643"/>
      <c r="AS83" s="643"/>
      <c r="AT83" s="643"/>
      <c r="AU83" s="643"/>
      <c r="AV83" s="643"/>
      <c r="AW83" s="643"/>
      <c r="AX83" s="643"/>
    </row>
    <row r="84" spans="1:50" x14ac:dyDescent="0.25">
      <c r="A84" s="643"/>
      <c r="B84" s="643"/>
      <c r="C84" s="643"/>
      <c r="D84" s="643"/>
      <c r="E84" s="643"/>
      <c r="F84" s="666"/>
      <c r="G84" s="643"/>
      <c r="H84" s="643"/>
      <c r="I84" s="664"/>
      <c r="J84" s="643"/>
      <c r="K84" s="643"/>
      <c r="L84" s="643"/>
      <c r="M84" s="643"/>
      <c r="N84" s="643"/>
      <c r="O84" s="667"/>
      <c r="P84" s="643"/>
      <c r="Q84" s="643"/>
      <c r="R84" s="660"/>
      <c r="S84" s="660"/>
      <c r="T84" s="660"/>
      <c r="U84" s="660"/>
      <c r="V84" s="660"/>
      <c r="W84" s="660"/>
      <c r="X84" s="660"/>
      <c r="Y84" s="660"/>
      <c r="Z84" s="660"/>
      <c r="AA84" s="660"/>
      <c r="AB84" s="660"/>
      <c r="AC84" s="660"/>
      <c r="AD84" s="665"/>
      <c r="AE84" s="643"/>
      <c r="AF84" s="643"/>
      <c r="AG84" s="643"/>
      <c r="AH84" s="643"/>
      <c r="AI84" s="643"/>
      <c r="AJ84" s="643"/>
      <c r="AK84" s="643"/>
      <c r="AL84" s="643"/>
      <c r="AM84" s="643"/>
      <c r="AN84" s="643"/>
      <c r="AO84" s="643"/>
      <c r="AP84" s="643"/>
      <c r="AQ84" s="643"/>
      <c r="AR84" s="643"/>
      <c r="AS84" s="643"/>
      <c r="AT84" s="643"/>
      <c r="AU84" s="643"/>
      <c r="AV84" s="643"/>
      <c r="AW84" s="643"/>
      <c r="AX84" s="643"/>
    </row>
    <row r="85" spans="1:50" x14ac:dyDescent="0.25">
      <c r="A85" s="643"/>
      <c r="B85" s="643"/>
      <c r="C85" s="643"/>
      <c r="D85" s="643"/>
      <c r="E85" s="643"/>
      <c r="F85" s="666"/>
      <c r="G85" s="643"/>
      <c r="H85" s="643"/>
      <c r="I85" s="664"/>
      <c r="J85" s="643"/>
      <c r="K85" s="643"/>
      <c r="L85" s="643"/>
      <c r="M85" s="643"/>
      <c r="N85" s="643"/>
      <c r="O85" s="667"/>
      <c r="P85" s="643"/>
      <c r="Q85" s="643"/>
      <c r="R85" s="660"/>
      <c r="S85" s="660"/>
      <c r="T85" s="660"/>
      <c r="U85" s="660"/>
      <c r="V85" s="660"/>
      <c r="W85" s="660"/>
      <c r="X85" s="660"/>
      <c r="Y85" s="660"/>
      <c r="Z85" s="660"/>
      <c r="AA85" s="660"/>
      <c r="AB85" s="660"/>
      <c r="AC85" s="660"/>
      <c r="AD85" s="665"/>
      <c r="AE85" s="643"/>
      <c r="AF85" s="643"/>
      <c r="AG85" s="643"/>
      <c r="AH85" s="643"/>
      <c r="AI85" s="643"/>
      <c r="AJ85" s="643"/>
      <c r="AK85" s="643"/>
      <c r="AL85" s="643"/>
      <c r="AM85" s="643"/>
      <c r="AN85" s="643"/>
      <c r="AO85" s="643"/>
      <c r="AP85" s="643"/>
      <c r="AQ85" s="643"/>
      <c r="AR85" s="643"/>
      <c r="AS85" s="643"/>
      <c r="AT85" s="643"/>
      <c r="AU85" s="643"/>
      <c r="AV85" s="643"/>
      <c r="AW85" s="643"/>
      <c r="AX85" s="643"/>
    </row>
    <row r="86" spans="1:50" x14ac:dyDescent="0.25">
      <c r="A86" s="643"/>
      <c r="B86" s="643"/>
      <c r="C86" s="643"/>
      <c r="D86" s="643"/>
      <c r="E86" s="643"/>
      <c r="F86" s="666"/>
      <c r="G86" s="643"/>
      <c r="H86" s="643"/>
      <c r="I86" s="643"/>
      <c r="J86" s="643"/>
      <c r="K86" s="643"/>
      <c r="L86" s="643"/>
      <c r="M86" s="643"/>
      <c r="N86" s="643"/>
      <c r="O86" s="667"/>
      <c r="P86" s="643"/>
      <c r="Q86" s="643"/>
      <c r="R86" s="660"/>
      <c r="S86" s="660"/>
      <c r="T86" s="660"/>
      <c r="U86" s="660"/>
      <c r="V86" s="660"/>
      <c r="W86" s="660"/>
      <c r="X86" s="660"/>
      <c r="Y86" s="660"/>
      <c r="Z86" s="660"/>
      <c r="AA86" s="660"/>
      <c r="AB86" s="660"/>
      <c r="AC86" s="660"/>
      <c r="AD86" s="665"/>
      <c r="AE86" s="643"/>
      <c r="AF86" s="643"/>
      <c r="AG86" s="643"/>
      <c r="AH86" s="643"/>
      <c r="AI86" s="643"/>
      <c r="AJ86" s="643"/>
      <c r="AK86" s="643"/>
      <c r="AL86" s="643"/>
      <c r="AM86" s="643"/>
      <c r="AN86" s="643"/>
      <c r="AO86" s="643"/>
      <c r="AP86" s="643"/>
      <c r="AQ86" s="643"/>
      <c r="AR86" s="643"/>
      <c r="AS86" s="643"/>
      <c r="AT86" s="643"/>
      <c r="AU86" s="643"/>
      <c r="AV86" s="643"/>
      <c r="AW86" s="643"/>
      <c r="AX86" s="643"/>
    </row>
    <row r="87" spans="1:50" x14ac:dyDescent="0.25">
      <c r="A87" s="643"/>
      <c r="B87" s="643"/>
      <c r="C87" s="643"/>
      <c r="D87" s="643"/>
      <c r="E87" s="643"/>
      <c r="F87" s="666"/>
      <c r="G87" s="643"/>
      <c r="H87" s="643"/>
      <c r="I87" s="643"/>
      <c r="J87" s="643"/>
      <c r="K87" s="643"/>
      <c r="L87" s="643"/>
      <c r="M87" s="643"/>
      <c r="N87" s="643"/>
      <c r="O87" s="667"/>
      <c r="P87" s="643"/>
      <c r="Q87" s="643"/>
      <c r="R87" s="660"/>
      <c r="S87" s="660"/>
      <c r="T87" s="660"/>
      <c r="U87" s="660"/>
      <c r="V87" s="660"/>
      <c r="W87" s="660"/>
      <c r="X87" s="660"/>
      <c r="Y87" s="660"/>
      <c r="Z87" s="660"/>
      <c r="AA87" s="660"/>
      <c r="AB87" s="660"/>
      <c r="AC87" s="660"/>
      <c r="AD87" s="665"/>
      <c r="AE87" s="643"/>
      <c r="AF87" s="643"/>
      <c r="AG87" s="643"/>
      <c r="AH87" s="643"/>
      <c r="AI87" s="643"/>
      <c r="AJ87" s="643"/>
      <c r="AK87" s="643"/>
      <c r="AL87" s="643"/>
      <c r="AM87" s="643"/>
      <c r="AN87" s="643"/>
      <c r="AO87" s="643"/>
      <c r="AP87" s="643"/>
      <c r="AQ87" s="643"/>
      <c r="AR87" s="643"/>
      <c r="AS87" s="643"/>
      <c r="AT87" s="643"/>
      <c r="AU87" s="643"/>
      <c r="AV87" s="643"/>
      <c r="AW87" s="643"/>
      <c r="AX87" s="643"/>
    </row>
    <row r="88" spans="1:50" x14ac:dyDescent="0.25">
      <c r="A88" s="643"/>
      <c r="B88" s="643"/>
      <c r="C88" s="643"/>
      <c r="D88" s="643"/>
      <c r="E88" s="643"/>
      <c r="F88" s="666"/>
      <c r="G88" s="643"/>
      <c r="H88" s="643"/>
      <c r="I88" s="643"/>
      <c r="J88" s="643"/>
      <c r="K88" s="643"/>
      <c r="L88" s="643"/>
      <c r="M88" s="643"/>
      <c r="N88" s="643"/>
      <c r="O88" s="667"/>
      <c r="P88" s="643"/>
      <c r="Q88" s="643"/>
      <c r="R88" s="660"/>
      <c r="S88" s="660"/>
      <c r="T88" s="660"/>
      <c r="U88" s="660"/>
      <c r="V88" s="660"/>
      <c r="W88" s="660"/>
      <c r="X88" s="660"/>
      <c r="Y88" s="660"/>
      <c r="Z88" s="660"/>
      <c r="AA88" s="660"/>
      <c r="AB88" s="660"/>
      <c r="AC88" s="660"/>
      <c r="AD88" s="665"/>
      <c r="AE88" s="643"/>
      <c r="AF88" s="643"/>
      <c r="AG88" s="643"/>
      <c r="AH88" s="643"/>
      <c r="AI88" s="643"/>
      <c r="AJ88" s="643"/>
      <c r="AK88" s="643"/>
      <c r="AL88" s="643"/>
      <c r="AM88" s="643"/>
      <c r="AN88" s="643"/>
      <c r="AO88" s="643"/>
      <c r="AP88" s="643"/>
      <c r="AQ88" s="643"/>
      <c r="AR88" s="643"/>
      <c r="AS88" s="643"/>
      <c r="AT88" s="643"/>
      <c r="AU88" s="643"/>
      <c r="AV88" s="643"/>
      <c r="AW88" s="643"/>
      <c r="AX88" s="643"/>
    </row>
    <row r="89" spans="1:50" x14ac:dyDescent="0.25">
      <c r="A89" s="643"/>
      <c r="B89" s="643"/>
      <c r="C89" s="643"/>
      <c r="D89" s="643"/>
      <c r="E89" s="643"/>
      <c r="F89" s="666"/>
      <c r="G89" s="643"/>
      <c r="H89" s="643"/>
      <c r="I89" s="643"/>
      <c r="J89" s="643"/>
      <c r="K89" s="643"/>
      <c r="L89" s="643"/>
      <c r="M89" s="643"/>
      <c r="N89" s="643"/>
      <c r="O89" s="667"/>
      <c r="P89" s="643"/>
      <c r="Q89" s="643"/>
      <c r="R89" s="660"/>
      <c r="S89" s="660"/>
      <c r="T89" s="660"/>
      <c r="U89" s="660"/>
      <c r="V89" s="660"/>
      <c r="W89" s="660"/>
      <c r="X89" s="660"/>
      <c r="Y89" s="660"/>
      <c r="Z89" s="660"/>
      <c r="AA89" s="660"/>
      <c r="AB89" s="660"/>
      <c r="AC89" s="660"/>
      <c r="AD89" s="665"/>
      <c r="AE89" s="643"/>
      <c r="AF89" s="643"/>
      <c r="AG89" s="643"/>
      <c r="AH89" s="643"/>
      <c r="AI89" s="643"/>
      <c r="AJ89" s="643"/>
      <c r="AK89" s="643"/>
      <c r="AL89" s="643"/>
      <c r="AM89" s="643"/>
      <c r="AN89" s="643"/>
      <c r="AO89" s="643"/>
      <c r="AP89" s="643"/>
      <c r="AQ89" s="643"/>
      <c r="AR89" s="643"/>
      <c r="AS89" s="643"/>
      <c r="AT89" s="643"/>
      <c r="AU89" s="643"/>
      <c r="AV89" s="643"/>
      <c r="AW89" s="643"/>
      <c r="AX89" s="643"/>
    </row>
    <row r="90" spans="1:50" x14ac:dyDescent="0.25">
      <c r="A90" s="643"/>
      <c r="B90" s="643"/>
      <c r="C90" s="643"/>
      <c r="D90" s="643"/>
      <c r="E90" s="643"/>
      <c r="F90" s="666"/>
      <c r="G90" s="643"/>
      <c r="H90" s="643"/>
      <c r="I90" s="643"/>
      <c r="J90" s="643"/>
      <c r="K90" s="643"/>
      <c r="L90" s="643"/>
      <c r="M90" s="643"/>
      <c r="N90" s="643"/>
      <c r="O90" s="667"/>
      <c r="P90" s="643"/>
      <c r="Q90" s="643"/>
      <c r="R90" s="660"/>
      <c r="S90" s="660"/>
      <c r="T90" s="660"/>
      <c r="U90" s="660"/>
      <c r="V90" s="660"/>
      <c r="W90" s="660"/>
      <c r="X90" s="660"/>
      <c r="Y90" s="660"/>
      <c r="Z90" s="660"/>
      <c r="AA90" s="660"/>
      <c r="AB90" s="660"/>
      <c r="AC90" s="660"/>
      <c r="AD90" s="665"/>
      <c r="AE90" s="643"/>
      <c r="AF90" s="643"/>
      <c r="AG90" s="643"/>
      <c r="AH90" s="643"/>
      <c r="AI90" s="643"/>
      <c r="AJ90" s="643"/>
      <c r="AK90" s="643"/>
      <c r="AL90" s="643"/>
      <c r="AM90" s="643"/>
      <c r="AN90" s="643"/>
      <c r="AO90" s="643"/>
      <c r="AP90" s="643"/>
      <c r="AQ90" s="643"/>
      <c r="AR90" s="643"/>
      <c r="AS90" s="643"/>
      <c r="AT90" s="643"/>
      <c r="AU90" s="643"/>
      <c r="AV90" s="643"/>
      <c r="AW90" s="643"/>
      <c r="AX90" s="643"/>
    </row>
    <row r="91" spans="1:50" x14ac:dyDescent="0.25">
      <c r="A91" s="643"/>
      <c r="B91" s="643"/>
      <c r="C91" s="643"/>
      <c r="D91" s="643"/>
      <c r="E91" s="643"/>
      <c r="F91" s="666"/>
      <c r="G91" s="643"/>
      <c r="H91" s="643"/>
      <c r="I91" s="643"/>
      <c r="J91" s="643"/>
      <c r="K91" s="643"/>
      <c r="L91" s="643"/>
      <c r="M91" s="643"/>
      <c r="N91" s="643"/>
      <c r="O91" s="667"/>
      <c r="P91" s="643"/>
      <c r="Q91" s="643"/>
      <c r="R91" s="660"/>
      <c r="S91" s="660"/>
      <c r="T91" s="660"/>
      <c r="U91" s="660"/>
      <c r="V91" s="660"/>
      <c r="W91" s="660"/>
      <c r="X91" s="660"/>
      <c r="Y91" s="660"/>
      <c r="Z91" s="660"/>
      <c r="AA91" s="660"/>
      <c r="AB91" s="660"/>
      <c r="AC91" s="660"/>
      <c r="AD91" s="665"/>
      <c r="AE91" s="643"/>
      <c r="AF91" s="643"/>
      <c r="AG91" s="643"/>
      <c r="AH91" s="643"/>
      <c r="AI91" s="643"/>
      <c r="AJ91" s="643"/>
      <c r="AK91" s="643"/>
      <c r="AL91" s="643"/>
      <c r="AM91" s="643"/>
      <c r="AN91" s="643"/>
      <c r="AO91" s="643"/>
      <c r="AP91" s="643"/>
      <c r="AQ91" s="643"/>
      <c r="AR91" s="643"/>
      <c r="AS91" s="643"/>
      <c r="AT91" s="643"/>
      <c r="AU91" s="643"/>
      <c r="AV91" s="643"/>
      <c r="AW91" s="643"/>
      <c r="AX91" s="643"/>
    </row>
    <row r="92" spans="1:50" x14ac:dyDescent="0.25">
      <c r="A92" s="643"/>
      <c r="B92" s="643"/>
      <c r="C92" s="643"/>
      <c r="D92" s="643"/>
      <c r="E92" s="643"/>
      <c r="F92" s="666"/>
      <c r="G92" s="643"/>
      <c r="H92" s="643"/>
      <c r="I92" s="643"/>
      <c r="J92" s="643"/>
      <c r="K92" s="643"/>
      <c r="L92" s="643"/>
      <c r="M92" s="643"/>
      <c r="N92" s="643"/>
      <c r="O92" s="667"/>
      <c r="P92" s="643"/>
      <c r="Q92" s="643"/>
      <c r="R92" s="660"/>
      <c r="S92" s="660"/>
      <c r="T92" s="660"/>
      <c r="U92" s="660"/>
      <c r="V92" s="660"/>
      <c r="W92" s="660"/>
      <c r="X92" s="660"/>
      <c r="Y92" s="660"/>
      <c r="Z92" s="660"/>
      <c r="AA92" s="660"/>
      <c r="AB92" s="660"/>
      <c r="AC92" s="660"/>
      <c r="AD92" s="665"/>
      <c r="AE92" s="643"/>
      <c r="AF92" s="643"/>
      <c r="AG92" s="643"/>
      <c r="AH92" s="643"/>
      <c r="AI92" s="643"/>
      <c r="AJ92" s="643"/>
      <c r="AK92" s="643"/>
      <c r="AL92" s="643"/>
      <c r="AM92" s="643"/>
      <c r="AN92" s="643"/>
      <c r="AO92" s="643"/>
      <c r="AP92" s="643"/>
      <c r="AQ92" s="643"/>
      <c r="AR92" s="643"/>
      <c r="AS92" s="643"/>
      <c r="AT92" s="643"/>
      <c r="AU92" s="643"/>
      <c r="AV92" s="643"/>
      <c r="AW92" s="643"/>
      <c r="AX92" s="643"/>
    </row>
    <row r="93" spans="1:50" x14ac:dyDescent="0.25">
      <c r="A93" s="643"/>
      <c r="B93" s="643"/>
      <c r="C93" s="643"/>
      <c r="D93" s="643"/>
      <c r="E93" s="643"/>
      <c r="F93" s="666"/>
      <c r="G93" s="643"/>
      <c r="H93" s="643"/>
      <c r="I93" s="643"/>
      <c r="J93" s="643"/>
      <c r="K93" s="643"/>
      <c r="L93" s="643"/>
      <c r="M93" s="643"/>
      <c r="N93" s="643"/>
      <c r="O93" s="667"/>
      <c r="P93" s="643"/>
      <c r="Q93" s="643"/>
      <c r="R93" s="660"/>
      <c r="S93" s="660"/>
      <c r="T93" s="660"/>
      <c r="U93" s="660"/>
      <c r="V93" s="660"/>
      <c r="W93" s="660"/>
      <c r="X93" s="660"/>
      <c r="Y93" s="660"/>
      <c r="Z93" s="660"/>
      <c r="AA93" s="660"/>
      <c r="AB93" s="660"/>
      <c r="AC93" s="660"/>
      <c r="AD93" s="665"/>
      <c r="AE93" s="643"/>
      <c r="AF93" s="643"/>
      <c r="AG93" s="643"/>
      <c r="AH93" s="643"/>
      <c r="AI93" s="643"/>
      <c r="AJ93" s="643"/>
      <c r="AK93" s="643"/>
      <c r="AL93" s="643"/>
      <c r="AM93" s="643"/>
      <c r="AN93" s="643"/>
      <c r="AO93" s="643"/>
      <c r="AP93" s="643"/>
      <c r="AQ93" s="643"/>
      <c r="AR93" s="643"/>
      <c r="AS93" s="643"/>
      <c r="AT93" s="643"/>
      <c r="AU93" s="643"/>
      <c r="AV93" s="643"/>
      <c r="AW93" s="643"/>
      <c r="AX93" s="643"/>
    </row>
    <row r="94" spans="1:50" x14ac:dyDescent="0.25">
      <c r="A94" s="643"/>
      <c r="B94" s="643"/>
      <c r="C94" s="643"/>
      <c r="D94" s="643"/>
      <c r="E94" s="643"/>
      <c r="F94" s="666"/>
      <c r="G94" s="643"/>
      <c r="H94" s="643"/>
      <c r="I94" s="643"/>
      <c r="J94" s="643"/>
      <c r="K94" s="643"/>
      <c r="L94" s="643"/>
      <c r="M94" s="643"/>
      <c r="N94" s="643"/>
      <c r="O94" s="667"/>
      <c r="P94" s="643"/>
      <c r="Q94" s="643"/>
      <c r="R94" s="660"/>
      <c r="S94" s="660"/>
      <c r="T94" s="660"/>
      <c r="U94" s="660"/>
      <c r="V94" s="660"/>
      <c r="W94" s="660"/>
      <c r="X94" s="660"/>
      <c r="Y94" s="660"/>
      <c r="Z94" s="660"/>
      <c r="AA94" s="660"/>
      <c r="AB94" s="660"/>
      <c r="AC94" s="660"/>
      <c r="AD94" s="665"/>
      <c r="AE94" s="643"/>
      <c r="AF94" s="643"/>
      <c r="AG94" s="643"/>
      <c r="AH94" s="643"/>
      <c r="AI94" s="643"/>
      <c r="AJ94" s="643"/>
      <c r="AK94" s="643"/>
      <c r="AL94" s="643"/>
      <c r="AM94" s="643"/>
      <c r="AN94" s="643"/>
      <c r="AO94" s="643"/>
      <c r="AP94" s="643"/>
      <c r="AQ94" s="643"/>
      <c r="AR94" s="643"/>
      <c r="AS94" s="643"/>
      <c r="AT94" s="643"/>
      <c r="AU94" s="643"/>
      <c r="AV94" s="643"/>
      <c r="AW94" s="643"/>
      <c r="AX94" s="643"/>
    </row>
    <row r="95" spans="1:50" x14ac:dyDescent="0.25">
      <c r="A95" s="643"/>
      <c r="B95" s="643"/>
      <c r="C95" s="643"/>
      <c r="D95" s="643"/>
      <c r="E95" s="643"/>
      <c r="F95" s="666"/>
      <c r="G95" s="643"/>
      <c r="H95" s="643"/>
      <c r="I95" s="643"/>
      <c r="J95" s="643"/>
      <c r="K95" s="643"/>
      <c r="L95" s="643"/>
      <c r="M95" s="643"/>
      <c r="N95" s="643"/>
      <c r="O95" s="667"/>
      <c r="P95" s="643"/>
      <c r="Q95" s="643"/>
      <c r="R95" s="660"/>
      <c r="S95" s="660"/>
      <c r="T95" s="660"/>
      <c r="U95" s="660"/>
      <c r="V95" s="660"/>
      <c r="W95" s="660"/>
      <c r="X95" s="660"/>
      <c r="Y95" s="660"/>
      <c r="Z95" s="660"/>
      <c r="AA95" s="660"/>
      <c r="AB95" s="660"/>
      <c r="AC95" s="660"/>
      <c r="AD95" s="665"/>
      <c r="AE95" s="643"/>
      <c r="AF95" s="643"/>
      <c r="AG95" s="643"/>
      <c r="AH95" s="643"/>
      <c r="AI95" s="643"/>
      <c r="AJ95" s="643"/>
      <c r="AK95" s="643"/>
      <c r="AL95" s="643"/>
      <c r="AM95" s="643"/>
      <c r="AN95" s="643"/>
      <c r="AO95" s="643"/>
      <c r="AP95" s="643"/>
      <c r="AQ95" s="643"/>
      <c r="AR95" s="643"/>
      <c r="AS95" s="643"/>
      <c r="AT95" s="643"/>
      <c r="AU95" s="643"/>
      <c r="AV95" s="643"/>
      <c r="AW95" s="643"/>
      <c r="AX95" s="643"/>
    </row>
    <row r="96" spans="1:50" x14ac:dyDescent="0.25">
      <c r="A96" s="643"/>
      <c r="B96" s="643"/>
      <c r="C96" s="643"/>
      <c r="D96" s="643"/>
      <c r="E96" s="643"/>
      <c r="F96" s="666"/>
      <c r="G96" s="643"/>
      <c r="H96" s="643"/>
      <c r="I96" s="643"/>
      <c r="J96" s="643"/>
      <c r="K96" s="643"/>
      <c r="L96" s="643"/>
      <c r="M96" s="643"/>
      <c r="N96" s="643"/>
      <c r="O96" s="667"/>
      <c r="P96" s="643"/>
      <c r="Q96" s="643"/>
      <c r="R96" s="660"/>
      <c r="S96" s="660"/>
      <c r="T96" s="660"/>
      <c r="U96" s="660"/>
      <c r="V96" s="660"/>
      <c r="W96" s="660"/>
      <c r="X96" s="660"/>
      <c r="Y96" s="660"/>
      <c r="Z96" s="660"/>
      <c r="AA96" s="660"/>
      <c r="AB96" s="660"/>
      <c r="AC96" s="660"/>
      <c r="AD96" s="665"/>
      <c r="AE96" s="643"/>
      <c r="AF96" s="643"/>
      <c r="AG96" s="643"/>
      <c r="AH96" s="643"/>
      <c r="AI96" s="643"/>
      <c r="AJ96" s="643"/>
      <c r="AK96" s="643"/>
      <c r="AL96" s="643"/>
      <c r="AM96" s="643"/>
      <c r="AN96" s="643"/>
      <c r="AO96" s="643"/>
      <c r="AP96" s="643"/>
      <c r="AQ96" s="643"/>
      <c r="AR96" s="643"/>
      <c r="AS96" s="643"/>
      <c r="AT96" s="643"/>
      <c r="AU96" s="643"/>
      <c r="AV96" s="643"/>
      <c r="AW96" s="643"/>
      <c r="AX96" s="643"/>
    </row>
    <row r="97" spans="6:30" x14ac:dyDescent="0.25">
      <c r="F97" s="666"/>
      <c r="G97" s="643"/>
      <c r="H97" s="643"/>
      <c r="I97" s="643"/>
      <c r="J97" s="643"/>
      <c r="K97" s="643"/>
      <c r="L97" s="643"/>
      <c r="M97" s="643"/>
      <c r="N97" s="643"/>
      <c r="O97" s="667"/>
      <c r="P97" s="643"/>
      <c r="Q97" s="643"/>
      <c r="R97" s="660"/>
      <c r="S97" s="660"/>
      <c r="T97" s="660"/>
      <c r="U97" s="660"/>
      <c r="V97" s="660"/>
      <c r="W97" s="660"/>
      <c r="X97" s="660"/>
      <c r="Y97" s="660"/>
      <c r="Z97" s="660"/>
      <c r="AA97" s="660"/>
      <c r="AB97" s="660"/>
      <c r="AC97" s="660"/>
      <c r="AD97" s="665"/>
    </row>
    <row r="98" spans="6:30" x14ac:dyDescent="0.25">
      <c r="F98" s="666"/>
      <c r="G98" s="643"/>
      <c r="H98" s="643"/>
      <c r="I98" s="643"/>
      <c r="J98" s="643"/>
      <c r="K98" s="643"/>
      <c r="L98" s="643"/>
      <c r="M98" s="643"/>
      <c r="N98" s="643"/>
      <c r="O98" s="667"/>
      <c r="P98" s="643"/>
      <c r="Q98" s="643"/>
      <c r="R98" s="660"/>
      <c r="S98" s="660"/>
      <c r="T98" s="660"/>
      <c r="U98" s="660"/>
      <c r="V98" s="660"/>
      <c r="W98" s="660"/>
      <c r="X98" s="660"/>
      <c r="Y98" s="660"/>
      <c r="Z98" s="660"/>
      <c r="AA98" s="660"/>
      <c r="AB98" s="660"/>
      <c r="AC98" s="660"/>
      <c r="AD98" s="665"/>
    </row>
    <row r="99" spans="6:30" x14ac:dyDescent="0.25">
      <c r="F99" s="666"/>
      <c r="G99" s="643"/>
      <c r="H99" s="643"/>
      <c r="I99" s="643"/>
      <c r="J99" s="643"/>
      <c r="K99" s="643"/>
      <c r="L99" s="643"/>
      <c r="M99" s="643"/>
      <c r="N99" s="643"/>
      <c r="O99" s="667"/>
      <c r="P99" s="643"/>
      <c r="Q99" s="643"/>
      <c r="R99" s="660"/>
      <c r="S99" s="660"/>
      <c r="T99" s="660"/>
      <c r="U99" s="660"/>
      <c r="V99" s="660"/>
      <c r="W99" s="660"/>
      <c r="X99" s="660"/>
      <c r="Y99" s="660"/>
      <c r="Z99" s="660"/>
      <c r="AA99" s="660"/>
      <c r="AB99" s="660"/>
      <c r="AC99" s="660"/>
      <c r="AD99" s="665"/>
    </row>
    <row r="100" spans="6:30" x14ac:dyDescent="0.25">
      <c r="F100" s="666"/>
      <c r="G100" s="643"/>
      <c r="H100" s="643"/>
      <c r="I100" s="643"/>
      <c r="J100" s="643"/>
      <c r="K100" s="643"/>
      <c r="L100" s="643"/>
      <c r="M100" s="643"/>
      <c r="N100" s="643"/>
      <c r="O100" s="667"/>
      <c r="P100" s="643"/>
      <c r="Q100" s="643"/>
      <c r="R100" s="660"/>
      <c r="S100" s="660"/>
      <c r="T100" s="660"/>
      <c r="U100" s="660"/>
      <c r="V100" s="660"/>
      <c r="W100" s="660"/>
      <c r="X100" s="660"/>
      <c r="Y100" s="660"/>
      <c r="Z100" s="660"/>
      <c r="AA100" s="660"/>
      <c r="AB100" s="660"/>
      <c r="AC100" s="660"/>
      <c r="AD100" s="665"/>
    </row>
    <row r="101" spans="6:30" x14ac:dyDescent="0.25">
      <c r="F101" s="666"/>
      <c r="G101" s="643"/>
      <c r="H101" s="643"/>
      <c r="I101" s="643"/>
      <c r="J101" s="643"/>
      <c r="K101" s="643"/>
      <c r="L101" s="643"/>
      <c r="M101" s="643"/>
      <c r="N101" s="643"/>
      <c r="O101" s="667"/>
      <c r="P101" s="643"/>
      <c r="Q101" s="643"/>
      <c r="R101" s="660"/>
      <c r="S101" s="660"/>
      <c r="T101" s="660"/>
      <c r="U101" s="660"/>
      <c r="V101" s="660"/>
      <c r="W101" s="660"/>
      <c r="X101" s="660"/>
      <c r="Y101" s="660"/>
      <c r="Z101" s="660"/>
      <c r="AA101" s="660"/>
      <c r="AB101" s="660"/>
      <c r="AC101" s="660"/>
      <c r="AD101" s="665"/>
    </row>
    <row r="102" spans="6:30" x14ac:dyDescent="0.25">
      <c r="F102" s="666"/>
      <c r="G102" s="643"/>
      <c r="H102" s="643"/>
      <c r="I102" s="643"/>
      <c r="J102" s="643"/>
      <c r="K102" s="643"/>
      <c r="L102" s="643"/>
      <c r="M102" s="643"/>
      <c r="N102" s="643"/>
      <c r="O102" s="667"/>
      <c r="P102" s="643"/>
      <c r="Q102" s="643"/>
      <c r="R102" s="660"/>
      <c r="S102" s="660"/>
      <c r="T102" s="660"/>
      <c r="U102" s="660"/>
      <c r="V102" s="660"/>
      <c r="W102" s="660"/>
      <c r="X102" s="660"/>
      <c r="Y102" s="660"/>
      <c r="Z102" s="660"/>
      <c r="AA102" s="660"/>
      <c r="AB102" s="660"/>
      <c r="AC102" s="660"/>
      <c r="AD102" s="665"/>
    </row>
    <row r="103" spans="6:30" x14ac:dyDescent="0.25">
      <c r="F103" s="666"/>
      <c r="G103" s="643"/>
      <c r="H103" s="643"/>
      <c r="I103" s="643"/>
      <c r="J103" s="643"/>
      <c r="K103" s="643"/>
      <c r="L103" s="643"/>
      <c r="M103" s="643"/>
      <c r="N103" s="643"/>
      <c r="O103" s="667"/>
      <c r="P103" s="643"/>
      <c r="Q103" s="643"/>
      <c r="R103" s="660"/>
      <c r="S103" s="660"/>
      <c r="T103" s="660"/>
      <c r="U103" s="660"/>
      <c r="V103" s="660"/>
      <c r="W103" s="660"/>
      <c r="X103" s="660"/>
      <c r="Y103" s="660"/>
      <c r="Z103" s="660"/>
      <c r="AA103" s="660"/>
      <c r="AB103" s="660"/>
      <c r="AC103" s="660"/>
      <c r="AD103" s="665"/>
    </row>
    <row r="104" spans="6:30" x14ac:dyDescent="0.25">
      <c r="F104" s="666"/>
      <c r="G104" s="643"/>
      <c r="H104" s="643"/>
      <c r="I104" s="643"/>
      <c r="J104" s="643"/>
      <c r="K104" s="643"/>
      <c r="L104" s="643"/>
      <c r="M104" s="643"/>
      <c r="N104" s="643"/>
      <c r="O104" s="667"/>
      <c r="P104" s="643"/>
      <c r="Q104" s="643"/>
      <c r="R104" s="660"/>
      <c r="S104" s="660"/>
      <c r="T104" s="660"/>
      <c r="U104" s="660"/>
      <c r="V104" s="660"/>
      <c r="W104" s="660"/>
      <c r="X104" s="660"/>
      <c r="Y104" s="660"/>
      <c r="Z104" s="660"/>
      <c r="AA104" s="660"/>
      <c r="AB104" s="660"/>
      <c r="AC104" s="660"/>
      <c r="AD104" s="665"/>
    </row>
    <row r="105" spans="6:30" x14ac:dyDescent="0.25">
      <c r="F105" s="666"/>
      <c r="G105" s="643"/>
      <c r="H105" s="643"/>
      <c r="I105" s="643"/>
      <c r="J105" s="643"/>
      <c r="K105" s="643"/>
      <c r="L105" s="643"/>
      <c r="M105" s="643"/>
      <c r="N105" s="643"/>
      <c r="O105" s="667"/>
      <c r="P105" s="643"/>
      <c r="Q105" s="643"/>
      <c r="R105" s="660"/>
      <c r="S105" s="660"/>
      <c r="T105" s="660"/>
      <c r="U105" s="660"/>
      <c r="V105" s="660"/>
      <c r="W105" s="660"/>
      <c r="X105" s="660"/>
      <c r="Y105" s="660"/>
      <c r="Z105" s="660"/>
      <c r="AA105" s="660"/>
      <c r="AB105" s="660"/>
      <c r="AC105" s="660"/>
      <c r="AD105" s="665"/>
    </row>
    <row r="106" spans="6:30" x14ac:dyDescent="0.25">
      <c r="F106" s="666"/>
      <c r="G106" s="643"/>
      <c r="H106" s="643"/>
      <c r="I106" s="643"/>
      <c r="J106" s="643"/>
      <c r="K106" s="643"/>
      <c r="L106" s="643"/>
      <c r="M106" s="643"/>
      <c r="N106" s="643"/>
      <c r="O106" s="667"/>
      <c r="P106" s="643"/>
      <c r="Q106" s="643"/>
      <c r="R106" s="660"/>
      <c r="S106" s="660"/>
      <c r="T106" s="660"/>
      <c r="U106" s="660"/>
      <c r="V106" s="660"/>
      <c r="W106" s="660"/>
      <c r="X106" s="660"/>
      <c r="Y106" s="660"/>
      <c r="Z106" s="660"/>
      <c r="AA106" s="660"/>
      <c r="AB106" s="660"/>
      <c r="AC106" s="660"/>
      <c r="AD106" s="665"/>
    </row>
    <row r="107" spans="6:30" x14ac:dyDescent="0.25">
      <c r="F107" s="666"/>
      <c r="G107" s="643"/>
      <c r="H107" s="643"/>
      <c r="I107" s="643"/>
      <c r="J107" s="643"/>
      <c r="K107" s="643"/>
      <c r="L107" s="643"/>
      <c r="M107" s="643"/>
      <c r="N107" s="643"/>
      <c r="O107" s="667"/>
      <c r="P107" s="643"/>
      <c r="Q107" s="643"/>
      <c r="R107" s="660"/>
      <c r="S107" s="660"/>
      <c r="T107" s="660"/>
      <c r="U107" s="660"/>
      <c r="V107" s="660"/>
      <c r="W107" s="660"/>
      <c r="X107" s="660"/>
      <c r="Y107" s="660"/>
      <c r="Z107" s="660"/>
      <c r="AA107" s="660"/>
      <c r="AB107" s="660"/>
      <c r="AC107" s="660"/>
      <c r="AD107" s="665"/>
    </row>
    <row r="108" spans="6:30" x14ac:dyDescent="0.25">
      <c r="F108" s="666"/>
      <c r="G108" s="643"/>
      <c r="H108" s="643"/>
      <c r="I108" s="643"/>
      <c r="J108" s="643"/>
      <c r="K108" s="643"/>
      <c r="L108" s="643"/>
      <c r="M108" s="643"/>
      <c r="N108" s="643"/>
      <c r="O108" s="667"/>
      <c r="P108" s="643"/>
      <c r="Q108" s="643"/>
      <c r="R108" s="660"/>
      <c r="S108" s="660"/>
      <c r="T108" s="660"/>
      <c r="U108" s="660"/>
      <c r="V108" s="660"/>
      <c r="W108" s="660"/>
      <c r="X108" s="660"/>
      <c r="Y108" s="660"/>
      <c r="Z108" s="660"/>
      <c r="AA108" s="660"/>
      <c r="AB108" s="660"/>
      <c r="AC108" s="660"/>
      <c r="AD108" s="665"/>
    </row>
    <row r="109" spans="6:30" x14ac:dyDescent="0.25">
      <c r="F109" s="666"/>
      <c r="G109" s="643"/>
      <c r="H109" s="643"/>
      <c r="I109" s="643"/>
      <c r="J109" s="643"/>
      <c r="K109" s="643"/>
      <c r="L109" s="643"/>
      <c r="M109" s="643"/>
      <c r="N109" s="643"/>
      <c r="O109" s="667"/>
      <c r="P109" s="643"/>
      <c r="Q109" s="643"/>
      <c r="R109" s="660"/>
      <c r="S109" s="660"/>
      <c r="T109" s="660"/>
      <c r="U109" s="660"/>
      <c r="V109" s="660"/>
      <c r="W109" s="660"/>
      <c r="X109" s="660"/>
      <c r="Y109" s="660"/>
      <c r="Z109" s="660"/>
      <c r="AA109" s="660"/>
      <c r="AB109" s="660"/>
      <c r="AC109" s="660"/>
      <c r="AD109" s="665"/>
    </row>
    <row r="110" spans="6:30" x14ac:dyDescent="0.25">
      <c r="F110" s="666"/>
      <c r="G110" s="643"/>
      <c r="H110" s="643"/>
      <c r="I110" s="643"/>
      <c r="J110" s="643"/>
      <c r="K110" s="643"/>
      <c r="L110" s="643"/>
      <c r="M110" s="643"/>
      <c r="N110" s="643"/>
      <c r="O110" s="667"/>
      <c r="P110" s="643"/>
      <c r="Q110" s="643"/>
      <c r="R110" s="660"/>
      <c r="S110" s="660"/>
      <c r="T110" s="660"/>
      <c r="U110" s="660"/>
      <c r="V110" s="660"/>
      <c r="W110" s="660"/>
      <c r="X110" s="660"/>
      <c r="Y110" s="660"/>
      <c r="Z110" s="660"/>
      <c r="AA110" s="660"/>
      <c r="AB110" s="660"/>
      <c r="AC110" s="660"/>
      <c r="AD110" s="665"/>
    </row>
    <row r="111" spans="6:30" x14ac:dyDescent="0.25">
      <c r="F111" s="666"/>
      <c r="G111" s="643"/>
      <c r="H111" s="643"/>
      <c r="I111" s="643"/>
      <c r="J111" s="643"/>
      <c r="K111" s="643"/>
      <c r="L111" s="643"/>
      <c r="M111" s="643"/>
      <c r="N111" s="643"/>
      <c r="O111" s="667"/>
      <c r="P111" s="643"/>
      <c r="Q111" s="643"/>
      <c r="R111" s="660"/>
      <c r="S111" s="660"/>
      <c r="T111" s="660"/>
      <c r="U111" s="660"/>
      <c r="V111" s="660"/>
      <c r="W111" s="660"/>
      <c r="X111" s="660"/>
      <c r="Y111" s="660"/>
      <c r="Z111" s="660"/>
      <c r="AA111" s="660"/>
      <c r="AB111" s="660"/>
      <c r="AC111" s="660"/>
      <c r="AD111" s="665"/>
    </row>
    <row r="112" spans="6:30" x14ac:dyDescent="0.25">
      <c r="F112" s="666"/>
      <c r="G112" s="643"/>
      <c r="H112" s="643"/>
      <c r="I112" s="643"/>
      <c r="J112" s="643"/>
      <c r="K112" s="643"/>
      <c r="L112" s="643"/>
      <c r="M112" s="643"/>
      <c r="N112" s="643"/>
      <c r="O112" s="667"/>
      <c r="P112" s="643"/>
      <c r="Q112" s="643"/>
      <c r="R112" s="660"/>
      <c r="S112" s="660"/>
      <c r="T112" s="660"/>
      <c r="U112" s="660"/>
      <c r="V112" s="660"/>
      <c r="W112" s="660"/>
      <c r="X112" s="660"/>
      <c r="Y112" s="660"/>
      <c r="Z112" s="660"/>
      <c r="AA112" s="660"/>
      <c r="AB112" s="660"/>
      <c r="AC112" s="660"/>
      <c r="AD112" s="665"/>
    </row>
    <row r="113" spans="6:30" x14ac:dyDescent="0.25">
      <c r="F113" s="666"/>
      <c r="G113" s="643"/>
      <c r="H113" s="643"/>
      <c r="I113" s="643"/>
      <c r="J113" s="643"/>
      <c r="K113" s="643"/>
      <c r="L113" s="643"/>
      <c r="M113" s="643"/>
      <c r="N113" s="643"/>
      <c r="O113" s="667"/>
      <c r="P113" s="643"/>
      <c r="Q113" s="643"/>
      <c r="R113" s="660"/>
      <c r="S113" s="660"/>
      <c r="T113" s="660"/>
      <c r="U113" s="660"/>
      <c r="V113" s="660"/>
      <c r="W113" s="660"/>
      <c r="X113" s="660"/>
      <c r="Y113" s="660"/>
      <c r="Z113" s="660"/>
      <c r="AA113" s="660"/>
      <c r="AB113" s="660"/>
      <c r="AC113" s="660"/>
      <c r="AD113" s="665"/>
    </row>
    <row r="114" spans="6:30" x14ac:dyDescent="0.25">
      <c r="F114" s="666"/>
      <c r="G114" s="643"/>
      <c r="H114" s="643"/>
      <c r="I114" s="643"/>
      <c r="J114" s="643"/>
      <c r="K114" s="643"/>
      <c r="L114" s="643"/>
      <c r="M114" s="643"/>
      <c r="N114" s="643"/>
      <c r="O114" s="667"/>
      <c r="P114" s="643"/>
      <c r="Q114" s="643"/>
      <c r="R114" s="660"/>
      <c r="S114" s="660"/>
      <c r="T114" s="660"/>
      <c r="U114" s="660"/>
      <c r="V114" s="660"/>
      <c r="W114" s="660"/>
      <c r="X114" s="660"/>
      <c r="Y114" s="660"/>
      <c r="Z114" s="660"/>
      <c r="AA114" s="660"/>
      <c r="AB114" s="660"/>
      <c r="AC114" s="660"/>
      <c r="AD114" s="665"/>
    </row>
    <row r="115" spans="6:30" x14ac:dyDescent="0.25">
      <c r="F115" s="666"/>
      <c r="G115" s="643"/>
      <c r="H115" s="643"/>
      <c r="I115" s="643"/>
      <c r="J115" s="643"/>
      <c r="K115" s="643"/>
      <c r="L115" s="643"/>
      <c r="M115" s="643"/>
      <c r="N115" s="643"/>
      <c r="O115" s="667"/>
      <c r="P115" s="643"/>
      <c r="Q115" s="643"/>
      <c r="R115" s="660"/>
      <c r="S115" s="660"/>
      <c r="T115" s="660"/>
      <c r="U115" s="660"/>
      <c r="V115" s="660"/>
      <c r="W115" s="660"/>
      <c r="X115" s="660"/>
      <c r="Y115" s="660"/>
      <c r="Z115" s="660"/>
      <c r="AA115" s="660"/>
      <c r="AB115" s="660"/>
      <c r="AC115" s="660"/>
      <c r="AD115" s="665"/>
    </row>
    <row r="116" spans="6:30" x14ac:dyDescent="0.25">
      <c r="F116" s="666"/>
      <c r="G116" s="643"/>
      <c r="H116" s="643"/>
      <c r="I116" s="643"/>
      <c r="J116" s="643"/>
      <c r="K116" s="643"/>
      <c r="L116" s="643"/>
      <c r="M116" s="643"/>
      <c r="N116" s="643"/>
      <c r="O116" s="667"/>
      <c r="P116" s="643"/>
      <c r="Q116" s="643"/>
      <c r="R116" s="660"/>
      <c r="S116" s="660"/>
      <c r="T116" s="660"/>
      <c r="U116" s="660"/>
      <c r="V116" s="660"/>
      <c r="W116" s="660"/>
      <c r="X116" s="660"/>
      <c r="Y116" s="660"/>
      <c r="Z116" s="660"/>
      <c r="AA116" s="660"/>
      <c r="AB116" s="660"/>
      <c r="AC116" s="660"/>
      <c r="AD116" s="665"/>
    </row>
    <row r="117" spans="6:30" x14ac:dyDescent="0.25">
      <c r="F117" s="666"/>
      <c r="G117" s="643"/>
      <c r="H117" s="643"/>
      <c r="I117" s="643"/>
      <c r="J117" s="643"/>
      <c r="K117" s="643"/>
      <c r="L117" s="643"/>
      <c r="M117" s="643"/>
      <c r="N117" s="643"/>
      <c r="O117" s="667"/>
      <c r="P117" s="643"/>
      <c r="Q117" s="643"/>
      <c r="R117" s="660"/>
      <c r="S117" s="660"/>
      <c r="T117" s="660"/>
      <c r="U117" s="660"/>
      <c r="V117" s="660"/>
      <c r="W117" s="660"/>
      <c r="X117" s="660"/>
      <c r="Y117" s="660"/>
      <c r="Z117" s="660"/>
      <c r="AA117" s="660"/>
      <c r="AB117" s="660"/>
      <c r="AC117" s="660"/>
      <c r="AD117" s="665"/>
    </row>
    <row r="118" spans="6:30" x14ac:dyDescent="0.25">
      <c r="F118" s="666"/>
      <c r="G118" s="643"/>
      <c r="H118" s="643"/>
      <c r="I118" s="643"/>
      <c r="J118" s="643"/>
      <c r="K118" s="643"/>
      <c r="L118" s="643"/>
      <c r="M118" s="643"/>
      <c r="N118" s="643"/>
      <c r="O118" s="667"/>
      <c r="P118" s="643"/>
      <c r="Q118" s="643"/>
      <c r="R118" s="660"/>
      <c r="S118" s="660"/>
      <c r="T118" s="660"/>
      <c r="U118" s="660"/>
      <c r="V118" s="660"/>
      <c r="W118" s="660"/>
      <c r="X118" s="660"/>
      <c r="Y118" s="660"/>
      <c r="Z118" s="660"/>
      <c r="AA118" s="660"/>
      <c r="AB118" s="660"/>
      <c r="AC118" s="660"/>
      <c r="AD118" s="665"/>
    </row>
    <row r="119" spans="6:30" x14ac:dyDescent="0.25">
      <c r="F119" s="666"/>
      <c r="G119" s="643"/>
      <c r="H119" s="643"/>
      <c r="I119" s="643"/>
      <c r="J119" s="643"/>
      <c r="K119" s="643"/>
      <c r="L119" s="643"/>
      <c r="M119" s="643"/>
      <c r="N119" s="643"/>
      <c r="O119" s="667"/>
      <c r="P119" s="643"/>
      <c r="Q119" s="643"/>
      <c r="R119" s="660"/>
      <c r="S119" s="660"/>
      <c r="T119" s="660"/>
      <c r="U119" s="660"/>
      <c r="V119" s="660"/>
      <c r="W119" s="660"/>
      <c r="X119" s="660"/>
      <c r="Y119" s="660"/>
      <c r="Z119" s="660"/>
      <c r="AA119" s="660"/>
      <c r="AB119" s="660"/>
      <c r="AC119" s="660"/>
      <c r="AD119" s="665"/>
    </row>
    <row r="120" spans="6:30" x14ac:dyDescent="0.25">
      <c r="F120" s="666"/>
      <c r="G120" s="643"/>
      <c r="H120" s="643"/>
      <c r="I120" s="643"/>
      <c r="J120" s="643"/>
      <c r="K120" s="643"/>
      <c r="L120" s="643"/>
      <c r="M120" s="643"/>
      <c r="N120" s="643"/>
      <c r="O120" s="667"/>
      <c r="P120" s="643"/>
      <c r="Q120" s="643"/>
      <c r="R120" s="660"/>
      <c r="S120" s="660"/>
      <c r="T120" s="660"/>
      <c r="U120" s="660"/>
      <c r="V120" s="660"/>
      <c r="W120" s="660"/>
      <c r="X120" s="660"/>
      <c r="Y120" s="660"/>
      <c r="Z120" s="660"/>
      <c r="AA120" s="660"/>
      <c r="AB120" s="660"/>
      <c r="AC120" s="660"/>
      <c r="AD120" s="665"/>
    </row>
    <row r="121" spans="6:30" x14ac:dyDescent="0.25">
      <c r="F121" s="666"/>
      <c r="G121" s="643"/>
      <c r="H121" s="643"/>
      <c r="I121" s="643"/>
      <c r="J121" s="643"/>
      <c r="K121" s="643"/>
      <c r="L121" s="643"/>
      <c r="M121" s="643"/>
      <c r="N121" s="643"/>
      <c r="O121" s="667"/>
      <c r="P121" s="643"/>
      <c r="Q121" s="643"/>
      <c r="R121" s="660"/>
      <c r="S121" s="660"/>
      <c r="T121" s="660"/>
      <c r="U121" s="660"/>
      <c r="V121" s="660"/>
      <c r="W121" s="660"/>
      <c r="X121" s="660"/>
      <c r="Y121" s="660"/>
      <c r="Z121" s="660"/>
      <c r="AA121" s="660"/>
      <c r="AB121" s="660"/>
      <c r="AC121" s="660"/>
      <c r="AD121" s="665"/>
    </row>
    <row r="122" spans="6:30" x14ac:dyDescent="0.25">
      <c r="F122" s="666"/>
      <c r="G122" s="643"/>
      <c r="H122" s="643"/>
      <c r="I122" s="643"/>
      <c r="J122" s="643"/>
      <c r="K122" s="643"/>
      <c r="L122" s="643"/>
      <c r="M122" s="643"/>
      <c r="N122" s="643"/>
      <c r="O122" s="667"/>
      <c r="P122" s="643"/>
      <c r="Q122" s="643"/>
      <c r="R122" s="660"/>
      <c r="S122" s="660"/>
      <c r="T122" s="660"/>
      <c r="U122" s="660"/>
      <c r="V122" s="660"/>
      <c r="W122" s="660"/>
      <c r="X122" s="660"/>
      <c r="Y122" s="660"/>
      <c r="Z122" s="660"/>
      <c r="AA122" s="660"/>
      <c r="AB122" s="660"/>
      <c r="AC122" s="660"/>
      <c r="AD122" s="665"/>
    </row>
    <row r="123" spans="6:30" x14ac:dyDescent="0.25">
      <c r="F123" s="666"/>
      <c r="G123" s="643"/>
      <c r="H123" s="643"/>
      <c r="I123" s="643"/>
      <c r="J123" s="643"/>
      <c r="K123" s="643"/>
      <c r="L123" s="643"/>
      <c r="M123" s="643"/>
      <c r="N123" s="643"/>
      <c r="O123" s="667"/>
      <c r="P123" s="643"/>
      <c r="Q123" s="643"/>
      <c r="R123" s="660"/>
      <c r="S123" s="660"/>
      <c r="T123" s="660"/>
      <c r="U123" s="660"/>
      <c r="V123" s="660"/>
      <c r="W123" s="660"/>
      <c r="X123" s="660"/>
      <c r="Y123" s="660"/>
      <c r="Z123" s="660"/>
      <c r="AA123" s="660"/>
      <c r="AB123" s="660"/>
      <c r="AC123" s="660"/>
      <c r="AD123" s="665"/>
    </row>
    <row r="124" spans="6:30" x14ac:dyDescent="0.25">
      <c r="F124" s="666"/>
      <c r="G124" s="643"/>
      <c r="H124" s="643"/>
      <c r="I124" s="643"/>
      <c r="J124" s="643"/>
      <c r="K124" s="643"/>
      <c r="L124" s="643"/>
      <c r="M124" s="643"/>
      <c r="N124" s="643"/>
      <c r="O124" s="667"/>
      <c r="P124" s="643"/>
      <c r="Q124" s="643"/>
      <c r="R124" s="660"/>
      <c r="S124" s="660"/>
      <c r="T124" s="660"/>
      <c r="U124" s="660"/>
      <c r="V124" s="660"/>
      <c r="W124" s="660"/>
      <c r="X124" s="660"/>
      <c r="Y124" s="660"/>
      <c r="Z124" s="660"/>
      <c r="AA124" s="660"/>
      <c r="AB124" s="660"/>
      <c r="AC124" s="660"/>
      <c r="AD124" s="665"/>
    </row>
    <row r="125" spans="6:30" x14ac:dyDescent="0.25">
      <c r="F125" s="666"/>
      <c r="G125" s="643"/>
      <c r="H125" s="643"/>
      <c r="I125" s="643"/>
      <c r="J125" s="643"/>
      <c r="K125" s="643"/>
      <c r="L125" s="643"/>
      <c r="M125" s="643"/>
      <c r="N125" s="643"/>
      <c r="O125" s="667"/>
      <c r="P125" s="643"/>
      <c r="Q125" s="643"/>
      <c r="R125" s="660"/>
      <c r="S125" s="660"/>
      <c r="T125" s="660"/>
      <c r="U125" s="660"/>
      <c r="V125" s="660"/>
      <c r="W125" s="660"/>
      <c r="X125" s="660"/>
      <c r="Y125" s="660"/>
      <c r="Z125" s="660"/>
      <c r="AA125" s="660"/>
      <c r="AB125" s="660"/>
      <c r="AC125" s="660"/>
      <c r="AD125" s="665"/>
    </row>
    <row r="126" spans="6:30" x14ac:dyDescent="0.25">
      <c r="F126" s="666"/>
      <c r="G126" s="643"/>
      <c r="H126" s="643"/>
      <c r="I126" s="643"/>
      <c r="J126" s="643"/>
      <c r="K126" s="643"/>
      <c r="L126" s="643"/>
      <c r="M126" s="643"/>
      <c r="N126" s="643"/>
      <c r="O126" s="667"/>
      <c r="P126" s="643"/>
      <c r="Q126" s="643"/>
      <c r="R126" s="660"/>
      <c r="S126" s="660"/>
      <c r="T126" s="660"/>
      <c r="U126" s="660"/>
      <c r="V126" s="660"/>
      <c r="W126" s="660"/>
      <c r="X126" s="660"/>
      <c r="Y126" s="660"/>
      <c r="Z126" s="660"/>
      <c r="AA126" s="660"/>
      <c r="AB126" s="660"/>
      <c r="AC126" s="660"/>
      <c r="AD126" s="665"/>
    </row>
    <row r="127" spans="6:30" x14ac:dyDescent="0.25">
      <c r="F127" s="666"/>
      <c r="G127" s="643"/>
      <c r="H127" s="643"/>
      <c r="I127" s="643"/>
      <c r="J127" s="643"/>
      <c r="K127" s="643"/>
      <c r="L127" s="643"/>
      <c r="M127" s="643"/>
      <c r="N127" s="643"/>
      <c r="O127" s="667"/>
      <c r="P127" s="643"/>
      <c r="Q127" s="643"/>
      <c r="R127" s="660"/>
      <c r="S127" s="660"/>
      <c r="T127" s="660"/>
      <c r="U127" s="660"/>
      <c r="V127" s="660"/>
      <c r="W127" s="660"/>
      <c r="X127" s="660"/>
      <c r="Y127" s="660"/>
      <c r="Z127" s="660"/>
      <c r="AA127" s="660"/>
      <c r="AB127" s="660"/>
      <c r="AC127" s="660"/>
      <c r="AD127" s="665"/>
    </row>
    <row r="128" spans="6:30" x14ac:dyDescent="0.25">
      <c r="F128" s="666"/>
      <c r="G128" s="643"/>
      <c r="H128" s="643"/>
      <c r="I128" s="643"/>
      <c r="J128" s="643"/>
      <c r="K128" s="643"/>
      <c r="L128" s="643"/>
      <c r="M128" s="643"/>
      <c r="N128" s="643"/>
      <c r="O128" s="667"/>
      <c r="P128" s="643"/>
      <c r="Q128" s="643"/>
      <c r="R128" s="660"/>
      <c r="S128" s="660"/>
      <c r="T128" s="660"/>
      <c r="U128" s="660"/>
      <c r="V128" s="660"/>
      <c r="W128" s="660"/>
      <c r="X128" s="660"/>
      <c r="Y128" s="660"/>
      <c r="Z128" s="660"/>
      <c r="AA128" s="660"/>
      <c r="AB128" s="660"/>
      <c r="AC128" s="660"/>
      <c r="AD128" s="665"/>
    </row>
    <row r="129" spans="6:30" x14ac:dyDescent="0.25">
      <c r="F129" s="666"/>
      <c r="G129" s="643"/>
      <c r="H129" s="643"/>
      <c r="I129" s="643"/>
      <c r="J129" s="643"/>
      <c r="K129" s="643"/>
      <c r="L129" s="643"/>
      <c r="M129" s="643"/>
      <c r="N129" s="643"/>
      <c r="O129" s="667"/>
      <c r="P129" s="643"/>
      <c r="Q129" s="643"/>
      <c r="R129" s="660"/>
      <c r="S129" s="660"/>
      <c r="T129" s="660"/>
      <c r="U129" s="660"/>
      <c r="V129" s="660"/>
      <c r="W129" s="660"/>
      <c r="X129" s="660"/>
      <c r="Y129" s="660"/>
      <c r="Z129" s="660"/>
      <c r="AA129" s="660"/>
      <c r="AB129" s="660"/>
      <c r="AC129" s="660"/>
      <c r="AD129" s="665"/>
    </row>
    <row r="130" spans="6:30" x14ac:dyDescent="0.25">
      <c r="F130" s="666"/>
      <c r="G130" s="643"/>
      <c r="H130" s="643"/>
      <c r="I130" s="643"/>
      <c r="J130" s="643"/>
      <c r="K130" s="643"/>
      <c r="L130" s="643"/>
      <c r="M130" s="643"/>
      <c r="N130" s="643"/>
      <c r="O130" s="667"/>
      <c r="P130" s="643"/>
      <c r="Q130" s="643"/>
      <c r="R130" s="660"/>
      <c r="S130" s="660"/>
      <c r="T130" s="660"/>
      <c r="U130" s="660"/>
      <c r="V130" s="660"/>
      <c r="W130" s="660"/>
      <c r="X130" s="660"/>
      <c r="Y130" s="660"/>
      <c r="Z130" s="660"/>
      <c r="AA130" s="660"/>
      <c r="AB130" s="660"/>
      <c r="AC130" s="660"/>
      <c r="AD130" s="665"/>
    </row>
    <row r="131" spans="6:30" x14ac:dyDescent="0.25">
      <c r="F131" s="666"/>
      <c r="G131" s="643"/>
      <c r="H131" s="643"/>
      <c r="I131" s="643"/>
      <c r="J131" s="643"/>
      <c r="K131" s="643"/>
      <c r="L131" s="643"/>
      <c r="M131" s="643"/>
      <c r="N131" s="643"/>
      <c r="O131" s="667"/>
      <c r="P131" s="643"/>
      <c r="Q131" s="643"/>
      <c r="R131" s="660"/>
      <c r="S131" s="660"/>
      <c r="T131" s="660"/>
      <c r="U131" s="660"/>
      <c r="V131" s="660"/>
      <c r="W131" s="660"/>
      <c r="X131" s="660"/>
      <c r="Y131" s="660"/>
      <c r="Z131" s="660"/>
      <c r="AA131" s="660"/>
      <c r="AB131" s="660"/>
      <c r="AC131" s="660"/>
      <c r="AD131" s="665"/>
    </row>
    <row r="132" spans="6:30" x14ac:dyDescent="0.25">
      <c r="F132" s="666"/>
      <c r="G132" s="643"/>
      <c r="H132" s="643"/>
      <c r="I132" s="643"/>
      <c r="J132" s="643"/>
      <c r="K132" s="643"/>
      <c r="L132" s="643"/>
      <c r="M132" s="643"/>
      <c r="N132" s="643"/>
      <c r="O132" s="667"/>
      <c r="P132" s="643"/>
      <c r="Q132" s="643"/>
      <c r="R132" s="660"/>
      <c r="S132" s="660"/>
      <c r="T132" s="660"/>
      <c r="U132" s="660"/>
      <c r="V132" s="660"/>
      <c r="W132" s="660"/>
      <c r="X132" s="660"/>
      <c r="Y132" s="660"/>
      <c r="Z132" s="660"/>
      <c r="AA132" s="660"/>
      <c r="AB132" s="660"/>
      <c r="AC132" s="660"/>
      <c r="AD132" s="665"/>
    </row>
    <row r="133" spans="6:30" x14ac:dyDescent="0.25">
      <c r="F133" s="666"/>
      <c r="G133" s="643"/>
      <c r="H133" s="643"/>
      <c r="I133" s="643"/>
      <c r="J133" s="643"/>
      <c r="K133" s="643"/>
      <c r="L133" s="643"/>
      <c r="M133" s="643"/>
      <c r="N133" s="643"/>
      <c r="O133" s="667"/>
      <c r="P133" s="643"/>
      <c r="Q133" s="643"/>
      <c r="R133" s="660"/>
      <c r="S133" s="660"/>
      <c r="T133" s="660"/>
      <c r="U133" s="660"/>
      <c r="V133" s="660"/>
      <c r="W133" s="660"/>
      <c r="X133" s="660"/>
      <c r="Y133" s="660"/>
      <c r="Z133" s="660"/>
      <c r="AA133" s="660"/>
      <c r="AB133" s="660"/>
      <c r="AC133" s="660"/>
      <c r="AD133" s="665"/>
    </row>
    <row r="134" spans="6:30" x14ac:dyDescent="0.25">
      <c r="F134" s="666"/>
      <c r="G134" s="643"/>
      <c r="H134" s="643"/>
      <c r="I134" s="643"/>
      <c r="J134" s="643"/>
      <c r="K134" s="643"/>
      <c r="L134" s="643"/>
      <c r="M134" s="643"/>
      <c r="N134" s="643"/>
      <c r="O134" s="667"/>
      <c r="P134" s="643"/>
      <c r="Q134" s="643"/>
      <c r="R134" s="660"/>
      <c r="S134" s="660"/>
      <c r="T134" s="660"/>
      <c r="U134" s="660"/>
      <c r="V134" s="660"/>
      <c r="W134" s="660"/>
      <c r="X134" s="660"/>
      <c r="Y134" s="660"/>
      <c r="Z134" s="660"/>
      <c r="AA134" s="660"/>
      <c r="AB134" s="660"/>
      <c r="AC134" s="660"/>
      <c r="AD134" s="665"/>
    </row>
    <row r="135" spans="6:30" x14ac:dyDescent="0.25">
      <c r="F135" s="666"/>
      <c r="G135" s="643"/>
      <c r="H135" s="643"/>
      <c r="I135" s="643"/>
      <c r="J135" s="643"/>
      <c r="K135" s="643"/>
      <c r="L135" s="643"/>
      <c r="M135" s="643"/>
      <c r="N135" s="643"/>
      <c r="O135" s="667"/>
      <c r="P135" s="643"/>
      <c r="Q135" s="643"/>
      <c r="R135" s="660"/>
      <c r="S135" s="660"/>
      <c r="T135" s="660"/>
      <c r="U135" s="660"/>
      <c r="V135" s="660"/>
      <c r="W135" s="660"/>
      <c r="X135" s="660"/>
      <c r="Y135" s="660"/>
      <c r="Z135" s="660"/>
      <c r="AA135" s="660"/>
      <c r="AB135" s="660"/>
      <c r="AC135" s="660"/>
      <c r="AD135" s="665"/>
    </row>
    <row r="136" spans="6:30" x14ac:dyDescent="0.25">
      <c r="F136" s="666"/>
      <c r="G136" s="643"/>
      <c r="H136" s="643"/>
      <c r="I136" s="643"/>
      <c r="J136" s="643"/>
      <c r="K136" s="643"/>
      <c r="L136" s="643"/>
      <c r="M136" s="643"/>
      <c r="N136" s="643"/>
      <c r="O136" s="667"/>
      <c r="P136" s="643"/>
      <c r="Q136" s="643"/>
      <c r="R136" s="660"/>
      <c r="S136" s="660"/>
      <c r="T136" s="660"/>
      <c r="U136" s="660"/>
      <c r="V136" s="660"/>
      <c r="W136" s="660"/>
      <c r="X136" s="660"/>
      <c r="Y136" s="660"/>
      <c r="Z136" s="660"/>
      <c r="AA136" s="660"/>
      <c r="AB136" s="660"/>
      <c r="AC136" s="660"/>
      <c r="AD136" s="665"/>
    </row>
    <row r="137" spans="6:30" x14ac:dyDescent="0.25">
      <c r="F137" s="666"/>
      <c r="G137" s="643"/>
      <c r="H137" s="643"/>
      <c r="I137" s="643"/>
      <c r="J137" s="643"/>
      <c r="K137" s="643"/>
      <c r="L137" s="643"/>
      <c r="M137" s="643"/>
      <c r="N137" s="643"/>
      <c r="O137" s="667"/>
      <c r="P137" s="643"/>
      <c r="Q137" s="643"/>
      <c r="R137" s="660"/>
      <c r="S137" s="660"/>
      <c r="T137" s="660"/>
      <c r="U137" s="660"/>
      <c r="V137" s="660"/>
      <c r="W137" s="660"/>
      <c r="X137" s="660"/>
      <c r="Y137" s="660"/>
      <c r="Z137" s="660"/>
      <c r="AA137" s="660"/>
      <c r="AB137" s="660"/>
      <c r="AC137" s="660"/>
      <c r="AD137" s="665"/>
    </row>
    <row r="138" spans="6:30" x14ac:dyDescent="0.25">
      <c r="F138" s="666"/>
      <c r="G138" s="643"/>
      <c r="H138" s="643"/>
      <c r="I138" s="643"/>
      <c r="J138" s="643"/>
      <c r="K138" s="643"/>
      <c r="L138" s="643"/>
      <c r="M138" s="643"/>
      <c r="N138" s="643"/>
      <c r="O138" s="667"/>
      <c r="P138" s="643"/>
      <c r="Q138" s="643"/>
      <c r="R138" s="660"/>
      <c r="S138" s="660"/>
      <c r="T138" s="660"/>
      <c r="U138" s="660"/>
      <c r="V138" s="660"/>
      <c r="W138" s="660"/>
      <c r="X138" s="660"/>
      <c r="Y138" s="660"/>
      <c r="Z138" s="660"/>
      <c r="AA138" s="660"/>
      <c r="AB138" s="660"/>
      <c r="AC138" s="660"/>
      <c r="AD138" s="665"/>
    </row>
    <row r="139" spans="6:30" x14ac:dyDescent="0.25">
      <c r="F139" s="666"/>
      <c r="G139" s="643"/>
      <c r="H139" s="643"/>
      <c r="I139" s="643"/>
      <c r="J139" s="643"/>
      <c r="K139" s="643"/>
      <c r="L139" s="643"/>
      <c r="M139" s="643"/>
      <c r="N139" s="643"/>
      <c r="O139" s="667"/>
      <c r="P139" s="643"/>
      <c r="Q139" s="643"/>
      <c r="R139" s="660"/>
      <c r="S139" s="660"/>
      <c r="T139" s="660"/>
      <c r="U139" s="660"/>
      <c r="V139" s="660"/>
      <c r="W139" s="660"/>
      <c r="X139" s="660"/>
      <c r="Y139" s="660"/>
      <c r="Z139" s="660"/>
      <c r="AA139" s="660"/>
      <c r="AB139" s="660"/>
      <c r="AC139" s="660"/>
      <c r="AD139" s="665"/>
    </row>
    <row r="140" spans="6:30" x14ac:dyDescent="0.25">
      <c r="F140" s="666"/>
      <c r="G140" s="643"/>
      <c r="H140" s="643"/>
      <c r="I140" s="643"/>
      <c r="J140" s="643"/>
      <c r="K140" s="643"/>
      <c r="L140" s="643"/>
      <c r="M140" s="643"/>
      <c r="N140" s="643"/>
      <c r="O140" s="667"/>
      <c r="P140" s="643"/>
      <c r="Q140" s="643"/>
      <c r="R140" s="660"/>
      <c r="S140" s="660"/>
      <c r="T140" s="660"/>
      <c r="U140" s="660"/>
      <c r="V140" s="660"/>
      <c r="W140" s="660"/>
      <c r="X140" s="660"/>
      <c r="Y140" s="660"/>
      <c r="Z140" s="660"/>
      <c r="AA140" s="660"/>
      <c r="AB140" s="660"/>
      <c r="AC140" s="660"/>
      <c r="AD140" s="665"/>
    </row>
    <row r="141" spans="6:30" x14ac:dyDescent="0.25">
      <c r="F141" s="666"/>
      <c r="G141" s="643"/>
      <c r="H141" s="643"/>
      <c r="I141" s="643"/>
      <c r="J141" s="643"/>
      <c r="K141" s="643"/>
      <c r="L141" s="643"/>
      <c r="M141" s="643"/>
      <c r="N141" s="643"/>
      <c r="O141" s="667"/>
      <c r="P141" s="643"/>
      <c r="Q141" s="643"/>
      <c r="R141" s="660"/>
      <c r="S141" s="660"/>
      <c r="T141" s="660"/>
      <c r="U141" s="660"/>
      <c r="V141" s="660"/>
      <c r="W141" s="660"/>
      <c r="X141" s="660"/>
      <c r="Y141" s="660"/>
      <c r="Z141" s="660"/>
      <c r="AA141" s="660"/>
      <c r="AB141" s="660"/>
      <c r="AC141" s="660"/>
      <c r="AD141" s="665"/>
    </row>
    <row r="142" spans="6:30" x14ac:dyDescent="0.25">
      <c r="F142" s="666"/>
      <c r="G142" s="643"/>
      <c r="H142" s="643"/>
      <c r="I142" s="643"/>
      <c r="J142" s="643"/>
      <c r="K142" s="643"/>
      <c r="L142" s="643"/>
      <c r="M142" s="643"/>
      <c r="N142" s="643"/>
      <c r="O142" s="667"/>
      <c r="P142" s="643"/>
      <c r="Q142" s="643"/>
      <c r="R142" s="660"/>
      <c r="S142" s="660"/>
      <c r="T142" s="660"/>
      <c r="U142" s="660"/>
      <c r="V142" s="660"/>
      <c r="W142" s="660"/>
      <c r="X142" s="660"/>
      <c r="Y142" s="660"/>
      <c r="Z142" s="660"/>
      <c r="AA142" s="660"/>
      <c r="AB142" s="660"/>
      <c r="AC142" s="660"/>
      <c r="AD142" s="665"/>
    </row>
    <row r="143" spans="6:30" x14ac:dyDescent="0.25">
      <c r="F143" s="666"/>
      <c r="G143" s="643"/>
      <c r="H143" s="643"/>
      <c r="I143" s="643"/>
      <c r="J143" s="643"/>
      <c r="K143" s="643"/>
      <c r="L143" s="643"/>
      <c r="M143" s="643"/>
      <c r="N143" s="643"/>
      <c r="O143" s="667"/>
      <c r="P143" s="643"/>
      <c r="Q143" s="643"/>
      <c r="R143" s="660"/>
      <c r="S143" s="660"/>
      <c r="T143" s="660"/>
      <c r="U143" s="660"/>
      <c r="V143" s="660"/>
      <c r="W143" s="660"/>
      <c r="X143" s="660"/>
      <c r="Y143" s="660"/>
      <c r="Z143" s="660"/>
      <c r="AA143" s="660"/>
      <c r="AB143" s="660"/>
      <c r="AC143" s="660"/>
      <c r="AD143" s="665"/>
    </row>
    <row r="144" spans="6:30" x14ac:dyDescent="0.25">
      <c r="F144" s="666"/>
      <c r="G144" s="643"/>
      <c r="H144" s="643"/>
      <c r="I144" s="643"/>
      <c r="J144" s="643"/>
      <c r="K144" s="643"/>
      <c r="L144" s="643"/>
      <c r="M144" s="643"/>
      <c r="N144" s="643"/>
      <c r="O144" s="667"/>
      <c r="P144" s="643"/>
      <c r="Q144" s="643"/>
      <c r="R144" s="660"/>
      <c r="S144" s="660"/>
      <c r="T144" s="660"/>
      <c r="U144" s="660"/>
      <c r="V144" s="660"/>
      <c r="W144" s="660"/>
      <c r="X144" s="660"/>
      <c r="Y144" s="660"/>
      <c r="Z144" s="660"/>
      <c r="AA144" s="660"/>
      <c r="AB144" s="660"/>
      <c r="AC144" s="660"/>
      <c r="AD144" s="665"/>
    </row>
    <row r="145" spans="6:30" x14ac:dyDescent="0.25">
      <c r="F145" s="666"/>
      <c r="G145" s="643"/>
      <c r="H145" s="643"/>
      <c r="I145" s="643"/>
      <c r="J145" s="643"/>
      <c r="K145" s="643"/>
      <c r="L145" s="643"/>
      <c r="M145" s="643"/>
      <c r="N145" s="643"/>
      <c r="O145" s="667"/>
      <c r="P145" s="643"/>
      <c r="Q145" s="643"/>
      <c r="R145" s="660"/>
      <c r="S145" s="660"/>
      <c r="T145" s="660"/>
      <c r="U145" s="660"/>
      <c r="V145" s="660"/>
      <c r="W145" s="660"/>
      <c r="X145" s="660"/>
      <c r="Y145" s="660"/>
      <c r="Z145" s="660"/>
      <c r="AA145" s="660"/>
      <c r="AB145" s="660"/>
      <c r="AC145" s="660"/>
      <c r="AD145" s="665"/>
    </row>
    <row r="146" spans="6:30" x14ac:dyDescent="0.25">
      <c r="F146" s="666"/>
      <c r="G146" s="643"/>
      <c r="H146" s="643"/>
      <c r="I146" s="643"/>
      <c r="J146" s="643"/>
      <c r="K146" s="643"/>
      <c r="L146" s="643"/>
      <c r="M146" s="643"/>
      <c r="N146" s="643"/>
      <c r="O146" s="667"/>
      <c r="P146" s="643"/>
      <c r="Q146" s="643"/>
      <c r="R146" s="660"/>
      <c r="S146" s="660"/>
      <c r="T146" s="660"/>
      <c r="U146" s="660"/>
      <c r="V146" s="660"/>
      <c r="W146" s="660"/>
      <c r="X146" s="660"/>
      <c r="Y146" s="660"/>
      <c r="Z146" s="660"/>
      <c r="AA146" s="660"/>
      <c r="AB146" s="660"/>
      <c r="AC146" s="660"/>
      <c r="AD146" s="665"/>
    </row>
    <row r="147" spans="6:30" x14ac:dyDescent="0.25">
      <c r="F147" s="666"/>
      <c r="G147" s="643"/>
      <c r="H147" s="643"/>
      <c r="I147" s="643"/>
      <c r="J147" s="643"/>
      <c r="K147" s="643"/>
      <c r="L147" s="643"/>
      <c r="M147" s="643"/>
      <c r="N147" s="643"/>
      <c r="O147" s="667"/>
      <c r="P147" s="643"/>
      <c r="Q147" s="643"/>
      <c r="R147" s="660"/>
      <c r="S147" s="660"/>
      <c r="T147" s="660"/>
      <c r="U147" s="660"/>
      <c r="V147" s="660"/>
      <c r="W147" s="660"/>
      <c r="X147" s="660"/>
      <c r="Y147" s="660"/>
      <c r="Z147" s="660"/>
      <c r="AA147" s="660"/>
      <c r="AB147" s="660"/>
      <c r="AC147" s="660"/>
      <c r="AD147" s="665"/>
    </row>
    <row r="148" spans="6:30" x14ac:dyDescent="0.25">
      <c r="F148" s="666"/>
      <c r="G148" s="643"/>
      <c r="H148" s="643"/>
      <c r="I148" s="643"/>
      <c r="J148" s="643"/>
      <c r="K148" s="643"/>
      <c r="L148" s="643"/>
      <c r="M148" s="643"/>
      <c r="N148" s="643"/>
      <c r="O148" s="667"/>
      <c r="P148" s="643"/>
      <c r="Q148" s="643"/>
      <c r="R148" s="660"/>
      <c r="S148" s="660"/>
      <c r="T148" s="660"/>
      <c r="U148" s="660"/>
      <c r="V148" s="660"/>
      <c r="W148" s="660"/>
      <c r="X148" s="660"/>
      <c r="Y148" s="660"/>
      <c r="Z148" s="660"/>
      <c r="AA148" s="660"/>
      <c r="AB148" s="660"/>
      <c r="AC148" s="660"/>
      <c r="AD148" s="665"/>
    </row>
    <row r="149" spans="6:30" x14ac:dyDescent="0.25">
      <c r="F149" s="666"/>
      <c r="G149" s="643"/>
      <c r="H149" s="643"/>
      <c r="I149" s="643"/>
      <c r="J149" s="643"/>
      <c r="K149" s="643"/>
      <c r="L149" s="643"/>
      <c r="M149" s="643"/>
      <c r="N149" s="643"/>
      <c r="O149" s="667"/>
      <c r="P149" s="643"/>
      <c r="Q149" s="643"/>
      <c r="R149" s="660"/>
      <c r="S149" s="660"/>
      <c r="T149" s="660"/>
      <c r="U149" s="660"/>
      <c r="V149" s="660"/>
      <c r="W149" s="660"/>
      <c r="X149" s="660"/>
      <c r="Y149" s="660"/>
      <c r="Z149" s="660"/>
      <c r="AA149" s="660"/>
      <c r="AB149" s="660"/>
      <c r="AC149" s="660"/>
      <c r="AD149" s="665"/>
    </row>
    <row r="150" spans="6:30" x14ac:dyDescent="0.25">
      <c r="F150" s="666"/>
      <c r="G150" s="643"/>
      <c r="H150" s="643"/>
      <c r="I150" s="643"/>
      <c r="J150" s="643"/>
      <c r="K150" s="643"/>
      <c r="L150" s="643"/>
      <c r="M150" s="643"/>
      <c r="N150" s="643"/>
      <c r="O150" s="667"/>
      <c r="P150" s="643"/>
      <c r="Q150" s="643"/>
      <c r="R150" s="660"/>
      <c r="S150" s="660"/>
      <c r="T150" s="660"/>
      <c r="U150" s="660"/>
      <c r="V150" s="660"/>
      <c r="W150" s="660"/>
      <c r="X150" s="660"/>
      <c r="Y150" s="660"/>
      <c r="Z150" s="660"/>
      <c r="AA150" s="660"/>
      <c r="AB150" s="660"/>
      <c r="AC150" s="660"/>
      <c r="AD150" s="665"/>
    </row>
    <row r="151" spans="6:30" x14ac:dyDescent="0.25">
      <c r="F151" s="666"/>
      <c r="G151" s="643"/>
      <c r="H151" s="643"/>
      <c r="I151" s="643"/>
      <c r="J151" s="643"/>
      <c r="K151" s="643"/>
      <c r="L151" s="643"/>
      <c r="M151" s="643"/>
      <c r="N151" s="643"/>
      <c r="O151" s="667"/>
      <c r="P151" s="643"/>
      <c r="Q151" s="643"/>
      <c r="R151" s="660"/>
      <c r="S151" s="660"/>
      <c r="T151" s="660"/>
      <c r="U151" s="660"/>
      <c r="V151" s="660"/>
      <c r="W151" s="660"/>
      <c r="X151" s="660"/>
      <c r="Y151" s="660"/>
      <c r="Z151" s="660"/>
      <c r="AA151" s="660"/>
      <c r="AB151" s="660"/>
      <c r="AC151" s="660"/>
      <c r="AD151" s="665"/>
    </row>
    <row r="152" spans="6:30" x14ac:dyDescent="0.25">
      <c r="F152" s="666"/>
      <c r="G152" s="643"/>
      <c r="H152" s="643"/>
      <c r="I152" s="643"/>
      <c r="J152" s="643"/>
      <c r="K152" s="643"/>
      <c r="L152" s="643"/>
      <c r="M152" s="643"/>
      <c r="N152" s="643"/>
      <c r="O152" s="667"/>
      <c r="P152" s="643"/>
      <c r="Q152" s="643"/>
      <c r="R152" s="660"/>
      <c r="S152" s="660"/>
      <c r="T152" s="660"/>
      <c r="U152" s="660"/>
      <c r="V152" s="660"/>
      <c r="W152" s="660"/>
      <c r="X152" s="660"/>
      <c r="Y152" s="660"/>
      <c r="Z152" s="660"/>
      <c r="AA152" s="660"/>
      <c r="AB152" s="660"/>
      <c r="AC152" s="660"/>
      <c r="AD152" s="665"/>
    </row>
    <row r="153" spans="6:30" x14ac:dyDescent="0.25">
      <c r="F153" s="666"/>
      <c r="G153" s="643"/>
      <c r="H153" s="643"/>
      <c r="I153" s="643"/>
      <c r="J153" s="643"/>
      <c r="K153" s="643"/>
      <c r="L153" s="643"/>
      <c r="M153" s="643"/>
      <c r="N153" s="643"/>
      <c r="O153" s="667"/>
      <c r="P153" s="643"/>
      <c r="Q153" s="643"/>
      <c r="R153" s="660"/>
      <c r="S153" s="660"/>
      <c r="T153" s="660"/>
      <c r="U153" s="660"/>
      <c r="V153" s="660"/>
      <c r="W153" s="660"/>
      <c r="X153" s="660"/>
      <c r="Y153" s="660"/>
      <c r="Z153" s="660"/>
      <c r="AA153" s="660"/>
      <c r="AB153" s="660"/>
      <c r="AC153" s="660"/>
      <c r="AD153" s="665"/>
    </row>
    <row r="154" spans="6:30" x14ac:dyDescent="0.25">
      <c r="F154" s="666"/>
      <c r="G154" s="643"/>
      <c r="H154" s="643"/>
      <c r="I154" s="643"/>
      <c r="J154" s="643"/>
      <c r="K154" s="643"/>
      <c r="L154" s="643"/>
      <c r="M154" s="643"/>
      <c r="N154" s="643"/>
      <c r="O154" s="667"/>
      <c r="P154" s="643"/>
      <c r="Q154" s="643"/>
      <c r="R154" s="660"/>
      <c r="S154" s="660"/>
      <c r="T154" s="660"/>
      <c r="U154" s="660"/>
      <c r="V154" s="660"/>
      <c r="W154" s="660"/>
      <c r="X154" s="660"/>
      <c r="Y154" s="660"/>
      <c r="Z154" s="660"/>
      <c r="AA154" s="660"/>
      <c r="AB154" s="660"/>
      <c r="AC154" s="660"/>
      <c r="AD154" s="665"/>
    </row>
    <row r="155" spans="6:30" x14ac:dyDescent="0.25">
      <c r="F155" s="666"/>
      <c r="G155" s="643"/>
      <c r="H155" s="643"/>
      <c r="I155" s="643"/>
      <c r="J155" s="643"/>
      <c r="K155" s="643"/>
      <c r="L155" s="643"/>
      <c r="M155" s="643"/>
      <c r="N155" s="643"/>
      <c r="O155" s="667"/>
      <c r="P155" s="643"/>
      <c r="Q155" s="643"/>
      <c r="R155" s="660"/>
      <c r="S155" s="660"/>
      <c r="T155" s="660"/>
      <c r="U155" s="660"/>
      <c r="V155" s="660"/>
      <c r="W155" s="660"/>
      <c r="X155" s="660"/>
      <c r="Y155" s="660"/>
      <c r="Z155" s="660"/>
      <c r="AA155" s="660"/>
      <c r="AB155" s="660"/>
      <c r="AC155" s="660"/>
      <c r="AD155" s="665"/>
    </row>
    <row r="156" spans="6:30" x14ac:dyDescent="0.25">
      <c r="F156" s="666"/>
      <c r="G156" s="643"/>
      <c r="H156" s="643"/>
      <c r="I156" s="643"/>
      <c r="J156" s="643"/>
      <c r="K156" s="643"/>
      <c r="L156" s="643"/>
      <c r="M156" s="643"/>
      <c r="N156" s="643"/>
      <c r="O156" s="667"/>
      <c r="P156" s="643"/>
      <c r="Q156" s="643"/>
      <c r="R156" s="660"/>
      <c r="S156" s="660"/>
      <c r="T156" s="660"/>
      <c r="U156" s="660"/>
      <c r="V156" s="660"/>
      <c r="W156" s="660"/>
      <c r="X156" s="660"/>
      <c r="Y156" s="660"/>
      <c r="Z156" s="660"/>
      <c r="AA156" s="660"/>
      <c r="AB156" s="660"/>
      <c r="AC156" s="660"/>
      <c r="AD156" s="665"/>
    </row>
    <row r="157" spans="6:30" x14ac:dyDescent="0.25">
      <c r="F157" s="666"/>
      <c r="G157" s="643"/>
      <c r="H157" s="643"/>
      <c r="I157" s="643"/>
      <c r="J157" s="643"/>
      <c r="K157" s="643"/>
      <c r="L157" s="643"/>
      <c r="M157" s="643"/>
      <c r="N157" s="643"/>
      <c r="O157" s="667"/>
      <c r="P157" s="643"/>
      <c r="Q157" s="643"/>
      <c r="R157" s="660"/>
      <c r="S157" s="660"/>
      <c r="T157" s="660"/>
      <c r="U157" s="660"/>
      <c r="V157" s="660"/>
      <c r="W157" s="660"/>
      <c r="X157" s="660"/>
      <c r="Y157" s="660"/>
      <c r="Z157" s="660"/>
      <c r="AA157" s="660"/>
      <c r="AB157" s="660"/>
      <c r="AC157" s="660"/>
      <c r="AD157" s="665"/>
    </row>
    <row r="158" spans="6:30" x14ac:dyDescent="0.25">
      <c r="F158" s="666"/>
      <c r="G158" s="643"/>
      <c r="H158" s="643"/>
      <c r="I158" s="643"/>
      <c r="J158" s="643"/>
      <c r="K158" s="643"/>
      <c r="L158" s="643"/>
      <c r="M158" s="643"/>
      <c r="N158" s="643"/>
      <c r="O158" s="667"/>
      <c r="P158" s="643"/>
      <c r="Q158" s="643"/>
      <c r="R158" s="660"/>
      <c r="S158" s="660"/>
      <c r="T158" s="660"/>
      <c r="U158" s="660"/>
      <c r="V158" s="660"/>
      <c r="W158" s="660"/>
      <c r="X158" s="660"/>
      <c r="Y158" s="660"/>
      <c r="Z158" s="660"/>
      <c r="AA158" s="660"/>
      <c r="AB158" s="660"/>
      <c r="AC158" s="660"/>
      <c r="AD158" s="665"/>
    </row>
    <row r="159" spans="6:30" x14ac:dyDescent="0.25">
      <c r="F159" s="666"/>
      <c r="G159" s="643"/>
      <c r="H159" s="643"/>
      <c r="I159" s="643"/>
      <c r="J159" s="643"/>
      <c r="K159" s="643"/>
      <c r="L159" s="643"/>
      <c r="M159" s="643"/>
      <c r="N159" s="643"/>
      <c r="O159" s="667"/>
      <c r="P159" s="643"/>
      <c r="Q159" s="643"/>
      <c r="R159" s="660"/>
      <c r="S159" s="660"/>
      <c r="T159" s="660"/>
      <c r="U159" s="660"/>
      <c r="V159" s="660"/>
      <c r="W159" s="660"/>
      <c r="X159" s="660"/>
      <c r="Y159" s="660"/>
      <c r="Z159" s="660"/>
      <c r="AA159" s="660"/>
      <c r="AB159" s="660"/>
      <c r="AC159" s="660"/>
      <c r="AD159" s="665"/>
    </row>
    <row r="160" spans="6:30" x14ac:dyDescent="0.25">
      <c r="F160" s="666"/>
      <c r="G160" s="643"/>
      <c r="H160" s="643"/>
      <c r="I160" s="643"/>
      <c r="J160" s="643"/>
      <c r="K160" s="643"/>
      <c r="L160" s="643"/>
      <c r="M160" s="643"/>
      <c r="N160" s="643"/>
      <c r="O160" s="667"/>
      <c r="P160" s="643"/>
      <c r="Q160" s="643"/>
      <c r="R160" s="660"/>
      <c r="S160" s="660"/>
      <c r="T160" s="660"/>
      <c r="U160" s="660"/>
      <c r="V160" s="660"/>
      <c r="W160" s="660"/>
      <c r="X160" s="660"/>
      <c r="Y160" s="660"/>
      <c r="Z160" s="660"/>
      <c r="AA160" s="660"/>
      <c r="AB160" s="660"/>
      <c r="AC160" s="660"/>
      <c r="AD160" s="665"/>
    </row>
    <row r="161" spans="6:30" x14ac:dyDescent="0.25">
      <c r="F161" s="666"/>
      <c r="G161" s="643"/>
      <c r="H161" s="643"/>
      <c r="I161" s="643"/>
      <c r="J161" s="643"/>
      <c r="K161" s="643"/>
      <c r="L161" s="643"/>
      <c r="M161" s="643"/>
      <c r="N161" s="643"/>
      <c r="O161" s="667"/>
      <c r="P161" s="643"/>
      <c r="Q161" s="643"/>
      <c r="R161" s="660"/>
      <c r="S161" s="660"/>
      <c r="T161" s="660"/>
      <c r="U161" s="660"/>
      <c r="V161" s="660"/>
      <c r="W161" s="660"/>
      <c r="X161" s="660"/>
      <c r="Y161" s="660"/>
      <c r="Z161" s="660"/>
      <c r="AA161" s="660"/>
      <c r="AB161" s="660"/>
      <c r="AC161" s="660"/>
      <c r="AD161" s="665"/>
    </row>
    <row r="162" spans="6:30" x14ac:dyDescent="0.25">
      <c r="F162" s="666"/>
      <c r="G162" s="643"/>
      <c r="H162" s="643"/>
      <c r="I162" s="643"/>
      <c r="J162" s="643"/>
      <c r="K162" s="643"/>
      <c r="L162" s="643"/>
      <c r="M162" s="643"/>
      <c r="N162" s="643"/>
      <c r="O162" s="667"/>
      <c r="P162" s="643"/>
      <c r="Q162" s="643"/>
      <c r="R162" s="660"/>
      <c r="S162" s="660"/>
      <c r="T162" s="660"/>
      <c r="U162" s="660"/>
      <c r="V162" s="660"/>
      <c r="W162" s="660"/>
      <c r="X162" s="660"/>
      <c r="Y162" s="660"/>
      <c r="Z162" s="660"/>
      <c r="AA162" s="660"/>
      <c r="AB162" s="660"/>
      <c r="AC162" s="660"/>
      <c r="AD162" s="665"/>
    </row>
    <row r="163" spans="6:30" x14ac:dyDescent="0.25">
      <c r="F163" s="666"/>
      <c r="G163" s="643"/>
      <c r="H163" s="643"/>
      <c r="I163" s="643"/>
      <c r="J163" s="643"/>
      <c r="K163" s="643"/>
      <c r="L163" s="643"/>
      <c r="M163" s="643"/>
      <c r="N163" s="643"/>
      <c r="O163" s="667"/>
      <c r="P163" s="643"/>
      <c r="Q163" s="643"/>
      <c r="R163" s="660"/>
      <c r="S163" s="660"/>
      <c r="T163" s="660"/>
      <c r="U163" s="660"/>
      <c r="V163" s="660"/>
      <c r="W163" s="660"/>
      <c r="X163" s="660"/>
      <c r="Y163" s="660"/>
      <c r="Z163" s="660"/>
      <c r="AA163" s="660"/>
      <c r="AB163" s="660"/>
      <c r="AC163" s="660"/>
      <c r="AD163" s="665"/>
    </row>
    <row r="164" spans="6:30" x14ac:dyDescent="0.25">
      <c r="F164" s="666"/>
      <c r="G164" s="643"/>
      <c r="H164" s="643"/>
      <c r="I164" s="643"/>
      <c r="J164" s="643"/>
      <c r="K164" s="643"/>
      <c r="L164" s="643"/>
      <c r="M164" s="643"/>
      <c r="N164" s="643"/>
      <c r="O164" s="667"/>
      <c r="P164" s="643"/>
      <c r="Q164" s="643"/>
      <c r="R164" s="660"/>
      <c r="S164" s="660"/>
      <c r="T164" s="660"/>
      <c r="U164" s="660"/>
      <c r="V164" s="660"/>
      <c r="W164" s="660"/>
      <c r="X164" s="660"/>
      <c r="Y164" s="660"/>
      <c r="Z164" s="660"/>
      <c r="AA164" s="660"/>
      <c r="AB164" s="660"/>
      <c r="AC164" s="660"/>
      <c r="AD164" s="665"/>
    </row>
    <row r="165" spans="6:30" x14ac:dyDescent="0.25">
      <c r="F165" s="666"/>
      <c r="G165" s="643"/>
      <c r="H165" s="643"/>
      <c r="I165" s="643"/>
      <c r="J165" s="643"/>
      <c r="K165" s="643"/>
      <c r="L165" s="643"/>
      <c r="M165" s="643"/>
      <c r="N165" s="643"/>
      <c r="O165" s="667"/>
      <c r="P165" s="643"/>
      <c r="Q165" s="643"/>
      <c r="R165" s="660"/>
      <c r="S165" s="660"/>
      <c r="T165" s="660"/>
      <c r="U165" s="660"/>
      <c r="V165" s="660"/>
      <c r="W165" s="660"/>
      <c r="X165" s="660"/>
      <c r="Y165" s="660"/>
      <c r="Z165" s="660"/>
      <c r="AA165" s="660"/>
      <c r="AB165" s="660"/>
      <c r="AC165" s="660"/>
      <c r="AD165" s="665"/>
    </row>
    <row r="166" spans="6:30" x14ac:dyDescent="0.25">
      <c r="F166" s="666"/>
      <c r="G166" s="643"/>
      <c r="H166" s="643"/>
      <c r="I166" s="643"/>
      <c r="J166" s="643"/>
      <c r="K166" s="643"/>
      <c r="L166" s="643"/>
      <c r="M166" s="643"/>
      <c r="N166" s="643"/>
      <c r="O166" s="667"/>
      <c r="P166" s="643"/>
      <c r="Q166" s="643"/>
      <c r="R166" s="660"/>
      <c r="S166" s="660"/>
      <c r="T166" s="660"/>
      <c r="U166" s="660"/>
      <c r="V166" s="660"/>
      <c r="W166" s="660"/>
      <c r="X166" s="660"/>
      <c r="Y166" s="660"/>
      <c r="Z166" s="660"/>
      <c r="AA166" s="660"/>
      <c r="AB166" s="660"/>
      <c r="AC166" s="660"/>
      <c r="AD166" s="665"/>
    </row>
    <row r="167" spans="6:30" x14ac:dyDescent="0.25">
      <c r="F167" s="666"/>
      <c r="G167" s="643"/>
      <c r="H167" s="643"/>
      <c r="I167" s="643"/>
      <c r="J167" s="643"/>
      <c r="K167" s="643"/>
      <c r="L167" s="643"/>
      <c r="M167" s="643"/>
      <c r="N167" s="643"/>
      <c r="O167" s="667"/>
      <c r="P167" s="643"/>
      <c r="Q167" s="643"/>
      <c r="R167" s="660"/>
      <c r="S167" s="660"/>
      <c r="T167" s="660"/>
      <c r="U167" s="660"/>
      <c r="V167" s="660"/>
      <c r="W167" s="660"/>
      <c r="X167" s="660"/>
      <c r="Y167" s="660"/>
      <c r="Z167" s="660"/>
      <c r="AA167" s="660"/>
      <c r="AB167" s="660"/>
      <c r="AC167" s="660"/>
      <c r="AD167" s="665"/>
    </row>
    <row r="168" spans="6:30" x14ac:dyDescent="0.25">
      <c r="F168" s="666"/>
      <c r="G168" s="643"/>
      <c r="H168" s="643"/>
      <c r="I168" s="643"/>
      <c r="J168" s="643"/>
      <c r="K168" s="643"/>
      <c r="L168" s="643"/>
      <c r="M168" s="643"/>
      <c r="N168" s="643"/>
      <c r="O168" s="667"/>
      <c r="P168" s="643"/>
      <c r="Q168" s="643"/>
      <c r="R168" s="660"/>
      <c r="S168" s="660"/>
      <c r="T168" s="660"/>
      <c r="U168" s="660"/>
      <c r="V168" s="660"/>
      <c r="W168" s="660"/>
      <c r="X168" s="660"/>
      <c r="Y168" s="660"/>
      <c r="Z168" s="660"/>
      <c r="AA168" s="660"/>
      <c r="AB168" s="660"/>
      <c r="AC168" s="660"/>
      <c r="AD168" s="665"/>
    </row>
    <row r="169" spans="6:30" x14ac:dyDescent="0.25">
      <c r="F169" s="666"/>
      <c r="G169" s="643"/>
      <c r="H169" s="643"/>
      <c r="I169" s="643"/>
      <c r="J169" s="643"/>
      <c r="K169" s="643"/>
      <c r="L169" s="643"/>
      <c r="M169" s="643"/>
      <c r="N169" s="643"/>
      <c r="O169" s="667"/>
      <c r="P169" s="643"/>
      <c r="Q169" s="643"/>
      <c r="R169" s="660"/>
      <c r="S169" s="660"/>
      <c r="T169" s="660"/>
      <c r="U169" s="660"/>
      <c r="V169" s="660"/>
      <c r="W169" s="660"/>
      <c r="X169" s="660"/>
      <c r="Y169" s="660"/>
      <c r="Z169" s="660"/>
      <c r="AA169" s="660"/>
      <c r="AB169" s="660"/>
      <c r="AC169" s="660"/>
      <c r="AD169" s="665"/>
    </row>
    <row r="170" spans="6:30" x14ac:dyDescent="0.25">
      <c r="F170" s="666"/>
      <c r="G170" s="643"/>
      <c r="H170" s="643"/>
      <c r="I170" s="643"/>
      <c r="J170" s="643"/>
      <c r="K170" s="643"/>
      <c r="L170" s="643"/>
      <c r="M170" s="643"/>
      <c r="N170" s="643"/>
      <c r="O170" s="667"/>
      <c r="P170" s="643"/>
      <c r="Q170" s="643"/>
      <c r="R170" s="660"/>
      <c r="S170" s="660"/>
      <c r="T170" s="660"/>
      <c r="U170" s="660"/>
      <c r="V170" s="660"/>
      <c r="W170" s="660"/>
      <c r="X170" s="660"/>
      <c r="Y170" s="660"/>
      <c r="Z170" s="660"/>
      <c r="AA170" s="660"/>
      <c r="AB170" s="660"/>
      <c r="AC170" s="660"/>
      <c r="AD170" s="665"/>
    </row>
    <row r="171" spans="6:30" x14ac:dyDescent="0.25">
      <c r="F171" s="666"/>
      <c r="G171" s="643"/>
      <c r="H171" s="643"/>
      <c r="I171" s="643"/>
      <c r="J171" s="643"/>
      <c r="K171" s="643"/>
      <c r="L171" s="643"/>
      <c r="M171" s="643"/>
      <c r="N171" s="643"/>
      <c r="O171" s="667"/>
      <c r="P171" s="643"/>
      <c r="Q171" s="643"/>
      <c r="R171" s="660"/>
      <c r="S171" s="660"/>
      <c r="T171" s="660"/>
      <c r="U171" s="660"/>
      <c r="V171" s="660"/>
      <c r="W171" s="660"/>
      <c r="X171" s="660"/>
      <c r="Y171" s="660"/>
      <c r="Z171" s="660"/>
      <c r="AA171" s="660"/>
      <c r="AB171" s="660"/>
      <c r="AC171" s="660"/>
      <c r="AD171" s="665"/>
    </row>
    <row r="172" spans="6:30" x14ac:dyDescent="0.25">
      <c r="F172" s="666"/>
      <c r="G172" s="643"/>
      <c r="H172" s="643"/>
      <c r="I172" s="643"/>
      <c r="J172" s="643"/>
      <c r="K172" s="643"/>
      <c r="L172" s="643"/>
      <c r="M172" s="643"/>
      <c r="N172" s="643"/>
      <c r="O172" s="667"/>
      <c r="P172" s="643"/>
      <c r="Q172" s="643"/>
      <c r="R172" s="660"/>
      <c r="S172" s="660"/>
      <c r="T172" s="660"/>
      <c r="U172" s="660"/>
      <c r="V172" s="660"/>
      <c r="W172" s="660"/>
      <c r="X172" s="660"/>
      <c r="Y172" s="660"/>
      <c r="Z172" s="660"/>
      <c r="AA172" s="660"/>
      <c r="AB172" s="660"/>
      <c r="AC172" s="660"/>
      <c r="AD172" s="665"/>
    </row>
    <row r="173" spans="6:30" x14ac:dyDescent="0.25">
      <c r="F173" s="666"/>
      <c r="G173" s="643"/>
      <c r="H173" s="643"/>
      <c r="I173" s="643"/>
      <c r="J173" s="643"/>
      <c r="K173" s="643"/>
      <c r="L173" s="643"/>
      <c r="M173" s="643"/>
      <c r="N173" s="643"/>
      <c r="O173" s="667"/>
      <c r="P173" s="643"/>
      <c r="Q173" s="643"/>
      <c r="R173" s="660"/>
      <c r="S173" s="660"/>
      <c r="T173" s="660"/>
      <c r="U173" s="660"/>
      <c r="V173" s="660"/>
      <c r="W173" s="660"/>
      <c r="X173" s="660"/>
      <c r="Y173" s="660"/>
      <c r="Z173" s="660"/>
      <c r="AA173" s="660"/>
      <c r="AB173" s="660"/>
      <c r="AC173" s="660"/>
      <c r="AD173" s="665"/>
    </row>
    <row r="174" spans="6:30" x14ac:dyDescent="0.25">
      <c r="F174" s="666"/>
      <c r="G174" s="643"/>
      <c r="H174" s="643"/>
      <c r="I174" s="643"/>
      <c r="J174" s="643"/>
      <c r="K174" s="643"/>
      <c r="L174" s="643"/>
      <c r="M174" s="643"/>
      <c r="N174" s="643"/>
      <c r="O174" s="667"/>
      <c r="P174" s="643"/>
      <c r="Q174" s="643"/>
      <c r="R174" s="660"/>
      <c r="S174" s="660"/>
      <c r="T174" s="660"/>
      <c r="U174" s="660"/>
      <c r="V174" s="660"/>
      <c r="W174" s="660"/>
      <c r="X174" s="660"/>
      <c r="Y174" s="660"/>
      <c r="Z174" s="660"/>
      <c r="AA174" s="660"/>
      <c r="AB174" s="660"/>
      <c r="AC174" s="660"/>
      <c r="AD174" s="665"/>
    </row>
    <row r="175" spans="6:30" x14ac:dyDescent="0.25">
      <c r="F175" s="666"/>
      <c r="G175" s="643"/>
      <c r="H175" s="643"/>
      <c r="I175" s="643"/>
      <c r="J175" s="643"/>
      <c r="K175" s="643"/>
      <c r="L175" s="643"/>
      <c r="M175" s="643"/>
      <c r="N175" s="643"/>
      <c r="O175" s="667"/>
      <c r="P175" s="643"/>
      <c r="Q175" s="643"/>
      <c r="R175" s="660"/>
      <c r="S175" s="660"/>
      <c r="T175" s="660"/>
      <c r="U175" s="660"/>
      <c r="V175" s="660"/>
      <c r="W175" s="660"/>
      <c r="X175" s="660"/>
      <c r="Y175" s="660"/>
      <c r="Z175" s="660"/>
      <c r="AA175" s="660"/>
      <c r="AB175" s="660"/>
      <c r="AC175" s="660"/>
      <c r="AD175" s="665"/>
    </row>
    <row r="176" spans="6:30" x14ac:dyDescent="0.25">
      <c r="F176" s="666"/>
      <c r="G176" s="643"/>
      <c r="H176" s="643"/>
      <c r="I176" s="643"/>
      <c r="J176" s="643"/>
      <c r="K176" s="643"/>
      <c r="L176" s="643"/>
      <c r="M176" s="643"/>
      <c r="N176" s="643"/>
      <c r="O176" s="667"/>
      <c r="P176" s="643"/>
      <c r="Q176" s="643"/>
      <c r="R176" s="660"/>
      <c r="S176" s="660"/>
      <c r="T176" s="660"/>
      <c r="U176" s="660"/>
      <c r="V176" s="660"/>
      <c r="W176" s="660"/>
      <c r="X176" s="660"/>
      <c r="Y176" s="660"/>
      <c r="Z176" s="660"/>
      <c r="AA176" s="660"/>
      <c r="AB176" s="660"/>
      <c r="AC176" s="660"/>
      <c r="AD176" s="665"/>
    </row>
    <row r="177" spans="6:30" x14ac:dyDescent="0.25">
      <c r="F177" s="666"/>
      <c r="G177" s="643"/>
      <c r="H177" s="643"/>
      <c r="I177" s="643"/>
      <c r="J177" s="643"/>
      <c r="K177" s="643"/>
      <c r="L177" s="643"/>
      <c r="M177" s="643"/>
      <c r="N177" s="643"/>
      <c r="O177" s="667"/>
      <c r="P177" s="643"/>
      <c r="Q177" s="643"/>
      <c r="R177" s="660"/>
      <c r="S177" s="660"/>
      <c r="T177" s="660"/>
      <c r="U177" s="660"/>
      <c r="V177" s="660"/>
      <c r="W177" s="660"/>
      <c r="X177" s="660"/>
      <c r="Y177" s="660"/>
      <c r="Z177" s="660"/>
      <c r="AA177" s="660"/>
      <c r="AB177" s="660"/>
      <c r="AC177" s="660"/>
      <c r="AD177" s="665"/>
    </row>
    <row r="178" spans="6:30" x14ac:dyDescent="0.25">
      <c r="F178" s="666"/>
      <c r="G178" s="643"/>
      <c r="H178" s="643"/>
      <c r="I178" s="643"/>
      <c r="J178" s="643"/>
      <c r="K178" s="643"/>
      <c r="L178" s="643"/>
      <c r="M178" s="643"/>
      <c r="N178" s="643"/>
      <c r="O178" s="667"/>
      <c r="P178" s="643"/>
      <c r="Q178" s="643"/>
      <c r="R178" s="660"/>
      <c r="S178" s="660"/>
      <c r="T178" s="660"/>
      <c r="U178" s="660"/>
      <c r="V178" s="660"/>
      <c r="W178" s="660"/>
      <c r="X178" s="660"/>
      <c r="Y178" s="660"/>
      <c r="Z178" s="660"/>
      <c r="AA178" s="660"/>
      <c r="AB178" s="660"/>
      <c r="AC178" s="660"/>
      <c r="AD178" s="665"/>
    </row>
    <row r="179" spans="6:30" x14ac:dyDescent="0.25">
      <c r="F179" s="666"/>
      <c r="G179" s="643"/>
      <c r="H179" s="643"/>
      <c r="I179" s="643"/>
      <c r="J179" s="643"/>
      <c r="K179" s="643"/>
      <c r="L179" s="643"/>
      <c r="M179" s="643"/>
      <c r="N179" s="643"/>
      <c r="O179" s="667"/>
      <c r="P179" s="643"/>
      <c r="Q179" s="643"/>
      <c r="R179" s="660"/>
      <c r="S179" s="660"/>
      <c r="T179" s="660"/>
      <c r="U179" s="660"/>
      <c r="V179" s="660"/>
      <c r="W179" s="660"/>
      <c r="X179" s="660"/>
      <c r="Y179" s="660"/>
      <c r="Z179" s="660"/>
      <c r="AA179" s="660"/>
      <c r="AB179" s="660"/>
      <c r="AC179" s="660"/>
      <c r="AD179" s="665"/>
    </row>
    <row r="180" spans="6:30" x14ac:dyDescent="0.25">
      <c r="F180" s="666"/>
      <c r="G180" s="643"/>
      <c r="H180" s="643"/>
      <c r="I180" s="643"/>
      <c r="J180" s="643"/>
      <c r="K180" s="643"/>
      <c r="L180" s="643"/>
      <c r="M180" s="643"/>
      <c r="N180" s="643"/>
      <c r="O180" s="667"/>
      <c r="P180" s="643"/>
      <c r="Q180" s="643"/>
      <c r="R180" s="660"/>
      <c r="S180" s="660"/>
      <c r="T180" s="660"/>
      <c r="U180" s="660"/>
      <c r="V180" s="660"/>
      <c r="W180" s="660"/>
      <c r="X180" s="660"/>
      <c r="Y180" s="660"/>
      <c r="Z180" s="660"/>
      <c r="AA180" s="660"/>
      <c r="AB180" s="660"/>
      <c r="AC180" s="660"/>
      <c r="AD180" s="665"/>
    </row>
    <row r="181" spans="6:30" x14ac:dyDescent="0.25">
      <c r="F181" s="666"/>
      <c r="G181" s="643"/>
      <c r="H181" s="643"/>
      <c r="I181" s="643"/>
      <c r="J181" s="643"/>
      <c r="K181" s="643"/>
      <c r="L181" s="643"/>
      <c r="M181" s="643"/>
      <c r="N181" s="643"/>
      <c r="O181" s="667"/>
      <c r="P181" s="643"/>
      <c r="Q181" s="643"/>
      <c r="R181" s="660"/>
      <c r="S181" s="660"/>
      <c r="T181" s="660"/>
      <c r="U181" s="660"/>
      <c r="V181" s="660"/>
      <c r="W181" s="660"/>
      <c r="X181" s="660"/>
      <c r="Y181" s="660"/>
      <c r="Z181" s="660"/>
      <c r="AA181" s="660"/>
      <c r="AB181" s="660"/>
      <c r="AC181" s="660"/>
      <c r="AD181" s="665"/>
    </row>
    <row r="182" spans="6:30" x14ac:dyDescent="0.25">
      <c r="F182" s="666"/>
      <c r="G182" s="643"/>
      <c r="H182" s="643"/>
      <c r="I182" s="643"/>
      <c r="J182" s="643"/>
      <c r="K182" s="643"/>
      <c r="L182" s="643"/>
      <c r="M182" s="643"/>
      <c r="N182" s="643"/>
      <c r="O182" s="667"/>
      <c r="P182" s="643"/>
      <c r="Q182" s="643"/>
      <c r="R182" s="660"/>
      <c r="S182" s="660"/>
      <c r="T182" s="660"/>
      <c r="U182" s="660"/>
      <c r="V182" s="660"/>
      <c r="W182" s="660"/>
      <c r="X182" s="660"/>
      <c r="Y182" s="660"/>
      <c r="Z182" s="660"/>
      <c r="AA182" s="660"/>
      <c r="AB182" s="660"/>
      <c r="AC182" s="660"/>
      <c r="AD182" s="665"/>
    </row>
    <row r="183" spans="6:30" x14ac:dyDescent="0.25">
      <c r="F183" s="666"/>
      <c r="G183" s="643"/>
      <c r="H183" s="643"/>
      <c r="I183" s="643"/>
      <c r="J183" s="643"/>
      <c r="K183" s="643"/>
      <c r="L183" s="643"/>
      <c r="M183" s="643"/>
      <c r="N183" s="643"/>
      <c r="O183" s="667"/>
      <c r="P183" s="643"/>
      <c r="Q183" s="643"/>
      <c r="R183" s="660"/>
      <c r="S183" s="660"/>
      <c r="T183" s="660"/>
      <c r="U183" s="660"/>
      <c r="V183" s="660"/>
      <c r="W183" s="660"/>
      <c r="X183" s="660"/>
      <c r="Y183" s="660"/>
      <c r="Z183" s="660"/>
      <c r="AA183" s="660"/>
      <c r="AB183" s="660"/>
      <c r="AC183" s="660"/>
      <c r="AD183" s="665"/>
    </row>
    <row r="184" spans="6:30" x14ac:dyDescent="0.25">
      <c r="F184" s="666"/>
      <c r="G184" s="643"/>
      <c r="H184" s="643"/>
      <c r="I184" s="643"/>
      <c r="J184" s="643"/>
      <c r="K184" s="643"/>
      <c r="L184" s="643"/>
      <c r="M184" s="643"/>
      <c r="N184" s="643"/>
      <c r="O184" s="667"/>
      <c r="P184" s="643"/>
      <c r="Q184" s="643"/>
      <c r="R184" s="660"/>
      <c r="S184" s="660"/>
      <c r="T184" s="660"/>
      <c r="U184" s="660"/>
      <c r="V184" s="660"/>
      <c r="W184" s="660"/>
      <c r="X184" s="660"/>
      <c r="Y184" s="660"/>
      <c r="Z184" s="660"/>
      <c r="AA184" s="660"/>
      <c r="AB184" s="660"/>
      <c r="AC184" s="660"/>
      <c r="AD184" s="665"/>
    </row>
    <row r="185" spans="6:30" x14ac:dyDescent="0.25">
      <c r="F185" s="666"/>
      <c r="G185" s="643"/>
      <c r="H185" s="643"/>
      <c r="I185" s="643"/>
      <c r="J185" s="643"/>
      <c r="K185" s="643"/>
      <c r="L185" s="643"/>
      <c r="M185" s="643"/>
      <c r="N185" s="643"/>
      <c r="O185" s="667"/>
      <c r="P185" s="643"/>
      <c r="Q185" s="643"/>
      <c r="R185" s="660"/>
      <c r="S185" s="660"/>
      <c r="T185" s="660"/>
      <c r="U185" s="660"/>
      <c r="V185" s="660"/>
      <c r="W185" s="660"/>
      <c r="X185" s="660"/>
      <c r="Y185" s="660"/>
      <c r="Z185" s="660"/>
      <c r="AA185" s="660"/>
      <c r="AB185" s="660"/>
      <c r="AC185" s="660"/>
      <c r="AD185" s="665"/>
    </row>
    <row r="186" spans="6:30" x14ac:dyDescent="0.25">
      <c r="F186" s="666"/>
      <c r="G186" s="643"/>
      <c r="H186" s="643"/>
      <c r="I186" s="643"/>
      <c r="J186" s="643"/>
      <c r="K186" s="643"/>
      <c r="L186" s="643"/>
      <c r="M186" s="643"/>
      <c r="N186" s="643"/>
      <c r="O186" s="667"/>
      <c r="P186" s="643"/>
      <c r="Q186" s="643"/>
      <c r="R186" s="660"/>
      <c r="S186" s="660"/>
      <c r="T186" s="660"/>
      <c r="U186" s="660"/>
      <c r="V186" s="660"/>
      <c r="W186" s="660"/>
      <c r="X186" s="660"/>
      <c r="Y186" s="660"/>
      <c r="Z186" s="660"/>
      <c r="AA186" s="660"/>
      <c r="AB186" s="660"/>
      <c r="AC186" s="660"/>
      <c r="AD186" s="665"/>
    </row>
    <row r="187" spans="6:30" x14ac:dyDescent="0.25">
      <c r="F187" s="666"/>
      <c r="G187" s="643"/>
      <c r="H187" s="643"/>
      <c r="I187" s="643"/>
      <c r="J187" s="643"/>
      <c r="K187" s="643"/>
      <c r="L187" s="643"/>
      <c r="M187" s="643"/>
      <c r="N187" s="643"/>
      <c r="O187" s="667"/>
      <c r="P187" s="643"/>
      <c r="Q187" s="643"/>
      <c r="R187" s="660"/>
      <c r="S187" s="660"/>
      <c r="T187" s="660"/>
      <c r="U187" s="660"/>
      <c r="V187" s="660"/>
      <c r="W187" s="660"/>
      <c r="X187" s="660"/>
      <c r="Y187" s="660"/>
      <c r="Z187" s="660"/>
      <c r="AA187" s="660"/>
      <c r="AB187" s="660"/>
      <c r="AC187" s="660"/>
      <c r="AD187" s="665"/>
    </row>
    <row r="188" spans="6:30" x14ac:dyDescent="0.25">
      <c r="F188" s="666"/>
      <c r="G188" s="643"/>
      <c r="H188" s="643"/>
      <c r="I188" s="643"/>
      <c r="J188" s="643"/>
      <c r="K188" s="643"/>
      <c r="L188" s="643"/>
      <c r="M188" s="643"/>
      <c r="N188" s="643"/>
      <c r="O188" s="667"/>
      <c r="P188" s="643"/>
      <c r="Q188" s="643"/>
      <c r="R188" s="660"/>
      <c r="S188" s="660"/>
      <c r="T188" s="660"/>
      <c r="U188" s="660"/>
      <c r="V188" s="660"/>
      <c r="W188" s="660"/>
      <c r="X188" s="660"/>
      <c r="Y188" s="660"/>
      <c r="Z188" s="660"/>
      <c r="AA188" s="660"/>
      <c r="AB188" s="660"/>
      <c r="AC188" s="660"/>
      <c r="AD188" s="665"/>
    </row>
    <row r="189" spans="6:30" x14ac:dyDescent="0.25">
      <c r="F189" s="666"/>
      <c r="G189" s="643"/>
      <c r="H189" s="643"/>
      <c r="I189" s="643"/>
      <c r="J189" s="643"/>
      <c r="K189" s="643"/>
      <c r="L189" s="643"/>
      <c r="M189" s="643"/>
      <c r="N189" s="643"/>
      <c r="O189" s="667"/>
      <c r="P189" s="643"/>
      <c r="Q189" s="643"/>
      <c r="R189" s="660"/>
      <c r="S189" s="660"/>
      <c r="T189" s="660"/>
      <c r="U189" s="660"/>
      <c r="V189" s="660"/>
      <c r="W189" s="660"/>
      <c r="X189" s="660"/>
      <c r="Y189" s="660"/>
      <c r="Z189" s="660"/>
      <c r="AA189" s="660"/>
      <c r="AB189" s="660"/>
      <c r="AC189" s="660"/>
      <c r="AD189" s="665"/>
    </row>
    <row r="190" spans="6:30" x14ac:dyDescent="0.25">
      <c r="F190" s="666"/>
      <c r="G190" s="643"/>
      <c r="H190" s="643"/>
      <c r="I190" s="643"/>
      <c r="J190" s="643"/>
      <c r="K190" s="643"/>
      <c r="L190" s="643"/>
      <c r="M190" s="643"/>
      <c r="N190" s="643"/>
      <c r="O190" s="667"/>
      <c r="P190" s="643"/>
      <c r="Q190" s="643"/>
      <c r="R190" s="660"/>
      <c r="S190" s="660"/>
      <c r="T190" s="660"/>
      <c r="U190" s="660"/>
      <c r="V190" s="660"/>
      <c r="W190" s="660"/>
      <c r="X190" s="660"/>
      <c r="Y190" s="660"/>
      <c r="Z190" s="660"/>
      <c r="AA190" s="660"/>
      <c r="AB190" s="660"/>
      <c r="AC190" s="660"/>
      <c r="AD190" s="665"/>
    </row>
    <row r="191" spans="6:30" x14ac:dyDescent="0.25">
      <c r="F191" s="666"/>
      <c r="G191" s="643"/>
      <c r="H191" s="643"/>
      <c r="I191" s="643"/>
      <c r="J191" s="643"/>
      <c r="K191" s="643"/>
      <c r="L191" s="643"/>
      <c r="M191" s="643"/>
      <c r="N191" s="643"/>
      <c r="O191" s="667"/>
      <c r="P191" s="643"/>
      <c r="Q191" s="643"/>
      <c r="R191" s="660"/>
      <c r="S191" s="660"/>
      <c r="T191" s="660"/>
      <c r="U191" s="660"/>
      <c r="V191" s="660"/>
      <c r="W191" s="660"/>
      <c r="X191" s="660"/>
      <c r="Y191" s="660"/>
      <c r="Z191" s="660"/>
      <c r="AA191" s="660"/>
      <c r="AB191" s="660"/>
      <c r="AC191" s="660"/>
      <c r="AD191" s="665"/>
    </row>
    <row r="192" spans="6:30" x14ac:dyDescent="0.25">
      <c r="F192" s="666"/>
      <c r="G192" s="643"/>
      <c r="H192" s="643"/>
      <c r="I192" s="643"/>
      <c r="J192" s="643"/>
      <c r="K192" s="643"/>
      <c r="L192" s="643"/>
      <c r="M192" s="643"/>
      <c r="N192" s="643"/>
      <c r="O192" s="667"/>
      <c r="P192" s="643"/>
      <c r="Q192" s="643"/>
      <c r="R192" s="660"/>
      <c r="S192" s="660"/>
      <c r="T192" s="660"/>
      <c r="U192" s="660"/>
      <c r="V192" s="660"/>
      <c r="W192" s="660"/>
      <c r="X192" s="660"/>
      <c r="Y192" s="660"/>
      <c r="Z192" s="660"/>
      <c r="AA192" s="660"/>
      <c r="AB192" s="660"/>
      <c r="AC192" s="660"/>
      <c r="AD192" s="665"/>
    </row>
    <row r="193" spans="6:30" x14ac:dyDescent="0.25">
      <c r="F193" s="666"/>
      <c r="G193" s="643"/>
      <c r="H193" s="643"/>
      <c r="I193" s="643"/>
      <c r="J193" s="643"/>
      <c r="K193" s="643"/>
      <c r="L193" s="643"/>
      <c r="M193" s="643"/>
      <c r="N193" s="643"/>
      <c r="O193" s="667"/>
      <c r="P193" s="643"/>
      <c r="Q193" s="643"/>
      <c r="R193" s="660"/>
      <c r="S193" s="660"/>
      <c r="T193" s="660"/>
      <c r="U193" s="660"/>
      <c r="V193" s="660"/>
      <c r="W193" s="660"/>
      <c r="X193" s="660"/>
      <c r="Y193" s="660"/>
      <c r="Z193" s="660"/>
      <c r="AA193" s="660"/>
      <c r="AB193" s="660"/>
      <c r="AC193" s="660"/>
      <c r="AD193" s="665"/>
    </row>
    <row r="194" spans="6:30" x14ac:dyDescent="0.25">
      <c r="F194" s="666"/>
      <c r="G194" s="643"/>
      <c r="H194" s="643"/>
      <c r="I194" s="643"/>
      <c r="J194" s="643"/>
      <c r="K194" s="643"/>
      <c r="L194" s="643"/>
      <c r="M194" s="643"/>
      <c r="N194" s="643"/>
      <c r="O194" s="667"/>
      <c r="P194" s="643"/>
      <c r="Q194" s="643"/>
      <c r="R194" s="660"/>
      <c r="S194" s="660"/>
      <c r="T194" s="660"/>
      <c r="U194" s="660"/>
      <c r="V194" s="660"/>
      <c r="W194" s="660"/>
      <c r="X194" s="660"/>
      <c r="Y194" s="660"/>
      <c r="Z194" s="660"/>
      <c r="AA194" s="660"/>
      <c r="AB194" s="660"/>
      <c r="AC194" s="660"/>
      <c r="AD194" s="665"/>
    </row>
    <row r="195" spans="6:30" x14ac:dyDescent="0.25">
      <c r="F195" s="666"/>
      <c r="G195" s="643"/>
      <c r="H195" s="643"/>
      <c r="I195" s="643"/>
      <c r="J195" s="643"/>
      <c r="K195" s="643"/>
      <c r="L195" s="643"/>
      <c r="M195" s="643"/>
      <c r="N195" s="643"/>
      <c r="O195" s="667"/>
      <c r="P195" s="643"/>
      <c r="Q195" s="643"/>
      <c r="R195" s="660"/>
      <c r="S195" s="660"/>
      <c r="T195" s="660"/>
      <c r="U195" s="660"/>
      <c r="V195" s="660"/>
      <c r="W195" s="660"/>
      <c r="X195" s="660"/>
      <c r="Y195" s="660"/>
      <c r="Z195" s="660"/>
      <c r="AA195" s="660"/>
      <c r="AB195" s="660"/>
      <c r="AC195" s="660"/>
      <c r="AD195" s="665"/>
    </row>
    <row r="196" spans="6:30" x14ac:dyDescent="0.25">
      <c r="F196" s="666"/>
      <c r="G196" s="643"/>
      <c r="H196" s="643"/>
      <c r="I196" s="643"/>
      <c r="J196" s="643"/>
      <c r="K196" s="643"/>
      <c r="L196" s="643"/>
      <c r="M196" s="643"/>
      <c r="N196" s="643"/>
      <c r="O196" s="667"/>
      <c r="P196" s="643"/>
      <c r="Q196" s="643"/>
      <c r="R196" s="660"/>
      <c r="S196" s="660"/>
      <c r="T196" s="660"/>
      <c r="U196" s="660"/>
      <c r="V196" s="660"/>
      <c r="W196" s="660"/>
      <c r="X196" s="660"/>
      <c r="Y196" s="660"/>
      <c r="Z196" s="660"/>
      <c r="AA196" s="660"/>
      <c r="AB196" s="660"/>
      <c r="AC196" s="660"/>
      <c r="AD196" s="665"/>
    </row>
    <row r="197" spans="6:30" x14ac:dyDescent="0.25">
      <c r="F197" s="666"/>
      <c r="G197" s="643"/>
      <c r="H197" s="643"/>
      <c r="I197" s="643"/>
      <c r="J197" s="643"/>
      <c r="K197" s="643"/>
      <c r="L197" s="643"/>
      <c r="M197" s="643"/>
      <c r="N197" s="643"/>
      <c r="O197" s="667"/>
      <c r="P197" s="643"/>
      <c r="Q197" s="643"/>
      <c r="R197" s="660"/>
      <c r="S197" s="660"/>
      <c r="T197" s="660"/>
      <c r="U197" s="660"/>
      <c r="V197" s="660"/>
      <c r="W197" s="660"/>
      <c r="X197" s="660"/>
      <c r="Y197" s="660"/>
      <c r="Z197" s="660"/>
      <c r="AA197" s="660"/>
      <c r="AB197" s="660"/>
      <c r="AC197" s="660"/>
      <c r="AD197" s="665"/>
    </row>
    <row r="198" spans="6:30" x14ac:dyDescent="0.25">
      <c r="F198" s="666"/>
      <c r="G198" s="643"/>
      <c r="H198" s="643"/>
      <c r="I198" s="643"/>
      <c r="J198" s="643"/>
      <c r="K198" s="643"/>
      <c r="L198" s="643"/>
      <c r="M198" s="643"/>
      <c r="N198" s="643"/>
      <c r="O198" s="667"/>
      <c r="P198" s="643"/>
      <c r="Q198" s="643"/>
      <c r="R198" s="660"/>
      <c r="S198" s="660"/>
      <c r="T198" s="660"/>
      <c r="U198" s="660"/>
      <c r="V198" s="660"/>
      <c r="W198" s="660"/>
      <c r="X198" s="660"/>
      <c r="Y198" s="660"/>
      <c r="Z198" s="660"/>
      <c r="AA198" s="660"/>
      <c r="AB198" s="660"/>
      <c r="AC198" s="660"/>
      <c r="AD198" s="665"/>
    </row>
    <row r="199" spans="6:30" x14ac:dyDescent="0.25">
      <c r="F199" s="666"/>
      <c r="G199" s="643"/>
      <c r="H199" s="643"/>
      <c r="I199" s="643"/>
      <c r="J199" s="643"/>
      <c r="K199" s="643"/>
      <c r="L199" s="643"/>
      <c r="M199" s="643"/>
      <c r="N199" s="643"/>
      <c r="O199" s="667"/>
      <c r="P199" s="643"/>
      <c r="Q199" s="643"/>
      <c r="R199" s="660"/>
      <c r="S199" s="660"/>
      <c r="T199" s="660"/>
      <c r="U199" s="660"/>
      <c r="V199" s="660"/>
      <c r="W199" s="660"/>
      <c r="X199" s="660"/>
      <c r="Y199" s="660"/>
      <c r="Z199" s="660"/>
      <c r="AA199" s="660"/>
      <c r="AB199" s="660"/>
      <c r="AC199" s="660"/>
      <c r="AD199" s="665"/>
    </row>
    <row r="200" spans="6:30" x14ac:dyDescent="0.25">
      <c r="F200" s="666"/>
      <c r="G200" s="643"/>
      <c r="H200" s="643"/>
      <c r="I200" s="643"/>
      <c r="J200" s="643"/>
      <c r="K200" s="643"/>
      <c r="L200" s="643"/>
      <c r="M200" s="643"/>
      <c r="N200" s="643"/>
      <c r="O200" s="667"/>
      <c r="P200" s="643"/>
      <c r="Q200" s="643"/>
      <c r="R200" s="660"/>
      <c r="S200" s="660"/>
      <c r="T200" s="660"/>
      <c r="U200" s="660"/>
      <c r="V200" s="660"/>
      <c r="W200" s="660"/>
      <c r="X200" s="660"/>
      <c r="Y200" s="660"/>
      <c r="Z200" s="660"/>
      <c r="AA200" s="660"/>
      <c r="AB200" s="660"/>
      <c r="AC200" s="660"/>
      <c r="AD200" s="665"/>
    </row>
    <row r="201" spans="6:30" x14ac:dyDescent="0.25">
      <c r="F201" s="666"/>
      <c r="G201" s="643"/>
      <c r="H201" s="643"/>
      <c r="I201" s="643"/>
      <c r="J201" s="643"/>
      <c r="K201" s="643"/>
      <c r="L201" s="643"/>
      <c r="M201" s="643"/>
      <c r="N201" s="643"/>
      <c r="O201" s="667"/>
      <c r="P201" s="643"/>
      <c r="Q201" s="643"/>
      <c r="R201" s="660"/>
      <c r="S201" s="660"/>
      <c r="T201" s="660"/>
      <c r="U201" s="660"/>
      <c r="V201" s="660"/>
      <c r="W201" s="660"/>
      <c r="X201" s="660"/>
      <c r="Y201" s="660"/>
      <c r="Z201" s="660"/>
      <c r="AA201" s="660"/>
      <c r="AB201" s="660"/>
      <c r="AC201" s="660"/>
      <c r="AD201" s="665"/>
    </row>
    <row r="202" spans="6:30" x14ac:dyDescent="0.25">
      <c r="F202" s="666"/>
      <c r="G202" s="643"/>
      <c r="H202" s="643"/>
      <c r="I202" s="643"/>
      <c r="J202" s="643"/>
      <c r="K202" s="643"/>
      <c r="L202" s="643"/>
      <c r="M202" s="643"/>
      <c r="N202" s="643"/>
      <c r="O202" s="667"/>
      <c r="P202" s="643"/>
      <c r="Q202" s="643"/>
      <c r="R202" s="660"/>
      <c r="S202" s="660"/>
      <c r="T202" s="660"/>
      <c r="U202" s="660"/>
      <c r="V202" s="660"/>
      <c r="W202" s="660"/>
      <c r="X202" s="660"/>
      <c r="Y202" s="660"/>
      <c r="Z202" s="660"/>
      <c r="AA202" s="660"/>
      <c r="AB202" s="660"/>
      <c r="AC202" s="660"/>
      <c r="AD202" s="665"/>
    </row>
    <row r="203" spans="6:30" x14ac:dyDescent="0.25">
      <c r="F203" s="666"/>
      <c r="G203" s="643"/>
      <c r="H203" s="643"/>
      <c r="I203" s="643"/>
      <c r="J203" s="643"/>
      <c r="K203" s="643"/>
      <c r="L203" s="643"/>
      <c r="M203" s="643"/>
      <c r="N203" s="643"/>
      <c r="O203" s="667"/>
      <c r="P203" s="643"/>
      <c r="Q203" s="643"/>
      <c r="R203" s="660"/>
      <c r="S203" s="660"/>
      <c r="T203" s="660"/>
      <c r="U203" s="660"/>
      <c r="V203" s="660"/>
      <c r="W203" s="660"/>
      <c r="X203" s="660"/>
      <c r="Y203" s="660"/>
      <c r="Z203" s="660"/>
      <c r="AA203" s="660"/>
      <c r="AB203" s="660"/>
      <c r="AC203" s="660"/>
      <c r="AD203" s="665"/>
    </row>
    <row r="204" spans="6:30" x14ac:dyDescent="0.25">
      <c r="F204" s="666"/>
      <c r="G204" s="643"/>
      <c r="H204" s="643"/>
      <c r="I204" s="643"/>
      <c r="J204" s="643"/>
      <c r="K204" s="643"/>
      <c r="L204" s="643"/>
      <c r="M204" s="643"/>
      <c r="N204" s="643"/>
      <c r="O204" s="667"/>
      <c r="P204" s="643"/>
      <c r="Q204" s="643"/>
      <c r="R204" s="660"/>
      <c r="S204" s="660"/>
      <c r="T204" s="660"/>
      <c r="U204" s="660"/>
      <c r="V204" s="660"/>
      <c r="W204" s="660"/>
      <c r="X204" s="660"/>
      <c r="Y204" s="660"/>
      <c r="Z204" s="660"/>
      <c r="AA204" s="660"/>
      <c r="AB204" s="660"/>
      <c r="AC204" s="660"/>
      <c r="AD204" s="665"/>
    </row>
    <row r="205" spans="6:30" x14ac:dyDescent="0.25">
      <c r="F205" s="666"/>
      <c r="G205" s="643"/>
      <c r="H205" s="643"/>
      <c r="I205" s="643"/>
      <c r="J205" s="643"/>
      <c r="K205" s="643"/>
      <c r="L205" s="643"/>
      <c r="M205" s="643"/>
      <c r="N205" s="643"/>
      <c r="O205" s="667"/>
      <c r="P205" s="643"/>
      <c r="Q205" s="643"/>
      <c r="R205" s="660"/>
      <c r="S205" s="660"/>
      <c r="T205" s="660"/>
      <c r="U205" s="660"/>
      <c r="V205" s="660"/>
      <c r="W205" s="660"/>
      <c r="X205" s="660"/>
      <c r="Y205" s="660"/>
      <c r="Z205" s="660"/>
      <c r="AA205" s="660"/>
      <c r="AB205" s="660"/>
      <c r="AC205" s="660"/>
      <c r="AD205" s="665"/>
    </row>
    <row r="206" spans="6:30" x14ac:dyDescent="0.25">
      <c r="F206" s="666"/>
      <c r="G206" s="643"/>
      <c r="H206" s="643"/>
      <c r="I206" s="643"/>
      <c r="J206" s="643"/>
      <c r="K206" s="643"/>
      <c r="L206" s="643"/>
      <c r="M206" s="643"/>
      <c r="N206" s="643"/>
      <c r="O206" s="667"/>
      <c r="P206" s="643"/>
      <c r="Q206" s="643"/>
      <c r="R206" s="660"/>
      <c r="S206" s="660"/>
      <c r="T206" s="660"/>
      <c r="U206" s="660"/>
      <c r="V206" s="660"/>
      <c r="W206" s="660"/>
      <c r="X206" s="660"/>
      <c r="Y206" s="660"/>
      <c r="Z206" s="660"/>
      <c r="AA206" s="660"/>
      <c r="AB206" s="660"/>
      <c r="AC206" s="660"/>
      <c r="AD206" s="665"/>
    </row>
    <row r="207" spans="6:30" x14ac:dyDescent="0.25">
      <c r="F207" s="666"/>
      <c r="G207" s="643"/>
      <c r="H207" s="643"/>
      <c r="I207" s="643"/>
      <c r="J207" s="643"/>
      <c r="K207" s="643"/>
      <c r="L207" s="643"/>
      <c r="M207" s="643"/>
      <c r="N207" s="643"/>
      <c r="O207" s="667"/>
      <c r="P207" s="643"/>
      <c r="Q207" s="643"/>
      <c r="R207" s="660"/>
      <c r="S207" s="660"/>
      <c r="T207" s="660"/>
      <c r="U207" s="660"/>
      <c r="V207" s="660"/>
      <c r="W207" s="660"/>
      <c r="X207" s="660"/>
      <c r="Y207" s="660"/>
      <c r="Z207" s="660"/>
      <c r="AA207" s="660"/>
      <c r="AB207" s="660"/>
      <c r="AC207" s="660"/>
      <c r="AD207" s="665"/>
    </row>
    <row r="208" spans="6:30" x14ac:dyDescent="0.25">
      <c r="F208" s="666"/>
      <c r="G208" s="643"/>
      <c r="H208" s="643"/>
      <c r="I208" s="643"/>
      <c r="J208" s="643"/>
      <c r="K208" s="643"/>
      <c r="L208" s="643"/>
      <c r="M208" s="643"/>
      <c r="N208" s="643"/>
      <c r="O208" s="667"/>
      <c r="P208" s="643"/>
      <c r="Q208" s="643"/>
      <c r="R208" s="660"/>
      <c r="S208" s="660"/>
      <c r="T208" s="660"/>
      <c r="U208" s="660"/>
      <c r="V208" s="660"/>
      <c r="W208" s="660"/>
      <c r="X208" s="660"/>
      <c r="Y208" s="660"/>
      <c r="Z208" s="660"/>
      <c r="AA208" s="660"/>
      <c r="AB208" s="660"/>
      <c r="AC208" s="660"/>
      <c r="AD208" s="665"/>
    </row>
    <row r="209" spans="6:30" x14ac:dyDescent="0.25">
      <c r="F209" s="666"/>
      <c r="G209" s="643"/>
      <c r="H209" s="643"/>
      <c r="I209" s="643"/>
      <c r="J209" s="643"/>
      <c r="K209" s="643"/>
      <c r="L209" s="643"/>
      <c r="M209" s="643"/>
      <c r="N209" s="643"/>
      <c r="O209" s="667"/>
      <c r="P209" s="643"/>
      <c r="Q209" s="643"/>
      <c r="R209" s="660"/>
      <c r="S209" s="660"/>
      <c r="T209" s="660"/>
      <c r="U209" s="660"/>
      <c r="V209" s="660"/>
      <c r="W209" s="660"/>
      <c r="X209" s="660"/>
      <c r="Y209" s="660"/>
      <c r="Z209" s="660"/>
      <c r="AA209" s="660"/>
      <c r="AB209" s="660"/>
      <c r="AC209" s="660"/>
      <c r="AD209" s="665"/>
    </row>
    <row r="210" spans="6:30" x14ac:dyDescent="0.25">
      <c r="F210" s="666"/>
      <c r="G210" s="643"/>
      <c r="H210" s="643"/>
      <c r="I210" s="643"/>
      <c r="J210" s="643"/>
      <c r="K210" s="643"/>
      <c r="L210" s="643"/>
      <c r="M210" s="643"/>
      <c r="N210" s="643"/>
      <c r="O210" s="667"/>
      <c r="P210" s="643"/>
      <c r="Q210" s="643"/>
      <c r="R210" s="660"/>
      <c r="S210" s="660"/>
      <c r="T210" s="660"/>
      <c r="U210" s="660"/>
      <c r="V210" s="660"/>
      <c r="W210" s="660"/>
      <c r="X210" s="660"/>
      <c r="Y210" s="660"/>
      <c r="Z210" s="660"/>
      <c r="AA210" s="660"/>
      <c r="AB210" s="660"/>
      <c r="AC210" s="660"/>
      <c r="AD210" s="665"/>
    </row>
    <row r="211" spans="6:30" x14ac:dyDescent="0.25">
      <c r="F211" s="666"/>
      <c r="G211" s="643"/>
      <c r="H211" s="643"/>
      <c r="I211" s="643"/>
      <c r="J211" s="643"/>
      <c r="K211" s="643"/>
      <c r="L211" s="643"/>
      <c r="M211" s="643"/>
      <c r="N211" s="643"/>
      <c r="O211" s="667"/>
      <c r="P211" s="643"/>
      <c r="Q211" s="643"/>
      <c r="R211" s="660"/>
      <c r="S211" s="660"/>
      <c r="T211" s="660"/>
      <c r="U211" s="660"/>
      <c r="V211" s="660"/>
      <c r="W211" s="660"/>
      <c r="X211" s="660"/>
      <c r="Y211" s="660"/>
      <c r="Z211" s="660"/>
      <c r="AA211" s="660"/>
      <c r="AB211" s="660"/>
      <c r="AC211" s="660"/>
      <c r="AD211" s="665"/>
    </row>
    <row r="212" spans="6:30" x14ac:dyDescent="0.25">
      <c r="F212" s="666"/>
      <c r="G212" s="643"/>
      <c r="H212" s="643"/>
      <c r="I212" s="643"/>
      <c r="J212" s="643"/>
      <c r="K212" s="643"/>
      <c r="L212" s="643"/>
      <c r="M212" s="643"/>
      <c r="N212" s="643"/>
      <c r="O212" s="667"/>
      <c r="P212" s="643"/>
      <c r="Q212" s="643"/>
      <c r="R212" s="660"/>
      <c r="S212" s="660"/>
      <c r="T212" s="660"/>
      <c r="U212" s="660"/>
      <c r="V212" s="660"/>
      <c r="W212" s="660"/>
      <c r="X212" s="660"/>
      <c r="Y212" s="660"/>
      <c r="Z212" s="660"/>
      <c r="AA212" s="660"/>
      <c r="AB212" s="660"/>
      <c r="AC212" s="660"/>
      <c r="AD212" s="665"/>
    </row>
    <row r="213" spans="6:30" x14ac:dyDescent="0.25">
      <c r="F213" s="666"/>
      <c r="G213" s="643"/>
      <c r="H213" s="643"/>
      <c r="I213" s="643"/>
      <c r="J213" s="643"/>
      <c r="K213" s="643"/>
      <c r="L213" s="643"/>
      <c r="M213" s="643"/>
      <c r="N213" s="643"/>
      <c r="O213" s="667"/>
      <c r="P213" s="643"/>
      <c r="Q213" s="643"/>
      <c r="R213" s="660"/>
      <c r="S213" s="660"/>
      <c r="T213" s="660"/>
      <c r="U213" s="660"/>
      <c r="V213" s="660"/>
      <c r="W213" s="660"/>
      <c r="X213" s="660"/>
      <c r="Y213" s="660"/>
      <c r="Z213" s="660"/>
      <c r="AA213" s="660"/>
      <c r="AB213" s="660"/>
      <c r="AC213" s="660"/>
      <c r="AD213" s="665"/>
    </row>
    <row r="214" spans="6:30" x14ac:dyDescent="0.25">
      <c r="F214" s="666"/>
      <c r="G214" s="643"/>
      <c r="H214" s="643"/>
      <c r="I214" s="643"/>
      <c r="J214" s="643"/>
      <c r="K214" s="643"/>
      <c r="L214" s="643"/>
      <c r="M214" s="643"/>
      <c r="N214" s="643"/>
      <c r="O214" s="667"/>
      <c r="P214" s="643"/>
      <c r="Q214" s="643"/>
      <c r="R214" s="660"/>
      <c r="S214" s="660"/>
      <c r="T214" s="660"/>
      <c r="U214" s="660"/>
      <c r="V214" s="660"/>
      <c r="W214" s="660"/>
      <c r="X214" s="660"/>
      <c r="Y214" s="660"/>
      <c r="Z214" s="660"/>
      <c r="AA214" s="660"/>
      <c r="AB214" s="660"/>
      <c r="AC214" s="660"/>
      <c r="AD214" s="665"/>
    </row>
    <row r="215" spans="6:30" x14ac:dyDescent="0.25">
      <c r="F215" s="666"/>
      <c r="G215" s="643"/>
      <c r="H215" s="643"/>
      <c r="I215" s="643"/>
      <c r="J215" s="643"/>
      <c r="K215" s="643"/>
      <c r="L215" s="643"/>
      <c r="M215" s="643"/>
      <c r="N215" s="643"/>
      <c r="O215" s="667"/>
      <c r="P215" s="643"/>
      <c r="Q215" s="643"/>
      <c r="R215" s="660"/>
      <c r="S215" s="660"/>
      <c r="T215" s="660"/>
      <c r="U215" s="660"/>
      <c r="V215" s="660"/>
      <c r="W215" s="660"/>
      <c r="X215" s="660"/>
      <c r="Y215" s="660"/>
      <c r="Z215" s="660"/>
      <c r="AA215" s="660"/>
      <c r="AB215" s="660"/>
      <c r="AC215" s="660"/>
      <c r="AD215" s="665"/>
    </row>
    <row r="216" spans="6:30" x14ac:dyDescent="0.25">
      <c r="F216" s="666"/>
      <c r="G216" s="643"/>
      <c r="H216" s="643"/>
      <c r="I216" s="643"/>
      <c r="J216" s="643"/>
      <c r="K216" s="643"/>
      <c r="L216" s="643"/>
      <c r="M216" s="643"/>
      <c r="N216" s="643"/>
      <c r="O216" s="667"/>
      <c r="P216" s="643"/>
      <c r="Q216" s="643"/>
      <c r="R216" s="660"/>
      <c r="S216" s="660"/>
      <c r="T216" s="660"/>
      <c r="U216" s="660"/>
      <c r="V216" s="660"/>
      <c r="W216" s="660"/>
      <c r="X216" s="660"/>
      <c r="Y216" s="660"/>
      <c r="Z216" s="660"/>
      <c r="AA216" s="660"/>
      <c r="AB216" s="660"/>
      <c r="AC216" s="660"/>
      <c r="AD216" s="665"/>
    </row>
    <row r="217" spans="6:30" x14ac:dyDescent="0.25">
      <c r="F217" s="666"/>
      <c r="G217" s="643"/>
      <c r="H217" s="643"/>
      <c r="I217" s="643"/>
      <c r="J217" s="643"/>
      <c r="K217" s="643"/>
      <c r="L217" s="643"/>
      <c r="M217" s="643"/>
      <c r="N217" s="643"/>
      <c r="O217" s="667"/>
      <c r="P217" s="643"/>
      <c r="Q217" s="643"/>
      <c r="R217" s="660"/>
      <c r="S217" s="660"/>
      <c r="T217" s="660"/>
      <c r="U217" s="660"/>
      <c r="V217" s="660"/>
      <c r="W217" s="660"/>
      <c r="X217" s="660"/>
      <c r="Y217" s="660"/>
      <c r="Z217" s="660"/>
      <c r="AA217" s="660"/>
      <c r="AB217" s="660"/>
      <c r="AC217" s="660"/>
      <c r="AD217" s="665"/>
    </row>
    <row r="218" spans="6:30" x14ac:dyDescent="0.25">
      <c r="F218" s="666"/>
      <c r="G218" s="643"/>
      <c r="H218" s="643"/>
      <c r="I218" s="643"/>
      <c r="J218" s="643"/>
      <c r="K218" s="643"/>
      <c r="L218" s="643"/>
      <c r="M218" s="643"/>
      <c r="N218" s="643"/>
      <c r="O218" s="667"/>
      <c r="P218" s="643"/>
      <c r="Q218" s="643"/>
      <c r="R218" s="660"/>
      <c r="S218" s="660"/>
      <c r="T218" s="660"/>
      <c r="U218" s="660"/>
      <c r="V218" s="660"/>
      <c r="W218" s="660"/>
      <c r="X218" s="660"/>
      <c r="Y218" s="660"/>
      <c r="Z218" s="660"/>
      <c r="AA218" s="660"/>
      <c r="AB218" s="660"/>
      <c r="AC218" s="660"/>
      <c r="AD218" s="665"/>
    </row>
    <row r="219" spans="6:30" x14ac:dyDescent="0.25">
      <c r="F219" s="666"/>
      <c r="G219" s="643"/>
      <c r="H219" s="643"/>
      <c r="I219" s="643"/>
      <c r="J219" s="643"/>
      <c r="K219" s="643"/>
      <c r="L219" s="643"/>
      <c r="M219" s="643"/>
      <c r="N219" s="643"/>
      <c r="O219" s="667"/>
      <c r="P219" s="643"/>
      <c r="Q219" s="643"/>
      <c r="R219" s="660"/>
      <c r="S219" s="660"/>
      <c r="T219" s="660"/>
      <c r="U219" s="660"/>
      <c r="V219" s="660"/>
      <c r="W219" s="660"/>
      <c r="X219" s="660"/>
      <c r="Y219" s="660"/>
      <c r="Z219" s="660"/>
      <c r="AA219" s="660"/>
      <c r="AB219" s="660"/>
      <c r="AC219" s="660"/>
      <c r="AD219" s="665"/>
    </row>
    <row r="220" spans="6:30" x14ac:dyDescent="0.25">
      <c r="F220" s="666"/>
      <c r="G220" s="643"/>
      <c r="H220" s="643"/>
      <c r="I220" s="643"/>
      <c r="J220" s="643"/>
      <c r="K220" s="643"/>
      <c r="L220" s="643"/>
      <c r="M220" s="643"/>
      <c r="N220" s="643"/>
      <c r="O220" s="667"/>
      <c r="P220" s="643"/>
      <c r="Q220" s="643"/>
      <c r="R220" s="660"/>
      <c r="S220" s="660"/>
      <c r="T220" s="660"/>
      <c r="U220" s="660"/>
      <c r="V220" s="660"/>
      <c r="W220" s="660"/>
      <c r="X220" s="660"/>
      <c r="Y220" s="660"/>
      <c r="Z220" s="660"/>
      <c r="AA220" s="660"/>
      <c r="AB220" s="660"/>
      <c r="AC220" s="660"/>
      <c r="AD220" s="665"/>
    </row>
    <row r="221" spans="6:30" x14ac:dyDescent="0.25">
      <c r="F221" s="666"/>
      <c r="G221" s="643"/>
      <c r="H221" s="643"/>
      <c r="I221" s="643"/>
      <c r="J221" s="643"/>
      <c r="K221" s="643"/>
      <c r="L221" s="643"/>
      <c r="M221" s="643"/>
      <c r="N221" s="643"/>
      <c r="O221" s="667"/>
      <c r="P221" s="643"/>
      <c r="Q221" s="643"/>
      <c r="R221" s="660"/>
      <c r="S221" s="660"/>
      <c r="T221" s="660"/>
      <c r="U221" s="660"/>
      <c r="V221" s="660"/>
      <c r="W221" s="660"/>
      <c r="X221" s="660"/>
      <c r="Y221" s="660"/>
      <c r="Z221" s="660"/>
      <c r="AA221" s="660"/>
      <c r="AB221" s="660"/>
      <c r="AC221" s="660"/>
      <c r="AD221" s="665"/>
    </row>
    <row r="222" spans="6:30" x14ac:dyDescent="0.25">
      <c r="F222" s="666"/>
      <c r="G222" s="643"/>
      <c r="H222" s="643"/>
      <c r="I222" s="643"/>
      <c r="J222" s="643"/>
      <c r="K222" s="643"/>
      <c r="L222" s="643"/>
      <c r="M222" s="643"/>
      <c r="N222" s="643"/>
      <c r="O222" s="667"/>
      <c r="P222" s="643"/>
      <c r="Q222" s="643"/>
      <c r="R222" s="660"/>
      <c r="S222" s="660"/>
      <c r="T222" s="660"/>
      <c r="U222" s="660"/>
      <c r="V222" s="660"/>
      <c r="W222" s="660"/>
      <c r="X222" s="660"/>
      <c r="Y222" s="660"/>
      <c r="Z222" s="660"/>
      <c r="AA222" s="660"/>
      <c r="AB222" s="660"/>
      <c r="AC222" s="660"/>
      <c r="AD222" s="665"/>
    </row>
    <row r="223" spans="6:30" x14ac:dyDescent="0.25">
      <c r="F223" s="666"/>
      <c r="G223" s="643"/>
      <c r="H223" s="643"/>
      <c r="I223" s="643"/>
      <c r="J223" s="643"/>
      <c r="K223" s="643"/>
      <c r="L223" s="643"/>
      <c r="M223" s="643"/>
      <c r="N223" s="643"/>
      <c r="O223" s="667"/>
      <c r="P223" s="643"/>
      <c r="Q223" s="643"/>
      <c r="R223" s="660"/>
      <c r="S223" s="660"/>
      <c r="T223" s="660"/>
      <c r="U223" s="660"/>
      <c r="V223" s="660"/>
      <c r="W223" s="660"/>
      <c r="X223" s="660"/>
      <c r="Y223" s="660"/>
      <c r="Z223" s="660"/>
      <c r="AA223" s="660"/>
      <c r="AB223" s="660"/>
      <c r="AC223" s="660"/>
      <c r="AD223" s="665"/>
    </row>
    <row r="224" spans="6:30" x14ac:dyDescent="0.25">
      <c r="F224" s="666"/>
      <c r="G224" s="643"/>
      <c r="H224" s="643"/>
      <c r="I224" s="643"/>
      <c r="J224" s="643"/>
      <c r="K224" s="643"/>
      <c r="L224" s="643"/>
      <c r="M224" s="643"/>
      <c r="N224" s="643"/>
      <c r="O224" s="667"/>
      <c r="P224" s="643"/>
      <c r="Q224" s="643"/>
      <c r="R224" s="660"/>
      <c r="S224" s="660"/>
      <c r="T224" s="660"/>
      <c r="U224" s="660"/>
      <c r="V224" s="660"/>
      <c r="W224" s="660"/>
      <c r="X224" s="660"/>
      <c r="Y224" s="660"/>
      <c r="Z224" s="660"/>
      <c r="AA224" s="660"/>
      <c r="AB224" s="660"/>
      <c r="AC224" s="660"/>
      <c r="AD224" s="665"/>
    </row>
    <row r="225" spans="6:30" x14ac:dyDescent="0.25">
      <c r="F225" s="666"/>
      <c r="G225" s="643"/>
      <c r="H225" s="643"/>
      <c r="I225" s="643"/>
      <c r="J225" s="643"/>
      <c r="K225" s="643"/>
      <c r="L225" s="643"/>
      <c r="M225" s="643"/>
      <c r="N225" s="643"/>
      <c r="O225" s="667"/>
      <c r="P225" s="643"/>
      <c r="Q225" s="643"/>
      <c r="R225" s="660"/>
      <c r="S225" s="660"/>
      <c r="T225" s="660"/>
      <c r="U225" s="660"/>
      <c r="V225" s="660"/>
      <c r="W225" s="660"/>
      <c r="X225" s="660"/>
      <c r="Y225" s="660"/>
      <c r="Z225" s="660"/>
      <c r="AA225" s="660"/>
      <c r="AB225" s="660"/>
      <c r="AC225" s="660"/>
      <c r="AD225" s="665"/>
    </row>
    <row r="226" spans="6:30" x14ac:dyDescent="0.25">
      <c r="F226" s="666"/>
      <c r="G226" s="643"/>
      <c r="H226" s="643"/>
      <c r="I226" s="643"/>
      <c r="J226" s="643"/>
      <c r="K226" s="643"/>
      <c r="L226" s="643"/>
      <c r="M226" s="643"/>
      <c r="N226" s="643"/>
      <c r="O226" s="667"/>
      <c r="P226" s="643"/>
      <c r="Q226" s="643"/>
      <c r="R226" s="660"/>
      <c r="S226" s="660"/>
      <c r="T226" s="660"/>
      <c r="U226" s="660"/>
      <c r="V226" s="660"/>
      <c r="W226" s="660"/>
      <c r="X226" s="660"/>
      <c r="Y226" s="660"/>
      <c r="Z226" s="660"/>
      <c r="AA226" s="660"/>
      <c r="AB226" s="660"/>
      <c r="AC226" s="660"/>
      <c r="AD226" s="665"/>
    </row>
    <row r="227" spans="6:30" x14ac:dyDescent="0.25">
      <c r="F227" s="666"/>
      <c r="G227" s="643"/>
      <c r="H227" s="643"/>
      <c r="I227" s="643"/>
      <c r="J227" s="643"/>
      <c r="K227" s="643"/>
      <c r="L227" s="643"/>
      <c r="M227" s="643"/>
      <c r="N227" s="643"/>
      <c r="O227" s="667"/>
      <c r="P227" s="643"/>
      <c r="Q227" s="643"/>
      <c r="R227" s="660"/>
      <c r="S227" s="660"/>
      <c r="T227" s="660"/>
      <c r="U227" s="660"/>
      <c r="V227" s="660"/>
      <c r="W227" s="660"/>
      <c r="X227" s="660"/>
      <c r="Y227" s="660"/>
      <c r="Z227" s="660"/>
      <c r="AA227" s="660"/>
      <c r="AB227" s="660"/>
      <c r="AC227" s="660"/>
      <c r="AD227" s="665"/>
    </row>
    <row r="228" spans="6:30" x14ac:dyDescent="0.25">
      <c r="F228" s="666"/>
      <c r="G228" s="643"/>
      <c r="H228" s="643"/>
      <c r="I228" s="643"/>
      <c r="J228" s="643"/>
      <c r="K228" s="643"/>
      <c r="L228" s="643"/>
      <c r="M228" s="643"/>
      <c r="N228" s="643"/>
      <c r="O228" s="667"/>
      <c r="P228" s="643"/>
      <c r="Q228" s="643"/>
      <c r="R228" s="660"/>
      <c r="S228" s="660"/>
      <c r="T228" s="660"/>
      <c r="U228" s="660"/>
      <c r="V228" s="660"/>
      <c r="W228" s="660"/>
      <c r="X228" s="660"/>
      <c r="Y228" s="660"/>
      <c r="Z228" s="660"/>
      <c r="AA228" s="660"/>
      <c r="AB228" s="660"/>
      <c r="AC228" s="660"/>
      <c r="AD228" s="665"/>
    </row>
    <row r="229" spans="6:30" x14ac:dyDescent="0.25">
      <c r="F229" s="666"/>
      <c r="G229" s="643"/>
      <c r="H229" s="643"/>
      <c r="I229" s="643"/>
      <c r="J229" s="643"/>
      <c r="K229" s="643"/>
      <c r="L229" s="643"/>
      <c r="M229" s="643"/>
      <c r="N229" s="643"/>
      <c r="O229" s="667"/>
      <c r="P229" s="643"/>
      <c r="Q229" s="643"/>
      <c r="R229" s="660"/>
      <c r="S229" s="660"/>
      <c r="T229" s="660"/>
      <c r="U229" s="660"/>
      <c r="V229" s="660"/>
      <c r="W229" s="660"/>
      <c r="X229" s="660"/>
      <c r="Y229" s="660"/>
      <c r="Z229" s="660"/>
      <c r="AA229" s="660"/>
      <c r="AB229" s="660"/>
      <c r="AC229" s="660"/>
      <c r="AD229" s="665"/>
    </row>
    <row r="230" spans="6:30" x14ac:dyDescent="0.25">
      <c r="F230" s="666"/>
      <c r="G230" s="643"/>
      <c r="H230" s="643"/>
      <c r="I230" s="643"/>
      <c r="J230" s="643"/>
      <c r="K230" s="643"/>
      <c r="L230" s="643"/>
      <c r="M230" s="643"/>
      <c r="N230" s="643"/>
      <c r="O230" s="667"/>
      <c r="P230" s="643"/>
      <c r="Q230" s="643"/>
      <c r="R230" s="660"/>
      <c r="S230" s="660"/>
      <c r="T230" s="660"/>
      <c r="U230" s="660"/>
      <c r="V230" s="660"/>
      <c r="W230" s="660"/>
      <c r="X230" s="660"/>
      <c r="Y230" s="660"/>
      <c r="Z230" s="660"/>
      <c r="AA230" s="660"/>
      <c r="AB230" s="660"/>
      <c r="AC230" s="660"/>
      <c r="AD230" s="665"/>
    </row>
    <row r="231" spans="6:30" x14ac:dyDescent="0.25">
      <c r="F231" s="666"/>
      <c r="G231" s="643"/>
      <c r="H231" s="643"/>
      <c r="I231" s="643"/>
      <c r="J231" s="643"/>
      <c r="K231" s="643"/>
      <c r="L231" s="643"/>
      <c r="M231" s="643"/>
      <c r="N231" s="643"/>
      <c r="O231" s="667"/>
      <c r="P231" s="643"/>
      <c r="Q231" s="643"/>
      <c r="R231" s="660"/>
      <c r="S231" s="660"/>
      <c r="T231" s="660"/>
      <c r="U231" s="660"/>
      <c r="V231" s="660"/>
      <c r="W231" s="660"/>
      <c r="X231" s="660"/>
      <c r="Y231" s="660"/>
      <c r="Z231" s="660"/>
      <c r="AA231" s="660"/>
      <c r="AB231" s="660"/>
      <c r="AC231" s="660"/>
      <c r="AD231" s="665"/>
    </row>
    <row r="232" spans="6:30" x14ac:dyDescent="0.25">
      <c r="F232" s="666"/>
      <c r="G232" s="643"/>
      <c r="H232" s="643"/>
      <c r="I232" s="643"/>
      <c r="J232" s="643"/>
      <c r="K232" s="643"/>
      <c r="L232" s="643"/>
      <c r="M232" s="643"/>
      <c r="N232" s="643"/>
      <c r="O232" s="667"/>
      <c r="P232" s="643"/>
      <c r="Q232" s="643"/>
      <c r="R232" s="660"/>
      <c r="S232" s="660"/>
      <c r="T232" s="660"/>
      <c r="U232" s="660"/>
      <c r="V232" s="660"/>
      <c r="W232" s="660"/>
      <c r="X232" s="660"/>
      <c r="Y232" s="660"/>
      <c r="Z232" s="660"/>
      <c r="AA232" s="660"/>
      <c r="AB232" s="660"/>
      <c r="AC232" s="660"/>
      <c r="AD232" s="665"/>
    </row>
    <row r="233" spans="6:30" x14ac:dyDescent="0.25">
      <c r="F233" s="666"/>
      <c r="G233" s="643"/>
      <c r="H233" s="643"/>
      <c r="I233" s="643"/>
      <c r="J233" s="643"/>
      <c r="K233" s="643"/>
      <c r="L233" s="643"/>
      <c r="M233" s="643"/>
      <c r="N233" s="643"/>
      <c r="O233" s="667"/>
      <c r="P233" s="643"/>
      <c r="Q233" s="643"/>
      <c r="R233" s="660"/>
      <c r="S233" s="660"/>
      <c r="T233" s="660"/>
      <c r="U233" s="660"/>
      <c r="V233" s="660"/>
      <c r="W233" s="660"/>
      <c r="X233" s="660"/>
      <c r="Y233" s="660"/>
      <c r="Z233" s="660"/>
      <c r="AA233" s="660"/>
      <c r="AB233" s="660"/>
      <c r="AC233" s="660"/>
      <c r="AD233" s="665"/>
    </row>
    <row r="234" spans="6:30" x14ac:dyDescent="0.25">
      <c r="F234" s="666"/>
      <c r="G234" s="643"/>
      <c r="H234" s="643"/>
      <c r="I234" s="643"/>
      <c r="J234" s="643"/>
      <c r="K234" s="643"/>
      <c r="L234" s="643"/>
      <c r="M234" s="643"/>
      <c r="N234" s="643"/>
      <c r="O234" s="667"/>
      <c r="P234" s="643"/>
      <c r="Q234" s="643"/>
      <c r="R234" s="660"/>
      <c r="S234" s="660"/>
      <c r="T234" s="660"/>
      <c r="U234" s="660"/>
      <c r="V234" s="660"/>
      <c r="W234" s="660"/>
      <c r="X234" s="660"/>
      <c r="Y234" s="660"/>
      <c r="Z234" s="660"/>
      <c r="AA234" s="660"/>
      <c r="AB234" s="660"/>
      <c r="AC234" s="660"/>
      <c r="AD234" s="665"/>
    </row>
    <row r="235" spans="6:30" x14ac:dyDescent="0.25">
      <c r="F235" s="666"/>
      <c r="G235" s="643"/>
      <c r="H235" s="643"/>
      <c r="I235" s="643"/>
      <c r="J235" s="643"/>
      <c r="K235" s="643"/>
      <c r="L235" s="643"/>
      <c r="M235" s="643"/>
      <c r="N235" s="643"/>
      <c r="O235" s="667"/>
      <c r="P235" s="643"/>
      <c r="Q235" s="643"/>
      <c r="R235" s="660"/>
      <c r="S235" s="660"/>
      <c r="T235" s="660"/>
      <c r="U235" s="660"/>
      <c r="V235" s="660"/>
      <c r="W235" s="660"/>
      <c r="X235" s="660"/>
      <c r="Y235" s="660"/>
      <c r="Z235" s="660"/>
      <c r="AA235" s="660"/>
      <c r="AB235" s="660"/>
      <c r="AC235" s="660"/>
      <c r="AD235" s="665"/>
    </row>
    <row r="236" spans="6:30" x14ac:dyDescent="0.25">
      <c r="F236" s="666"/>
      <c r="G236" s="643"/>
      <c r="H236" s="643"/>
      <c r="I236" s="643"/>
      <c r="J236" s="643"/>
      <c r="K236" s="643"/>
      <c r="L236" s="643"/>
      <c r="M236" s="643"/>
      <c r="N236" s="643"/>
      <c r="O236" s="667"/>
      <c r="P236" s="643"/>
      <c r="Q236" s="643"/>
      <c r="R236" s="660"/>
      <c r="S236" s="660"/>
      <c r="T236" s="660"/>
      <c r="U236" s="660"/>
      <c r="V236" s="660"/>
      <c r="W236" s="660"/>
      <c r="X236" s="660"/>
      <c r="Y236" s="660"/>
      <c r="Z236" s="660"/>
      <c r="AA236" s="660"/>
      <c r="AB236" s="660"/>
      <c r="AC236" s="660"/>
      <c r="AD236" s="665"/>
    </row>
    <row r="237" spans="6:30" x14ac:dyDescent="0.25">
      <c r="F237" s="666"/>
      <c r="G237" s="643"/>
      <c r="H237" s="643"/>
      <c r="I237" s="643"/>
      <c r="J237" s="643"/>
      <c r="K237" s="643"/>
      <c r="L237" s="643"/>
      <c r="M237" s="643"/>
      <c r="N237" s="643"/>
      <c r="O237" s="667"/>
      <c r="P237" s="643"/>
      <c r="Q237" s="643"/>
      <c r="R237" s="660"/>
      <c r="S237" s="660"/>
      <c r="T237" s="660"/>
      <c r="U237" s="660"/>
      <c r="V237" s="660"/>
      <c r="W237" s="660"/>
      <c r="X237" s="660"/>
      <c r="Y237" s="660"/>
      <c r="Z237" s="660"/>
      <c r="AA237" s="660"/>
      <c r="AB237" s="660"/>
      <c r="AC237" s="660"/>
      <c r="AD237" s="665"/>
    </row>
    <row r="238" spans="6:30" x14ac:dyDescent="0.25">
      <c r="F238" s="666"/>
      <c r="G238" s="643"/>
      <c r="H238" s="643"/>
      <c r="I238" s="643"/>
      <c r="J238" s="643"/>
      <c r="K238" s="643"/>
      <c r="L238" s="643"/>
      <c r="M238" s="643"/>
      <c r="N238" s="643"/>
      <c r="O238" s="667"/>
      <c r="P238" s="643"/>
      <c r="Q238" s="643"/>
      <c r="R238" s="660"/>
      <c r="S238" s="660"/>
      <c r="T238" s="660"/>
      <c r="U238" s="660"/>
      <c r="V238" s="660"/>
      <c r="W238" s="660"/>
      <c r="X238" s="660"/>
      <c r="Y238" s="660"/>
      <c r="Z238" s="660"/>
      <c r="AA238" s="660"/>
      <c r="AB238" s="660"/>
      <c r="AC238" s="660"/>
      <c r="AD238" s="665"/>
    </row>
    <row r="239" spans="6:30" x14ac:dyDescent="0.25">
      <c r="F239" s="666"/>
      <c r="G239" s="643"/>
      <c r="H239" s="643"/>
      <c r="I239" s="643"/>
      <c r="J239" s="643"/>
      <c r="K239" s="643"/>
      <c r="L239" s="643"/>
      <c r="M239" s="643"/>
      <c r="N239" s="643"/>
      <c r="O239" s="667"/>
      <c r="P239" s="643"/>
      <c r="Q239" s="643"/>
      <c r="R239" s="660"/>
      <c r="S239" s="660"/>
      <c r="T239" s="660"/>
      <c r="U239" s="660"/>
      <c r="V239" s="660"/>
      <c r="W239" s="660"/>
      <c r="X239" s="660"/>
      <c r="Y239" s="660"/>
      <c r="Z239" s="660"/>
      <c r="AA239" s="660"/>
      <c r="AB239" s="660"/>
      <c r="AC239" s="660"/>
      <c r="AD239" s="665"/>
    </row>
    <row r="240" spans="6:30" x14ac:dyDescent="0.25">
      <c r="F240" s="666"/>
      <c r="G240" s="643"/>
      <c r="H240" s="643"/>
      <c r="I240" s="643"/>
      <c r="J240" s="643"/>
      <c r="K240" s="643"/>
      <c r="L240" s="643"/>
      <c r="M240" s="643"/>
      <c r="N240" s="643"/>
      <c r="O240" s="667"/>
      <c r="P240" s="643"/>
      <c r="Q240" s="643"/>
      <c r="R240" s="660"/>
      <c r="S240" s="660"/>
      <c r="T240" s="660"/>
      <c r="U240" s="660"/>
      <c r="V240" s="660"/>
      <c r="W240" s="660"/>
      <c r="X240" s="660"/>
      <c r="Y240" s="660"/>
      <c r="Z240" s="660"/>
      <c r="AA240" s="660"/>
      <c r="AB240" s="660"/>
      <c r="AC240" s="660"/>
      <c r="AD240" s="665"/>
    </row>
    <row r="241" spans="6:30" x14ac:dyDescent="0.25">
      <c r="F241" s="666"/>
      <c r="G241" s="643"/>
      <c r="H241" s="643"/>
      <c r="I241" s="643"/>
      <c r="J241" s="643"/>
      <c r="K241" s="643"/>
      <c r="L241" s="643"/>
      <c r="M241" s="643"/>
      <c r="N241" s="643"/>
      <c r="O241" s="667"/>
      <c r="P241" s="643"/>
      <c r="Q241" s="643"/>
      <c r="R241" s="660"/>
      <c r="S241" s="660"/>
      <c r="T241" s="660"/>
      <c r="U241" s="660"/>
      <c r="V241" s="660"/>
      <c r="W241" s="660"/>
      <c r="X241" s="660"/>
      <c r="Y241" s="660"/>
      <c r="Z241" s="660"/>
      <c r="AA241" s="660"/>
      <c r="AB241" s="660"/>
      <c r="AC241" s="660"/>
      <c r="AD241" s="665"/>
    </row>
    <row r="242" spans="6:30" x14ac:dyDescent="0.25">
      <c r="F242" s="666"/>
      <c r="G242" s="643"/>
      <c r="H242" s="643"/>
      <c r="I242" s="643"/>
      <c r="J242" s="643"/>
      <c r="K242" s="643"/>
      <c r="L242" s="643"/>
      <c r="M242" s="643"/>
      <c r="N242" s="643"/>
      <c r="O242" s="667"/>
      <c r="P242" s="643"/>
      <c r="Q242" s="643"/>
      <c r="R242" s="660"/>
      <c r="S242" s="660"/>
      <c r="T242" s="660"/>
      <c r="U242" s="660"/>
      <c r="V242" s="660"/>
      <c r="W242" s="660"/>
      <c r="X242" s="660"/>
      <c r="Y242" s="660"/>
      <c r="Z242" s="660"/>
      <c r="AA242" s="660"/>
      <c r="AB242" s="660"/>
      <c r="AC242" s="660"/>
      <c r="AD242" s="665"/>
    </row>
    <row r="243" spans="6:30" x14ac:dyDescent="0.25">
      <c r="F243" s="666"/>
      <c r="G243" s="643"/>
      <c r="H243" s="643"/>
      <c r="I243" s="643"/>
      <c r="J243" s="643"/>
      <c r="K243" s="643"/>
      <c r="L243" s="643"/>
      <c r="M243" s="643"/>
      <c r="N243" s="643"/>
      <c r="O243" s="667"/>
      <c r="P243" s="643"/>
      <c r="Q243" s="643"/>
      <c r="R243" s="660"/>
      <c r="S243" s="660"/>
      <c r="T243" s="660"/>
      <c r="U243" s="660"/>
      <c r="V243" s="660"/>
      <c r="W243" s="660"/>
      <c r="X243" s="660"/>
      <c r="Y243" s="660"/>
      <c r="Z243" s="660"/>
      <c r="AA243" s="660"/>
      <c r="AB243" s="660"/>
      <c r="AC243" s="660"/>
      <c r="AD243" s="665"/>
    </row>
    <row r="244" spans="6:30" x14ac:dyDescent="0.25">
      <c r="F244" s="666"/>
      <c r="G244" s="643"/>
      <c r="H244" s="643"/>
      <c r="I244" s="643"/>
      <c r="J244" s="643"/>
      <c r="K244" s="643"/>
      <c r="L244" s="643"/>
      <c r="M244" s="643"/>
      <c r="N244" s="643"/>
      <c r="O244" s="667"/>
      <c r="P244" s="643"/>
      <c r="Q244" s="643"/>
      <c r="R244" s="660"/>
      <c r="S244" s="660"/>
      <c r="T244" s="660"/>
      <c r="U244" s="660"/>
      <c r="V244" s="660"/>
      <c r="W244" s="660"/>
      <c r="X244" s="660"/>
      <c r="Y244" s="660"/>
      <c r="Z244" s="660"/>
      <c r="AA244" s="660"/>
      <c r="AB244" s="660"/>
      <c r="AC244" s="660"/>
      <c r="AD244" s="665"/>
    </row>
    <row r="245" spans="6:30" x14ac:dyDescent="0.25">
      <c r="F245" s="666"/>
      <c r="G245" s="643"/>
      <c r="H245" s="643"/>
      <c r="I245" s="643"/>
      <c r="J245" s="643"/>
      <c r="K245" s="643"/>
      <c r="L245" s="643"/>
      <c r="M245" s="643"/>
      <c r="N245" s="643"/>
      <c r="O245" s="667"/>
      <c r="P245" s="643"/>
      <c r="Q245" s="643"/>
      <c r="R245" s="660"/>
      <c r="S245" s="660"/>
      <c r="T245" s="660"/>
      <c r="U245" s="660"/>
      <c r="V245" s="660"/>
      <c r="W245" s="660"/>
      <c r="X245" s="660"/>
      <c r="Y245" s="660"/>
      <c r="Z245" s="660"/>
      <c r="AA245" s="660"/>
      <c r="AB245" s="660"/>
      <c r="AC245" s="660"/>
      <c r="AD245" s="665"/>
    </row>
    <row r="246" spans="6:30" x14ac:dyDescent="0.25">
      <c r="F246" s="666"/>
      <c r="G246" s="643"/>
      <c r="H246" s="643"/>
      <c r="I246" s="643"/>
      <c r="J246" s="643"/>
      <c r="K246" s="643"/>
      <c r="L246" s="643"/>
      <c r="M246" s="643"/>
      <c r="N246" s="643"/>
      <c r="O246" s="667"/>
      <c r="P246" s="643"/>
      <c r="Q246" s="643"/>
      <c r="R246" s="660"/>
      <c r="S246" s="660"/>
      <c r="T246" s="660"/>
      <c r="U246" s="660"/>
      <c r="V246" s="660"/>
      <c r="W246" s="660"/>
      <c r="X246" s="660"/>
      <c r="Y246" s="660"/>
      <c r="Z246" s="660"/>
      <c r="AA246" s="660"/>
      <c r="AB246" s="660"/>
      <c r="AC246" s="660"/>
      <c r="AD246" s="665"/>
    </row>
    <row r="247" spans="6:30" x14ac:dyDescent="0.25">
      <c r="F247" s="666"/>
      <c r="G247" s="643"/>
      <c r="H247" s="643"/>
      <c r="I247" s="643"/>
      <c r="J247" s="643"/>
      <c r="K247" s="643"/>
      <c r="L247" s="643"/>
      <c r="M247" s="643"/>
      <c r="N247" s="643"/>
      <c r="O247" s="667"/>
      <c r="P247" s="643"/>
      <c r="Q247" s="643"/>
      <c r="R247" s="660"/>
      <c r="S247" s="660"/>
      <c r="T247" s="660"/>
      <c r="U247" s="660"/>
      <c r="V247" s="660"/>
      <c r="W247" s="660"/>
      <c r="X247" s="660"/>
      <c r="Y247" s="660"/>
      <c r="Z247" s="660"/>
      <c r="AA247" s="660"/>
      <c r="AB247" s="660"/>
      <c r="AC247" s="660"/>
      <c r="AD247" s="665"/>
    </row>
    <row r="248" spans="6:30" x14ac:dyDescent="0.25">
      <c r="F248" s="666"/>
      <c r="G248" s="643"/>
      <c r="H248" s="643"/>
      <c r="I248" s="643"/>
      <c r="J248" s="643"/>
      <c r="K248" s="643"/>
      <c r="L248" s="643"/>
      <c r="M248" s="643"/>
      <c r="N248" s="643"/>
      <c r="O248" s="667"/>
      <c r="P248" s="643"/>
      <c r="Q248" s="643"/>
      <c r="R248" s="660"/>
      <c r="S248" s="660"/>
      <c r="T248" s="660"/>
      <c r="U248" s="660"/>
      <c r="V248" s="660"/>
      <c r="W248" s="660"/>
      <c r="X248" s="660"/>
      <c r="Y248" s="660"/>
      <c r="Z248" s="660"/>
      <c r="AA248" s="660"/>
      <c r="AB248" s="660"/>
      <c r="AC248" s="660"/>
      <c r="AD248" s="665"/>
    </row>
    <row r="249" spans="6:30" x14ac:dyDescent="0.25">
      <c r="F249" s="666"/>
      <c r="G249" s="643"/>
      <c r="H249" s="643"/>
      <c r="I249" s="643"/>
      <c r="J249" s="643"/>
      <c r="K249" s="643"/>
      <c r="L249" s="643"/>
      <c r="M249" s="643"/>
      <c r="N249" s="643"/>
      <c r="O249" s="667"/>
      <c r="P249" s="643"/>
      <c r="Q249" s="643"/>
      <c r="R249" s="660"/>
      <c r="S249" s="660"/>
      <c r="T249" s="660"/>
      <c r="U249" s="660"/>
      <c r="V249" s="660"/>
      <c r="W249" s="660"/>
      <c r="X249" s="660"/>
      <c r="Y249" s="660"/>
      <c r="Z249" s="660"/>
      <c r="AA249" s="660"/>
      <c r="AB249" s="660"/>
      <c r="AC249" s="660"/>
      <c r="AD249" s="665"/>
    </row>
    <row r="250" spans="6:30" x14ac:dyDescent="0.25">
      <c r="F250" s="666"/>
      <c r="G250" s="643"/>
      <c r="H250" s="643"/>
      <c r="I250" s="643"/>
      <c r="J250" s="643"/>
      <c r="K250" s="643"/>
      <c r="L250" s="643"/>
      <c r="M250" s="643"/>
      <c r="N250" s="643"/>
      <c r="O250" s="667"/>
      <c r="P250" s="643"/>
      <c r="Q250" s="643"/>
      <c r="R250" s="660"/>
      <c r="S250" s="660"/>
      <c r="T250" s="660"/>
      <c r="U250" s="660"/>
      <c r="V250" s="660"/>
      <c r="W250" s="660"/>
      <c r="X250" s="660"/>
      <c r="Y250" s="660"/>
      <c r="Z250" s="660"/>
      <c r="AA250" s="660"/>
      <c r="AB250" s="660"/>
      <c r="AC250" s="660"/>
      <c r="AD250" s="665"/>
    </row>
    <row r="251" spans="6:30" x14ac:dyDescent="0.25">
      <c r="F251" s="666"/>
      <c r="G251" s="643"/>
      <c r="H251" s="643"/>
      <c r="I251" s="643"/>
      <c r="J251" s="643"/>
      <c r="K251" s="643"/>
      <c r="L251" s="643"/>
      <c r="M251" s="643"/>
      <c r="N251" s="643"/>
      <c r="O251" s="667"/>
      <c r="P251" s="643"/>
      <c r="Q251" s="643"/>
      <c r="R251" s="660"/>
      <c r="S251" s="660"/>
      <c r="T251" s="660"/>
      <c r="U251" s="660"/>
      <c r="V251" s="660"/>
      <c r="W251" s="660"/>
      <c r="X251" s="660"/>
      <c r="Y251" s="660"/>
      <c r="Z251" s="660"/>
      <c r="AA251" s="660"/>
      <c r="AB251" s="660"/>
      <c r="AC251" s="660"/>
      <c r="AD251" s="665"/>
    </row>
    <row r="252" spans="6:30" x14ac:dyDescent="0.25">
      <c r="F252" s="666"/>
      <c r="G252" s="643"/>
      <c r="H252" s="643"/>
      <c r="I252" s="643"/>
      <c r="J252" s="643"/>
      <c r="K252" s="643"/>
      <c r="L252" s="643"/>
      <c r="M252" s="643"/>
      <c r="N252" s="643"/>
      <c r="O252" s="667"/>
      <c r="P252" s="643"/>
      <c r="Q252" s="643"/>
      <c r="R252" s="660"/>
      <c r="S252" s="660"/>
      <c r="T252" s="660"/>
      <c r="U252" s="660"/>
      <c r="V252" s="660"/>
      <c r="W252" s="660"/>
      <c r="X252" s="660"/>
      <c r="Y252" s="660"/>
      <c r="Z252" s="660"/>
      <c r="AA252" s="660"/>
      <c r="AB252" s="660"/>
      <c r="AC252" s="660"/>
      <c r="AD252" s="665"/>
    </row>
    <row r="253" spans="6:30" x14ac:dyDescent="0.25">
      <c r="F253" s="666"/>
      <c r="G253" s="643"/>
      <c r="H253" s="643"/>
      <c r="I253" s="643"/>
      <c r="J253" s="643"/>
      <c r="K253" s="643"/>
      <c r="L253" s="643"/>
      <c r="M253" s="643"/>
      <c r="N253" s="643"/>
      <c r="O253" s="667"/>
      <c r="P253" s="643"/>
      <c r="Q253" s="643"/>
      <c r="R253" s="660"/>
      <c r="S253" s="660"/>
      <c r="T253" s="660"/>
      <c r="U253" s="660"/>
      <c r="V253" s="660"/>
      <c r="W253" s="660"/>
      <c r="X253" s="660"/>
      <c r="Y253" s="660"/>
      <c r="Z253" s="660"/>
      <c r="AA253" s="660"/>
      <c r="AB253" s="660"/>
      <c r="AC253" s="660"/>
      <c r="AD253" s="665"/>
    </row>
    <row r="254" spans="6:30" x14ac:dyDescent="0.25">
      <c r="F254" s="666"/>
      <c r="G254" s="643"/>
      <c r="H254" s="643"/>
      <c r="I254" s="643"/>
      <c r="J254" s="643"/>
      <c r="K254" s="643"/>
      <c r="L254" s="643"/>
      <c r="M254" s="643"/>
      <c r="N254" s="643"/>
      <c r="O254" s="667"/>
      <c r="P254" s="643"/>
      <c r="Q254" s="643"/>
      <c r="R254" s="660"/>
      <c r="S254" s="660"/>
      <c r="T254" s="660"/>
      <c r="U254" s="660"/>
      <c r="V254" s="660"/>
      <c r="W254" s="660"/>
      <c r="X254" s="660"/>
      <c r="Y254" s="660"/>
      <c r="Z254" s="660"/>
      <c r="AA254" s="660"/>
      <c r="AB254" s="660"/>
      <c r="AC254" s="660"/>
      <c r="AD254" s="665"/>
    </row>
    <row r="255" spans="6:30" x14ac:dyDescent="0.25">
      <c r="F255" s="666"/>
      <c r="G255" s="643"/>
      <c r="H255" s="643"/>
      <c r="I255" s="643"/>
      <c r="J255" s="643"/>
      <c r="K255" s="643"/>
      <c r="L255" s="643"/>
      <c r="M255" s="643"/>
      <c r="N255" s="643"/>
      <c r="O255" s="667"/>
      <c r="P255" s="643"/>
      <c r="Q255" s="643"/>
      <c r="R255" s="660"/>
      <c r="S255" s="660"/>
      <c r="T255" s="660"/>
      <c r="U255" s="660"/>
      <c r="V255" s="660"/>
      <c r="W255" s="660"/>
      <c r="X255" s="660"/>
      <c r="Y255" s="660"/>
      <c r="Z255" s="660"/>
      <c r="AA255" s="660"/>
      <c r="AB255" s="660"/>
      <c r="AC255" s="660"/>
      <c r="AD255" s="665"/>
    </row>
    <row r="256" spans="6:30" x14ac:dyDescent="0.25">
      <c r="F256" s="666"/>
      <c r="G256" s="643"/>
      <c r="H256" s="643"/>
      <c r="I256" s="643"/>
      <c r="J256" s="643"/>
      <c r="K256" s="643"/>
      <c r="L256" s="643"/>
      <c r="M256" s="643"/>
      <c r="N256" s="643"/>
      <c r="O256" s="667"/>
      <c r="P256" s="643"/>
      <c r="Q256" s="643"/>
      <c r="R256" s="660"/>
      <c r="S256" s="660"/>
      <c r="T256" s="660"/>
      <c r="U256" s="660"/>
      <c r="V256" s="660"/>
      <c r="W256" s="660"/>
      <c r="X256" s="660"/>
      <c r="Y256" s="660"/>
      <c r="Z256" s="660"/>
      <c r="AA256" s="660"/>
      <c r="AB256" s="660"/>
      <c r="AC256" s="660"/>
      <c r="AD256" s="665"/>
    </row>
    <row r="257" spans="6:30" x14ac:dyDescent="0.25">
      <c r="F257" s="666"/>
      <c r="G257" s="643"/>
      <c r="H257" s="643"/>
      <c r="I257" s="643"/>
      <c r="J257" s="643"/>
      <c r="K257" s="643"/>
      <c r="L257" s="643"/>
      <c r="M257" s="643"/>
      <c r="N257" s="643"/>
      <c r="O257" s="667"/>
      <c r="P257" s="643"/>
      <c r="Q257" s="643"/>
      <c r="R257" s="660"/>
      <c r="S257" s="660"/>
      <c r="T257" s="660"/>
      <c r="U257" s="660"/>
      <c r="V257" s="660"/>
      <c r="W257" s="660"/>
      <c r="X257" s="660"/>
      <c r="Y257" s="660"/>
      <c r="Z257" s="660"/>
      <c r="AA257" s="660"/>
      <c r="AB257" s="660"/>
      <c r="AC257" s="660"/>
      <c r="AD257" s="665"/>
    </row>
    <row r="258" spans="6:30" x14ac:dyDescent="0.25">
      <c r="F258" s="666"/>
      <c r="G258" s="643"/>
      <c r="H258" s="643"/>
      <c r="I258" s="643"/>
      <c r="J258" s="643"/>
      <c r="K258" s="643"/>
      <c r="L258" s="643"/>
      <c r="M258" s="643"/>
      <c r="N258" s="643"/>
      <c r="O258" s="667"/>
      <c r="P258" s="643"/>
      <c r="Q258" s="643"/>
      <c r="R258" s="660"/>
      <c r="S258" s="660"/>
      <c r="T258" s="660"/>
      <c r="U258" s="660"/>
      <c r="V258" s="660"/>
      <c r="W258" s="660"/>
      <c r="X258" s="660"/>
      <c r="Y258" s="660"/>
      <c r="Z258" s="660"/>
      <c r="AA258" s="660"/>
      <c r="AB258" s="660"/>
      <c r="AC258" s="660"/>
      <c r="AD258" s="665"/>
    </row>
    <row r="259" spans="6:30" x14ac:dyDescent="0.25">
      <c r="F259" s="666"/>
      <c r="G259" s="643"/>
      <c r="H259" s="643"/>
      <c r="I259" s="643"/>
      <c r="J259" s="643"/>
      <c r="K259" s="643"/>
      <c r="L259" s="643"/>
      <c r="M259" s="643"/>
      <c r="N259" s="643"/>
      <c r="O259" s="667"/>
      <c r="P259" s="643"/>
      <c r="Q259" s="643"/>
      <c r="R259" s="660"/>
      <c r="S259" s="660"/>
      <c r="T259" s="660"/>
      <c r="U259" s="660"/>
      <c r="V259" s="660"/>
      <c r="W259" s="660"/>
      <c r="X259" s="660"/>
      <c r="Y259" s="660"/>
      <c r="Z259" s="660"/>
      <c r="AA259" s="660"/>
      <c r="AB259" s="660"/>
      <c r="AC259" s="660"/>
      <c r="AD259" s="665"/>
    </row>
    <row r="260" spans="6:30" x14ac:dyDescent="0.25">
      <c r="F260" s="666"/>
      <c r="G260" s="643"/>
      <c r="H260" s="643"/>
      <c r="I260" s="643"/>
      <c r="J260" s="643"/>
      <c r="K260" s="643"/>
      <c r="L260" s="643"/>
      <c r="M260" s="643"/>
      <c r="N260" s="643"/>
      <c r="O260" s="667"/>
      <c r="P260" s="643"/>
      <c r="Q260" s="643"/>
      <c r="R260" s="660"/>
      <c r="S260" s="660"/>
      <c r="T260" s="660"/>
      <c r="U260" s="660"/>
      <c r="V260" s="660"/>
      <c r="W260" s="660"/>
      <c r="X260" s="660"/>
      <c r="Y260" s="660"/>
      <c r="Z260" s="660"/>
      <c r="AA260" s="660"/>
      <c r="AB260" s="660"/>
      <c r="AC260" s="660"/>
      <c r="AD260" s="665"/>
    </row>
    <row r="261" spans="6:30" x14ac:dyDescent="0.25">
      <c r="F261" s="666"/>
      <c r="G261" s="643"/>
      <c r="H261" s="643"/>
      <c r="I261" s="643"/>
      <c r="J261" s="643"/>
      <c r="K261" s="643"/>
      <c r="L261" s="643"/>
      <c r="M261" s="643"/>
      <c r="N261" s="643"/>
      <c r="O261" s="667"/>
      <c r="P261" s="643"/>
      <c r="Q261" s="643"/>
      <c r="R261" s="660"/>
      <c r="S261" s="660"/>
      <c r="T261" s="660"/>
      <c r="U261" s="660"/>
      <c r="V261" s="660"/>
      <c r="W261" s="660"/>
      <c r="X261" s="660"/>
      <c r="Y261" s="660"/>
      <c r="Z261" s="660"/>
      <c r="AA261" s="660"/>
      <c r="AB261" s="660"/>
      <c r="AC261" s="660"/>
      <c r="AD261" s="665"/>
    </row>
    <row r="262" spans="6:30" x14ac:dyDescent="0.25">
      <c r="F262" s="666"/>
      <c r="G262" s="643"/>
      <c r="H262" s="643"/>
      <c r="I262" s="643"/>
      <c r="J262" s="643"/>
      <c r="K262" s="643"/>
      <c r="L262" s="643"/>
      <c r="M262" s="643"/>
      <c r="N262" s="643"/>
      <c r="O262" s="667"/>
      <c r="P262" s="643"/>
      <c r="Q262" s="643"/>
      <c r="R262" s="660"/>
      <c r="S262" s="660"/>
      <c r="T262" s="660"/>
      <c r="U262" s="660"/>
      <c r="V262" s="660"/>
      <c r="W262" s="660"/>
      <c r="X262" s="660"/>
      <c r="Y262" s="660"/>
      <c r="Z262" s="660"/>
      <c r="AA262" s="660"/>
      <c r="AB262" s="660"/>
      <c r="AC262" s="660"/>
      <c r="AD262" s="665"/>
    </row>
    <row r="263" spans="6:30" x14ac:dyDescent="0.25">
      <c r="F263" s="666"/>
      <c r="G263" s="643"/>
      <c r="H263" s="643"/>
      <c r="I263" s="643"/>
      <c r="J263" s="643"/>
      <c r="K263" s="643"/>
      <c r="L263" s="643"/>
      <c r="M263" s="643"/>
      <c r="N263" s="643"/>
      <c r="O263" s="667"/>
      <c r="P263" s="643"/>
      <c r="Q263" s="643"/>
      <c r="R263" s="660"/>
      <c r="S263" s="660"/>
      <c r="T263" s="660"/>
      <c r="U263" s="660"/>
      <c r="V263" s="660"/>
      <c r="W263" s="660"/>
      <c r="X263" s="660"/>
      <c r="Y263" s="660"/>
      <c r="Z263" s="660"/>
      <c r="AA263" s="660"/>
      <c r="AB263" s="660"/>
      <c r="AC263" s="660"/>
      <c r="AD263" s="665"/>
    </row>
    <row r="264" spans="6:30" x14ac:dyDescent="0.25">
      <c r="F264" s="666"/>
      <c r="G264" s="643"/>
      <c r="H264" s="643"/>
      <c r="I264" s="643"/>
      <c r="J264" s="643"/>
      <c r="K264" s="643"/>
      <c r="L264" s="643"/>
      <c r="M264" s="643"/>
      <c r="N264" s="643"/>
      <c r="O264" s="667"/>
      <c r="P264" s="643"/>
      <c r="Q264" s="643"/>
      <c r="R264" s="660"/>
      <c r="S264" s="660"/>
      <c r="T264" s="660"/>
      <c r="U264" s="660"/>
      <c r="V264" s="660"/>
      <c r="W264" s="660"/>
      <c r="X264" s="660"/>
      <c r="Y264" s="660"/>
      <c r="Z264" s="660"/>
      <c r="AA264" s="660"/>
      <c r="AB264" s="660"/>
      <c r="AC264" s="660"/>
      <c r="AD264" s="665"/>
    </row>
    <row r="265" spans="6:30" x14ac:dyDescent="0.25">
      <c r="F265" s="666"/>
      <c r="G265" s="643"/>
      <c r="H265" s="643"/>
      <c r="I265" s="643"/>
      <c r="J265" s="643"/>
      <c r="K265" s="643"/>
      <c r="L265" s="643"/>
      <c r="M265" s="643"/>
      <c r="N265" s="643"/>
      <c r="O265" s="667"/>
      <c r="P265" s="643"/>
      <c r="Q265" s="643"/>
      <c r="R265" s="660"/>
      <c r="S265" s="660"/>
      <c r="T265" s="660"/>
      <c r="U265" s="660"/>
      <c r="V265" s="660"/>
      <c r="W265" s="660"/>
      <c r="X265" s="660"/>
      <c r="Y265" s="660"/>
      <c r="Z265" s="660"/>
      <c r="AA265" s="660"/>
      <c r="AB265" s="660"/>
      <c r="AC265" s="660"/>
      <c r="AD265" s="665"/>
    </row>
    <row r="266" spans="6:30" x14ac:dyDescent="0.25">
      <c r="F266" s="666"/>
      <c r="G266" s="643"/>
      <c r="H266" s="643"/>
      <c r="I266" s="643"/>
      <c r="J266" s="643"/>
      <c r="K266" s="643"/>
      <c r="L266" s="643"/>
      <c r="M266" s="643"/>
      <c r="N266" s="643"/>
      <c r="O266" s="667"/>
      <c r="P266" s="643"/>
      <c r="Q266" s="643"/>
      <c r="R266" s="660"/>
      <c r="S266" s="660"/>
      <c r="T266" s="660"/>
      <c r="U266" s="660"/>
      <c r="V266" s="660"/>
      <c r="W266" s="660"/>
      <c r="X266" s="660"/>
      <c r="Y266" s="660"/>
      <c r="Z266" s="660"/>
      <c r="AA266" s="660"/>
      <c r="AB266" s="660"/>
      <c r="AC266" s="660"/>
      <c r="AD266" s="665"/>
    </row>
    <row r="267" spans="6:30" x14ac:dyDescent="0.25">
      <c r="F267" s="666"/>
      <c r="G267" s="643"/>
      <c r="H267" s="643"/>
      <c r="I267" s="643"/>
      <c r="J267" s="643"/>
      <c r="K267" s="643"/>
      <c r="L267" s="643"/>
      <c r="M267" s="643"/>
      <c r="N267" s="643"/>
      <c r="O267" s="667"/>
      <c r="P267" s="643"/>
      <c r="Q267" s="643"/>
      <c r="R267" s="660"/>
      <c r="S267" s="660"/>
      <c r="T267" s="660"/>
      <c r="U267" s="660"/>
      <c r="V267" s="660"/>
      <c r="W267" s="660"/>
      <c r="X267" s="660"/>
      <c r="Y267" s="660"/>
      <c r="Z267" s="660"/>
      <c r="AA267" s="660"/>
      <c r="AB267" s="660"/>
      <c r="AC267" s="660"/>
      <c r="AD267" s="665"/>
    </row>
    <row r="268" spans="6:30" x14ac:dyDescent="0.25">
      <c r="F268" s="666"/>
      <c r="G268" s="643"/>
      <c r="H268" s="643"/>
      <c r="I268" s="643"/>
      <c r="J268" s="643"/>
      <c r="K268" s="643"/>
      <c r="L268" s="643"/>
      <c r="M268" s="643"/>
      <c r="N268" s="643"/>
      <c r="O268" s="667"/>
      <c r="P268" s="643"/>
      <c r="Q268" s="643"/>
      <c r="R268" s="660"/>
      <c r="S268" s="660"/>
      <c r="T268" s="660"/>
      <c r="U268" s="660"/>
      <c r="V268" s="660"/>
      <c r="W268" s="660"/>
      <c r="X268" s="660"/>
      <c r="Y268" s="660"/>
      <c r="Z268" s="660"/>
      <c r="AA268" s="660"/>
      <c r="AB268" s="660"/>
      <c r="AC268" s="660"/>
      <c r="AD268" s="665"/>
    </row>
    <row r="269" spans="6:30" x14ac:dyDescent="0.25">
      <c r="F269" s="666"/>
      <c r="G269" s="643"/>
      <c r="H269" s="643"/>
      <c r="I269" s="643"/>
      <c r="J269" s="643"/>
      <c r="K269" s="643"/>
      <c r="L269" s="643"/>
      <c r="M269" s="643"/>
      <c r="N269" s="643"/>
      <c r="O269" s="667"/>
      <c r="P269" s="643"/>
      <c r="Q269" s="643"/>
      <c r="R269" s="660"/>
      <c r="S269" s="660"/>
      <c r="T269" s="660"/>
      <c r="U269" s="660"/>
      <c r="V269" s="660"/>
      <c r="W269" s="660"/>
      <c r="X269" s="660"/>
      <c r="Y269" s="660"/>
      <c r="Z269" s="660"/>
      <c r="AA269" s="660"/>
      <c r="AB269" s="660"/>
      <c r="AC269" s="660"/>
      <c r="AD269" s="665"/>
    </row>
    <row r="270" spans="6:30" x14ac:dyDescent="0.25">
      <c r="F270" s="666"/>
      <c r="G270" s="643"/>
      <c r="H270" s="643"/>
      <c r="I270" s="643"/>
      <c r="J270" s="643"/>
      <c r="K270" s="643"/>
      <c r="L270" s="643"/>
      <c r="M270" s="643"/>
      <c r="N270" s="643"/>
      <c r="O270" s="667"/>
      <c r="P270" s="643"/>
      <c r="Q270" s="643"/>
      <c r="R270" s="660"/>
      <c r="S270" s="660"/>
      <c r="T270" s="660"/>
      <c r="U270" s="660"/>
      <c r="V270" s="660"/>
      <c r="W270" s="660"/>
      <c r="X270" s="660"/>
      <c r="Y270" s="660"/>
      <c r="Z270" s="660"/>
      <c r="AA270" s="660"/>
      <c r="AB270" s="660"/>
      <c r="AC270" s="660"/>
      <c r="AD270" s="665"/>
    </row>
    <row r="271" spans="6:30" x14ac:dyDescent="0.25">
      <c r="F271" s="666"/>
      <c r="G271" s="643"/>
      <c r="H271" s="643"/>
      <c r="I271" s="643"/>
      <c r="J271" s="643"/>
      <c r="K271" s="643"/>
      <c r="L271" s="643"/>
      <c r="M271" s="643"/>
      <c r="N271" s="643"/>
      <c r="O271" s="667"/>
      <c r="P271" s="643"/>
      <c r="Q271" s="643"/>
      <c r="R271" s="660"/>
      <c r="S271" s="660"/>
      <c r="T271" s="660"/>
      <c r="U271" s="660"/>
      <c r="V271" s="660"/>
      <c r="W271" s="660"/>
      <c r="X271" s="660"/>
      <c r="Y271" s="660"/>
      <c r="Z271" s="660"/>
      <c r="AA271" s="660"/>
      <c r="AB271" s="660"/>
      <c r="AC271" s="660"/>
      <c r="AD271" s="665"/>
    </row>
    <row r="272" spans="6:30" x14ac:dyDescent="0.25">
      <c r="F272" s="666"/>
      <c r="G272" s="643"/>
      <c r="H272" s="643"/>
      <c r="I272" s="643"/>
      <c r="J272" s="643"/>
      <c r="K272" s="643"/>
      <c r="L272" s="643"/>
      <c r="M272" s="643"/>
      <c r="N272" s="643"/>
      <c r="O272" s="667"/>
      <c r="P272" s="643"/>
      <c r="Q272" s="643"/>
      <c r="R272" s="660"/>
      <c r="S272" s="660"/>
      <c r="T272" s="660"/>
      <c r="U272" s="660"/>
      <c r="V272" s="660"/>
      <c r="W272" s="660"/>
      <c r="X272" s="660"/>
      <c r="Y272" s="660"/>
      <c r="Z272" s="660"/>
      <c r="AA272" s="660"/>
      <c r="AB272" s="660"/>
      <c r="AC272" s="660"/>
      <c r="AD272" s="665"/>
    </row>
    <row r="273" spans="6:30" x14ac:dyDescent="0.25">
      <c r="F273" s="666"/>
      <c r="G273" s="643"/>
      <c r="H273" s="643"/>
      <c r="I273" s="643"/>
      <c r="J273" s="643"/>
      <c r="K273" s="643"/>
      <c r="L273" s="643"/>
      <c r="M273" s="643"/>
      <c r="N273" s="643"/>
      <c r="O273" s="667"/>
      <c r="P273" s="643"/>
      <c r="Q273" s="643"/>
      <c r="R273" s="660"/>
      <c r="S273" s="660"/>
      <c r="T273" s="660"/>
      <c r="U273" s="660"/>
      <c r="V273" s="660"/>
      <c r="W273" s="660"/>
      <c r="X273" s="660"/>
      <c r="Y273" s="660"/>
      <c r="Z273" s="660"/>
      <c r="AA273" s="660"/>
      <c r="AB273" s="660"/>
      <c r="AC273" s="660"/>
      <c r="AD273" s="665"/>
    </row>
    <row r="274" spans="6:30" x14ac:dyDescent="0.25">
      <c r="F274" s="666"/>
      <c r="G274" s="643"/>
      <c r="H274" s="643"/>
      <c r="I274" s="643"/>
      <c r="J274" s="643"/>
      <c r="K274" s="643"/>
      <c r="L274" s="643"/>
      <c r="M274" s="643"/>
      <c r="N274" s="643"/>
      <c r="O274" s="667"/>
      <c r="P274" s="643"/>
      <c r="Q274" s="643"/>
      <c r="R274" s="660"/>
      <c r="S274" s="660"/>
      <c r="T274" s="660"/>
      <c r="U274" s="660"/>
      <c r="V274" s="660"/>
      <c r="W274" s="660"/>
      <c r="X274" s="660"/>
      <c r="Y274" s="660"/>
      <c r="Z274" s="660"/>
      <c r="AA274" s="660"/>
      <c r="AB274" s="660"/>
      <c r="AC274" s="660"/>
      <c r="AD274" s="665"/>
    </row>
    <row r="275" spans="6:30" x14ac:dyDescent="0.25">
      <c r="F275" s="666"/>
      <c r="G275" s="643"/>
      <c r="H275" s="643"/>
      <c r="I275" s="643"/>
      <c r="J275" s="643"/>
      <c r="K275" s="643"/>
      <c r="L275" s="643"/>
      <c r="M275" s="643"/>
      <c r="N275" s="643"/>
      <c r="O275" s="667"/>
      <c r="P275" s="643"/>
      <c r="Q275" s="643"/>
      <c r="R275" s="660"/>
      <c r="S275" s="660"/>
      <c r="T275" s="660"/>
      <c r="U275" s="660"/>
      <c r="V275" s="660"/>
      <c r="W275" s="660"/>
      <c r="X275" s="660"/>
      <c r="Y275" s="660"/>
      <c r="Z275" s="660"/>
      <c r="AA275" s="660"/>
      <c r="AB275" s="660"/>
      <c r="AC275" s="660"/>
      <c r="AD275" s="665"/>
    </row>
    <row r="276" spans="6:30" x14ac:dyDescent="0.25">
      <c r="F276" s="666"/>
      <c r="G276" s="643"/>
      <c r="H276" s="643"/>
      <c r="I276" s="643"/>
      <c r="J276" s="643"/>
      <c r="K276" s="643"/>
      <c r="L276" s="643"/>
      <c r="M276" s="643"/>
      <c r="N276" s="643"/>
      <c r="O276" s="667"/>
      <c r="P276" s="643"/>
      <c r="Q276" s="643"/>
      <c r="R276" s="660"/>
      <c r="S276" s="660"/>
      <c r="T276" s="660"/>
      <c r="U276" s="660"/>
      <c r="V276" s="660"/>
      <c r="W276" s="660"/>
      <c r="X276" s="660"/>
      <c r="Y276" s="660"/>
      <c r="Z276" s="660"/>
      <c r="AA276" s="660"/>
      <c r="AB276" s="660"/>
      <c r="AC276" s="660"/>
      <c r="AD276" s="665"/>
    </row>
    <row r="277" spans="6:30" x14ac:dyDescent="0.25">
      <c r="F277" s="666"/>
      <c r="G277" s="643"/>
      <c r="H277" s="643"/>
      <c r="I277" s="643"/>
      <c r="J277" s="643"/>
      <c r="K277" s="643"/>
      <c r="L277" s="643"/>
      <c r="M277" s="643"/>
      <c r="N277" s="643"/>
      <c r="O277" s="667"/>
      <c r="P277" s="643"/>
      <c r="Q277" s="643"/>
      <c r="R277" s="660"/>
      <c r="S277" s="660"/>
      <c r="T277" s="660"/>
      <c r="U277" s="660"/>
      <c r="V277" s="660"/>
      <c r="W277" s="660"/>
      <c r="X277" s="660"/>
      <c r="Y277" s="660"/>
      <c r="Z277" s="660"/>
      <c r="AA277" s="660"/>
      <c r="AB277" s="660"/>
      <c r="AC277" s="660"/>
      <c r="AD277" s="665"/>
    </row>
    <row r="278" spans="6:30" x14ac:dyDescent="0.25">
      <c r="F278" s="666"/>
      <c r="G278" s="643"/>
      <c r="H278" s="643"/>
      <c r="I278" s="643"/>
      <c r="J278" s="643"/>
      <c r="K278" s="643"/>
      <c r="L278" s="643"/>
      <c r="M278" s="643"/>
      <c r="N278" s="643"/>
      <c r="O278" s="667"/>
      <c r="P278" s="643"/>
      <c r="Q278" s="643"/>
      <c r="R278" s="660"/>
      <c r="S278" s="660"/>
      <c r="T278" s="660"/>
      <c r="U278" s="660"/>
      <c r="V278" s="660"/>
      <c r="W278" s="660"/>
      <c r="X278" s="660"/>
      <c r="Y278" s="660"/>
      <c r="Z278" s="660"/>
      <c r="AA278" s="660"/>
      <c r="AB278" s="660"/>
      <c r="AC278" s="660"/>
      <c r="AD278" s="665"/>
    </row>
  </sheetData>
  <mergeCells count="203">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O8:AX8"/>
    <mergeCell ref="AY8:AY9"/>
    <mergeCell ref="A10:A15"/>
    <mergeCell ref="B10:B15"/>
    <mergeCell ref="C10:C15"/>
    <mergeCell ref="AF10:AF15"/>
    <mergeCell ref="AG10:AG15"/>
    <mergeCell ref="AH10:AH15"/>
    <mergeCell ref="AI10:AI15"/>
    <mergeCell ref="AJ10:AJ15"/>
    <mergeCell ref="AW10:AW15"/>
    <mergeCell ref="AX10:AX15"/>
    <mergeCell ref="AY10:AY15"/>
    <mergeCell ref="A16:A21"/>
    <mergeCell ref="B16:B21"/>
    <mergeCell ref="C16:C21"/>
    <mergeCell ref="AF16:AF21"/>
    <mergeCell ref="AG16:AG21"/>
    <mergeCell ref="AH16:AH21"/>
    <mergeCell ref="AI16:AI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V16:AV21"/>
    <mergeCell ref="AW16:AW21"/>
    <mergeCell ref="AX16:AX21"/>
    <mergeCell ref="AY16:AY21"/>
    <mergeCell ref="A22:A57"/>
    <mergeCell ref="B22:B27"/>
    <mergeCell ref="C22:C27"/>
    <mergeCell ref="AF22:AF27"/>
    <mergeCell ref="AG22:AG27"/>
    <mergeCell ref="AH22:AH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U22:AU27"/>
    <mergeCell ref="AV22:AV27"/>
    <mergeCell ref="AW22:AW27"/>
    <mergeCell ref="AX22:AX27"/>
    <mergeCell ref="AY22:AY27"/>
    <mergeCell ref="B28:B57"/>
    <mergeCell ref="C28:C33"/>
    <mergeCell ref="AF28:AF57"/>
    <mergeCell ref="AG28:AG33"/>
    <mergeCell ref="AH28:AH33"/>
    <mergeCell ref="AO22:AO27"/>
    <mergeCell ref="AP22:AP27"/>
    <mergeCell ref="AQ22:AQ27"/>
    <mergeCell ref="AR22:AR27"/>
    <mergeCell ref="AS22:AS27"/>
    <mergeCell ref="AT22:AT27"/>
    <mergeCell ref="AI22:AI27"/>
    <mergeCell ref="AJ22:AJ27"/>
    <mergeCell ref="AK22:AK27"/>
    <mergeCell ref="AL22:AL27"/>
    <mergeCell ref="AM22:AM27"/>
    <mergeCell ref="AN22:AN27"/>
    <mergeCell ref="AU28:AU33"/>
    <mergeCell ref="AV28:AV33"/>
    <mergeCell ref="AW28:AW33"/>
    <mergeCell ref="AX28:AX33"/>
    <mergeCell ref="AY28:AY33"/>
    <mergeCell ref="C34:C39"/>
    <mergeCell ref="AG34:AG39"/>
    <mergeCell ref="AH34:AH39"/>
    <mergeCell ref="AI34:AI39"/>
    <mergeCell ref="AJ34:AJ39"/>
    <mergeCell ref="AO28:AO33"/>
    <mergeCell ref="AP28:AP33"/>
    <mergeCell ref="AQ28:AQ33"/>
    <mergeCell ref="AR28:AR33"/>
    <mergeCell ref="AS28:AS33"/>
    <mergeCell ref="AT28:AT33"/>
    <mergeCell ref="AI28:AI33"/>
    <mergeCell ref="AJ28:AJ33"/>
    <mergeCell ref="AK28:AK33"/>
    <mergeCell ref="AL28:AL33"/>
    <mergeCell ref="AM28:AM33"/>
    <mergeCell ref="AN28:AN33"/>
    <mergeCell ref="AW34:AW39"/>
    <mergeCell ref="AX34:AX39"/>
    <mergeCell ref="AY34:AY39"/>
    <mergeCell ref="C40:C45"/>
    <mergeCell ref="AG40:AG45"/>
    <mergeCell ref="AH40:AH45"/>
    <mergeCell ref="AI40:AI45"/>
    <mergeCell ref="AJ40:AJ45"/>
    <mergeCell ref="AK40:AK45"/>
    <mergeCell ref="AL40:AL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AY40:AY45"/>
    <mergeCell ref="C46:C51"/>
    <mergeCell ref="AG46:AG51"/>
    <mergeCell ref="AH46:AH51"/>
    <mergeCell ref="AI46:AI51"/>
    <mergeCell ref="AJ46:AJ51"/>
    <mergeCell ref="AK46:AK51"/>
    <mergeCell ref="AL46:AL51"/>
    <mergeCell ref="AM46:AM51"/>
    <mergeCell ref="AN46:AN51"/>
    <mergeCell ref="AS40:AS45"/>
    <mergeCell ref="AT40:AT45"/>
    <mergeCell ref="AU40:AU45"/>
    <mergeCell ref="AV40:AV45"/>
    <mergeCell ref="AW40:AW45"/>
    <mergeCell ref="AX40:AX45"/>
    <mergeCell ref="AM40:AM45"/>
    <mergeCell ref="AN40:AN45"/>
    <mergeCell ref="AO40:AO45"/>
    <mergeCell ref="AP40:AP45"/>
    <mergeCell ref="AQ40:AQ45"/>
    <mergeCell ref="AR40:AR45"/>
    <mergeCell ref="AU46:AU51"/>
    <mergeCell ref="AV46:AV51"/>
    <mergeCell ref="AW46:AW51"/>
    <mergeCell ref="AX46:AX51"/>
    <mergeCell ref="AY46:AY51"/>
    <mergeCell ref="C52:C57"/>
    <mergeCell ref="AG52:AG57"/>
    <mergeCell ref="AH52:AH57"/>
    <mergeCell ref="AI52:AI57"/>
    <mergeCell ref="AJ52:AJ57"/>
    <mergeCell ref="AO46:AO51"/>
    <mergeCell ref="AP46:AP51"/>
    <mergeCell ref="AQ46:AQ51"/>
    <mergeCell ref="AR46:AR51"/>
    <mergeCell ref="AS46:AS51"/>
    <mergeCell ref="AT46:AT51"/>
    <mergeCell ref="AX52:AX57"/>
    <mergeCell ref="AY52:AY57"/>
    <mergeCell ref="A58:A63"/>
    <mergeCell ref="B58:B63"/>
    <mergeCell ref="C58:C63"/>
    <mergeCell ref="AF58:AY61"/>
    <mergeCell ref="AF62:AY63"/>
    <mergeCell ref="AQ52:AQ57"/>
    <mergeCell ref="AR52:AR57"/>
    <mergeCell ref="AS52:AS57"/>
    <mergeCell ref="AT52:AT57"/>
    <mergeCell ref="AU52:AU57"/>
    <mergeCell ref="AV52:AV57"/>
    <mergeCell ref="AK52:AK57"/>
    <mergeCell ref="AL52:AL57"/>
    <mergeCell ref="AM52:AM57"/>
    <mergeCell ref="AN52:AN57"/>
    <mergeCell ref="AO52:AO57"/>
    <mergeCell ref="AP52:AP57"/>
    <mergeCell ref="C71:I71"/>
    <mergeCell ref="J71:P71"/>
    <mergeCell ref="A64:C66"/>
    <mergeCell ref="C68:S68"/>
    <mergeCell ref="C69:I69"/>
    <mergeCell ref="J69:P69"/>
    <mergeCell ref="C70:I70"/>
    <mergeCell ref="J70:P70"/>
    <mergeCell ref="AW52:AW57"/>
  </mergeCells>
  <pageMargins left="0.7" right="0.7" top="0.75" bottom="0.75" header="0.3" footer="0.3"/>
  <pageSetup orientation="portrait" horizontalDpi="4294967293"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05"/>
  <sheetViews>
    <sheetView zoomScale="57" zoomScaleNormal="57" workbookViewId="0">
      <selection activeCell="E187" sqref="E187"/>
    </sheetView>
  </sheetViews>
  <sheetFormatPr baseColWidth="10" defaultColWidth="14.42578125" defaultRowHeight="15" customHeight="1" x14ac:dyDescent="0.25"/>
  <cols>
    <col min="1" max="1" width="16.42578125" customWidth="1"/>
    <col min="2" max="2" width="37.85546875" customWidth="1"/>
    <col min="3" max="3" width="25.42578125" customWidth="1"/>
    <col min="4" max="4" width="22.7109375" customWidth="1"/>
    <col min="5" max="5" width="24.85546875" customWidth="1"/>
    <col min="6" max="6" width="36.5703125" customWidth="1"/>
    <col min="7" max="7" width="24.140625" customWidth="1"/>
    <col min="8" max="8" width="15.42578125" customWidth="1"/>
    <col min="9" max="9" width="18.42578125" customWidth="1"/>
    <col min="10" max="10" width="15.140625" customWidth="1"/>
    <col min="11" max="12" width="20.140625" customWidth="1"/>
    <col min="13" max="13" width="14.140625" customWidth="1"/>
    <col min="14" max="14" width="34.28515625" customWidth="1"/>
    <col min="15" max="15" width="13.85546875" customWidth="1"/>
    <col min="16" max="30" width="11.42578125" customWidth="1"/>
  </cols>
  <sheetData>
    <row r="1" spans="1:15" ht="30" x14ac:dyDescent="0.25">
      <c r="A1" s="764"/>
      <c r="B1" s="731"/>
      <c r="C1" s="958" t="s">
        <v>0</v>
      </c>
      <c r="D1" s="688"/>
      <c r="E1" s="688"/>
      <c r="F1" s="688"/>
      <c r="G1" s="688"/>
      <c r="H1" s="688"/>
      <c r="I1" s="688"/>
      <c r="J1" s="688"/>
      <c r="K1" s="688"/>
      <c r="L1" s="688"/>
      <c r="M1" s="688"/>
      <c r="N1" s="766"/>
      <c r="O1" s="2"/>
    </row>
    <row r="2" spans="1:15" ht="32.25" customHeight="1" x14ac:dyDescent="0.25">
      <c r="A2" s="703"/>
      <c r="B2" s="732"/>
      <c r="C2" s="959" t="s">
        <v>263</v>
      </c>
      <c r="D2" s="768"/>
      <c r="E2" s="768"/>
      <c r="F2" s="768"/>
      <c r="G2" s="768"/>
      <c r="H2" s="768"/>
      <c r="I2" s="768"/>
      <c r="J2" s="768"/>
      <c r="K2" s="768"/>
      <c r="L2" s="768"/>
      <c r="M2" s="768"/>
      <c r="N2" s="769"/>
      <c r="O2" s="2"/>
    </row>
    <row r="3" spans="1:15" ht="26.25" x14ac:dyDescent="0.4">
      <c r="A3" s="705"/>
      <c r="B3" s="714"/>
      <c r="C3" s="960" t="s">
        <v>114</v>
      </c>
      <c r="D3" s="697"/>
      <c r="E3" s="697"/>
      <c r="F3" s="697"/>
      <c r="G3" s="697"/>
      <c r="H3" s="961" t="s">
        <v>3</v>
      </c>
      <c r="I3" s="693"/>
      <c r="J3" s="693"/>
      <c r="K3" s="693"/>
      <c r="L3" s="693"/>
      <c r="M3" s="693"/>
      <c r="N3" s="695"/>
      <c r="O3" s="2"/>
    </row>
    <row r="4" spans="1:15" x14ac:dyDescent="0.25">
      <c r="A4" s="957" t="s">
        <v>4</v>
      </c>
      <c r="B4" s="837"/>
      <c r="C4" s="962" t="s">
        <v>5</v>
      </c>
      <c r="D4" s="693"/>
      <c r="E4" s="693"/>
      <c r="F4" s="693"/>
      <c r="G4" s="693"/>
      <c r="H4" s="693"/>
      <c r="I4" s="693"/>
      <c r="J4" s="693"/>
      <c r="K4" s="693"/>
      <c r="L4" s="693"/>
      <c r="M4" s="693"/>
      <c r="N4" s="695"/>
      <c r="O4" s="2"/>
    </row>
    <row r="5" spans="1:15" ht="15.75" thickBot="1" x14ac:dyDescent="0.3">
      <c r="A5" s="956" t="s">
        <v>6</v>
      </c>
      <c r="B5" s="695"/>
      <c r="C5" s="963" t="s">
        <v>7</v>
      </c>
      <c r="D5" s="706"/>
      <c r="E5" s="706"/>
      <c r="F5" s="706"/>
      <c r="G5" s="706"/>
      <c r="H5" s="706"/>
      <c r="I5" s="706"/>
      <c r="J5" s="706"/>
      <c r="K5" s="706"/>
      <c r="L5" s="706"/>
      <c r="M5" s="706"/>
      <c r="N5" s="714"/>
      <c r="O5" s="2"/>
    </row>
    <row r="6" spans="1:15" x14ac:dyDescent="0.25">
      <c r="O6" s="2"/>
    </row>
    <row r="7" spans="1:15" ht="20.25" hidden="1" x14ac:dyDescent="0.25">
      <c r="A7" s="944" t="s">
        <v>264</v>
      </c>
      <c r="B7" s="688"/>
      <c r="C7" s="688"/>
      <c r="D7" s="688"/>
      <c r="E7" s="688"/>
      <c r="F7" s="688"/>
      <c r="G7" s="688"/>
      <c r="H7" s="766"/>
      <c r="O7" s="2"/>
    </row>
    <row r="8" spans="1:15" ht="26.25" hidden="1" thickBot="1" x14ac:dyDescent="0.3">
      <c r="A8" s="28" t="s">
        <v>25</v>
      </c>
      <c r="B8" s="29" t="s">
        <v>265</v>
      </c>
      <c r="C8" s="29" t="s">
        <v>266</v>
      </c>
      <c r="D8" s="29" t="s">
        <v>267</v>
      </c>
      <c r="E8" s="29" t="s">
        <v>268</v>
      </c>
      <c r="F8" s="29" t="s">
        <v>269</v>
      </c>
      <c r="G8" s="29" t="s">
        <v>270</v>
      </c>
      <c r="H8" s="30" t="s">
        <v>271</v>
      </c>
      <c r="O8" s="2"/>
    </row>
    <row r="9" spans="1:15" hidden="1" x14ac:dyDescent="0.25">
      <c r="A9" s="945" t="s">
        <v>272</v>
      </c>
      <c r="B9" s="31" t="s">
        <v>273</v>
      </c>
      <c r="C9" s="32">
        <v>1709485448</v>
      </c>
      <c r="D9" s="32">
        <v>1709485448</v>
      </c>
      <c r="E9" s="938" t="e">
        <v>#REF!</v>
      </c>
      <c r="F9" s="946" t="e">
        <f>+E9</f>
        <v>#REF!</v>
      </c>
      <c r="G9" s="947"/>
      <c r="H9" s="947"/>
      <c r="O9" s="2"/>
    </row>
    <row r="10" spans="1:15" hidden="1" x14ac:dyDescent="0.25">
      <c r="A10" s="756"/>
      <c r="B10" s="33" t="s">
        <v>274</v>
      </c>
      <c r="C10" s="34">
        <v>295362955</v>
      </c>
      <c r="D10" s="34">
        <v>295362955</v>
      </c>
      <c r="E10" s="752"/>
      <c r="F10" s="752"/>
      <c r="G10" s="752"/>
      <c r="H10" s="752"/>
      <c r="O10" s="2"/>
    </row>
    <row r="11" spans="1:15" hidden="1" x14ac:dyDescent="0.25">
      <c r="A11" s="756"/>
      <c r="B11" s="33" t="s">
        <v>275</v>
      </c>
      <c r="C11" s="34">
        <v>1241705000</v>
      </c>
      <c r="D11" s="34">
        <v>1241705000</v>
      </c>
      <c r="E11" s="752"/>
      <c r="F11" s="752"/>
      <c r="G11" s="752"/>
      <c r="H11" s="752"/>
      <c r="O11" s="2"/>
    </row>
    <row r="12" spans="1:15" hidden="1" x14ac:dyDescent="0.25">
      <c r="A12" s="756"/>
      <c r="B12" s="33" t="s">
        <v>276</v>
      </c>
      <c r="C12" s="34">
        <v>106931000</v>
      </c>
      <c r="D12" s="34">
        <v>106931000</v>
      </c>
      <c r="E12" s="752"/>
      <c r="F12" s="752"/>
      <c r="G12" s="752"/>
      <c r="H12" s="752"/>
      <c r="O12" s="2"/>
    </row>
    <row r="13" spans="1:15" ht="15.75" hidden="1" thickBot="1" x14ac:dyDescent="0.3">
      <c r="A13" s="757"/>
      <c r="B13" s="35" t="s">
        <v>277</v>
      </c>
      <c r="C13" s="36">
        <v>565789625</v>
      </c>
      <c r="D13" s="36">
        <v>565789625</v>
      </c>
      <c r="E13" s="753"/>
      <c r="F13" s="753"/>
      <c r="G13" s="753"/>
      <c r="H13" s="753"/>
      <c r="O13" s="2"/>
    </row>
    <row r="14" spans="1:15" hidden="1" x14ac:dyDescent="0.25">
      <c r="A14" s="945" t="s">
        <v>278</v>
      </c>
      <c r="B14" s="31" t="s">
        <v>273</v>
      </c>
      <c r="C14" s="32">
        <v>1709485448</v>
      </c>
      <c r="D14" s="32">
        <v>1709485448</v>
      </c>
      <c r="E14" s="938" t="e">
        <v>#REF!</v>
      </c>
      <c r="F14" s="938" t="e">
        <f>+E14</f>
        <v>#REF!</v>
      </c>
      <c r="G14" s="939"/>
      <c r="H14" s="940"/>
      <c r="O14" s="2"/>
    </row>
    <row r="15" spans="1:15" hidden="1" x14ac:dyDescent="0.25">
      <c r="A15" s="756"/>
      <c r="B15" s="33" t="s">
        <v>274</v>
      </c>
      <c r="C15" s="34">
        <v>295362955</v>
      </c>
      <c r="D15" s="34">
        <v>295362955</v>
      </c>
      <c r="E15" s="752"/>
      <c r="F15" s="752"/>
      <c r="G15" s="752"/>
      <c r="H15" s="941"/>
      <c r="O15" s="2"/>
    </row>
    <row r="16" spans="1:15" hidden="1" x14ac:dyDescent="0.25">
      <c r="A16" s="756"/>
      <c r="B16" s="33" t="s">
        <v>275</v>
      </c>
      <c r="C16" s="34">
        <v>1241705000</v>
      </c>
      <c r="D16" s="34">
        <v>1241705000</v>
      </c>
      <c r="E16" s="752"/>
      <c r="F16" s="752"/>
      <c r="G16" s="752"/>
      <c r="H16" s="941"/>
      <c r="O16" s="2"/>
    </row>
    <row r="17" spans="1:15" hidden="1" x14ac:dyDescent="0.25">
      <c r="A17" s="756"/>
      <c r="B17" s="33" t="s">
        <v>276</v>
      </c>
      <c r="C17" s="34">
        <v>106931000</v>
      </c>
      <c r="D17" s="34">
        <v>106931000</v>
      </c>
      <c r="E17" s="752"/>
      <c r="F17" s="752"/>
      <c r="G17" s="752"/>
      <c r="H17" s="941"/>
      <c r="O17" s="2"/>
    </row>
    <row r="18" spans="1:15" ht="15.75" hidden="1" thickBot="1" x14ac:dyDescent="0.3">
      <c r="A18" s="757"/>
      <c r="B18" s="35" t="s">
        <v>277</v>
      </c>
      <c r="C18" s="36">
        <v>565789625</v>
      </c>
      <c r="D18" s="36">
        <v>565789625</v>
      </c>
      <c r="E18" s="753"/>
      <c r="F18" s="753"/>
      <c r="G18" s="753"/>
      <c r="H18" s="842"/>
      <c r="O18" s="2"/>
    </row>
    <row r="19" spans="1:15" hidden="1" x14ac:dyDescent="0.25">
      <c r="A19" s="945" t="s">
        <v>279</v>
      </c>
      <c r="B19" s="31" t="s">
        <v>273</v>
      </c>
      <c r="C19" s="32">
        <v>1709485448</v>
      </c>
      <c r="D19" s="32">
        <v>1709485448</v>
      </c>
      <c r="E19" s="938" t="e">
        <v>#REF!</v>
      </c>
      <c r="F19" s="938" t="e">
        <f>+E19</f>
        <v>#REF!</v>
      </c>
      <c r="G19" s="939"/>
      <c r="H19" s="940"/>
      <c r="O19" s="2"/>
    </row>
    <row r="20" spans="1:15" hidden="1" x14ac:dyDescent="0.25">
      <c r="A20" s="756"/>
      <c r="B20" s="33" t="s">
        <v>274</v>
      </c>
      <c r="C20" s="34">
        <v>295362955</v>
      </c>
      <c r="D20" s="34">
        <v>295362955</v>
      </c>
      <c r="E20" s="752"/>
      <c r="F20" s="752"/>
      <c r="G20" s="752"/>
      <c r="H20" s="941"/>
      <c r="O20" s="2"/>
    </row>
    <row r="21" spans="1:15" ht="15.75" hidden="1" customHeight="1" x14ac:dyDescent="0.25">
      <c r="A21" s="756"/>
      <c r="B21" s="33" t="s">
        <v>275</v>
      </c>
      <c r="C21" s="34">
        <v>1241705000</v>
      </c>
      <c r="D21" s="34">
        <v>1241705000</v>
      </c>
      <c r="E21" s="752"/>
      <c r="F21" s="752"/>
      <c r="G21" s="752"/>
      <c r="H21" s="941"/>
      <c r="O21" s="2"/>
    </row>
    <row r="22" spans="1:15" ht="15.75" hidden="1" customHeight="1" x14ac:dyDescent="0.25">
      <c r="A22" s="756"/>
      <c r="B22" s="33" t="s">
        <v>276</v>
      </c>
      <c r="C22" s="34">
        <v>106931000</v>
      </c>
      <c r="D22" s="34">
        <v>106931000</v>
      </c>
      <c r="E22" s="752"/>
      <c r="F22" s="752"/>
      <c r="G22" s="752"/>
      <c r="H22" s="941"/>
      <c r="O22" s="2"/>
    </row>
    <row r="23" spans="1:15" ht="15.75" hidden="1" customHeight="1" thickBot="1" x14ac:dyDescent="0.3">
      <c r="A23" s="757"/>
      <c r="B23" s="35" t="s">
        <v>277</v>
      </c>
      <c r="C23" s="36">
        <v>565789625</v>
      </c>
      <c r="D23" s="36">
        <v>565789625</v>
      </c>
      <c r="E23" s="753"/>
      <c r="F23" s="753"/>
      <c r="G23" s="753"/>
      <c r="H23" s="842"/>
      <c r="O23" s="2"/>
    </row>
    <row r="24" spans="1:15" ht="15.75" hidden="1" customHeight="1" x14ac:dyDescent="0.25">
      <c r="A24" s="945" t="s">
        <v>280</v>
      </c>
      <c r="B24" s="31" t="s">
        <v>273</v>
      </c>
      <c r="C24" s="32">
        <v>1709485448</v>
      </c>
      <c r="D24" s="32">
        <v>1709485448</v>
      </c>
      <c r="E24" s="938" t="e">
        <v>#REF!</v>
      </c>
      <c r="F24" s="938" t="e">
        <v>#REF!</v>
      </c>
      <c r="G24" s="939"/>
      <c r="H24" s="940"/>
      <c r="O24" s="2"/>
    </row>
    <row r="25" spans="1:15" ht="15.75" hidden="1" customHeight="1" x14ac:dyDescent="0.25">
      <c r="A25" s="756"/>
      <c r="B25" s="33" t="s">
        <v>274</v>
      </c>
      <c r="C25" s="34">
        <v>295362955</v>
      </c>
      <c r="D25" s="34">
        <v>295362955</v>
      </c>
      <c r="E25" s="752"/>
      <c r="F25" s="752"/>
      <c r="G25" s="752"/>
      <c r="H25" s="941"/>
      <c r="O25" s="2"/>
    </row>
    <row r="26" spans="1:15" ht="15.75" hidden="1" customHeight="1" x14ac:dyDescent="0.25">
      <c r="A26" s="756"/>
      <c r="B26" s="33" t="s">
        <v>275</v>
      </c>
      <c r="C26" s="34">
        <v>1241705000</v>
      </c>
      <c r="D26" s="34">
        <v>1241705000</v>
      </c>
      <c r="E26" s="752"/>
      <c r="F26" s="752"/>
      <c r="G26" s="752"/>
      <c r="H26" s="941"/>
      <c r="O26" s="2"/>
    </row>
    <row r="27" spans="1:15" ht="15.75" hidden="1" customHeight="1" x14ac:dyDescent="0.25">
      <c r="A27" s="756"/>
      <c r="B27" s="33" t="s">
        <v>276</v>
      </c>
      <c r="C27" s="34">
        <v>106931000</v>
      </c>
      <c r="D27" s="34">
        <v>106931000</v>
      </c>
      <c r="E27" s="752"/>
      <c r="F27" s="752"/>
      <c r="G27" s="752"/>
      <c r="H27" s="941"/>
      <c r="O27" s="2"/>
    </row>
    <row r="28" spans="1:15" ht="15.75" hidden="1" customHeight="1" thickBot="1" x14ac:dyDescent="0.3">
      <c r="A28" s="756"/>
      <c r="B28" s="37" t="s">
        <v>277</v>
      </c>
      <c r="C28" s="38">
        <v>565789625</v>
      </c>
      <c r="D28" s="38">
        <v>565789625</v>
      </c>
      <c r="E28" s="752"/>
      <c r="F28" s="752"/>
      <c r="G28" s="752"/>
      <c r="H28" s="941"/>
      <c r="O28" s="2"/>
    </row>
    <row r="29" spans="1:15" ht="15.75" hidden="1" customHeight="1" x14ac:dyDescent="0.25">
      <c r="A29" s="945" t="s">
        <v>281</v>
      </c>
      <c r="B29" s="39" t="s">
        <v>273</v>
      </c>
      <c r="C29" s="32">
        <v>1709485448</v>
      </c>
      <c r="D29" s="32">
        <v>1709485448</v>
      </c>
      <c r="E29" s="938">
        <v>874824904</v>
      </c>
      <c r="F29" s="938">
        <v>874824904</v>
      </c>
      <c r="G29" s="939"/>
      <c r="H29" s="940"/>
      <c r="O29" s="2"/>
    </row>
    <row r="30" spans="1:15" ht="15.75" hidden="1" customHeight="1" x14ac:dyDescent="0.25">
      <c r="A30" s="756"/>
      <c r="B30" s="40" t="s">
        <v>274</v>
      </c>
      <c r="C30" s="34">
        <v>295362955</v>
      </c>
      <c r="D30" s="34">
        <v>295362955</v>
      </c>
      <c r="E30" s="752"/>
      <c r="F30" s="752"/>
      <c r="G30" s="752"/>
      <c r="H30" s="941"/>
      <c r="O30" s="2"/>
    </row>
    <row r="31" spans="1:15" ht="15.75" hidden="1" customHeight="1" x14ac:dyDescent="0.25">
      <c r="A31" s="756"/>
      <c r="B31" s="40" t="s">
        <v>275</v>
      </c>
      <c r="C31" s="34">
        <v>1241705000</v>
      </c>
      <c r="D31" s="34">
        <v>1241705000</v>
      </c>
      <c r="E31" s="752"/>
      <c r="F31" s="752"/>
      <c r="G31" s="752"/>
      <c r="H31" s="941"/>
      <c r="O31" s="2"/>
    </row>
    <row r="32" spans="1:15" ht="15.75" hidden="1" customHeight="1" x14ac:dyDescent="0.25">
      <c r="A32" s="756"/>
      <c r="B32" s="40" t="s">
        <v>276</v>
      </c>
      <c r="C32" s="34">
        <v>106931000</v>
      </c>
      <c r="D32" s="34">
        <v>106931000</v>
      </c>
      <c r="E32" s="752"/>
      <c r="F32" s="752"/>
      <c r="G32" s="752"/>
      <c r="H32" s="941"/>
      <c r="O32" s="2"/>
    </row>
    <row r="33" spans="1:15" ht="15.75" hidden="1" customHeight="1" thickBot="1" x14ac:dyDescent="0.3">
      <c r="A33" s="757"/>
      <c r="B33" s="41" t="s">
        <v>277</v>
      </c>
      <c r="C33" s="36">
        <v>565789625</v>
      </c>
      <c r="D33" s="38">
        <v>565789625</v>
      </c>
      <c r="E33" s="753"/>
      <c r="F33" s="753"/>
      <c r="G33" s="753"/>
      <c r="H33" s="842"/>
      <c r="O33" s="2"/>
    </row>
    <row r="34" spans="1:15" ht="15.75" hidden="1" customHeight="1" x14ac:dyDescent="0.25">
      <c r="A34" s="945" t="s">
        <v>282</v>
      </c>
      <c r="B34" s="39" t="s">
        <v>273</v>
      </c>
      <c r="C34" s="42">
        <v>1709485448</v>
      </c>
      <c r="D34" s="43">
        <v>1369505401</v>
      </c>
      <c r="E34" s="938">
        <v>874824905</v>
      </c>
      <c r="F34" s="938">
        <v>675702343</v>
      </c>
      <c r="G34" s="965">
        <f>+F34</f>
        <v>675702343</v>
      </c>
      <c r="H34" s="966"/>
      <c r="O34" s="2"/>
    </row>
    <row r="35" spans="1:15" ht="15.75" hidden="1" customHeight="1" x14ac:dyDescent="0.25">
      <c r="A35" s="756"/>
      <c r="B35" s="40" t="s">
        <v>274</v>
      </c>
      <c r="C35" s="44">
        <v>295362955</v>
      </c>
      <c r="D35" s="45">
        <v>295362955</v>
      </c>
      <c r="E35" s="752"/>
      <c r="F35" s="752"/>
      <c r="G35" s="749"/>
      <c r="H35" s="949"/>
      <c r="O35" s="2"/>
    </row>
    <row r="36" spans="1:15" ht="15.75" hidden="1" customHeight="1" x14ac:dyDescent="0.25">
      <c r="A36" s="756"/>
      <c r="B36" s="40" t="s">
        <v>275</v>
      </c>
      <c r="C36" s="44">
        <v>1241705000</v>
      </c>
      <c r="D36" s="45">
        <v>1199966000</v>
      </c>
      <c r="E36" s="752"/>
      <c r="F36" s="752"/>
      <c r="G36" s="749"/>
      <c r="H36" s="949"/>
      <c r="O36" s="2"/>
    </row>
    <row r="37" spans="1:15" ht="15.75" hidden="1" customHeight="1" x14ac:dyDescent="0.25">
      <c r="A37" s="756"/>
      <c r="B37" s="40" t="s">
        <v>276</v>
      </c>
      <c r="C37" s="44">
        <v>106931000</v>
      </c>
      <c r="D37" s="45">
        <v>106931000</v>
      </c>
      <c r="E37" s="752"/>
      <c r="F37" s="752"/>
      <c r="G37" s="749"/>
      <c r="H37" s="949"/>
      <c r="O37" s="2"/>
    </row>
    <row r="38" spans="1:15" ht="15.75" hidden="1" customHeight="1" thickBot="1" x14ac:dyDescent="0.3">
      <c r="A38" s="757"/>
      <c r="B38" s="41" t="s">
        <v>277</v>
      </c>
      <c r="C38" s="46">
        <v>565789625</v>
      </c>
      <c r="D38" s="47">
        <v>565789625</v>
      </c>
      <c r="E38" s="753"/>
      <c r="F38" s="753"/>
      <c r="G38" s="760"/>
      <c r="H38" s="951"/>
      <c r="O38" s="2"/>
    </row>
    <row r="39" spans="1:15" ht="15.75" customHeight="1" x14ac:dyDescent="0.25">
      <c r="O39" s="2"/>
    </row>
    <row r="40" spans="1:15" ht="15.75" hidden="1" customHeight="1" x14ac:dyDescent="0.25">
      <c r="A40" s="944" t="s">
        <v>283</v>
      </c>
      <c r="B40" s="688"/>
      <c r="C40" s="688"/>
      <c r="D40" s="688"/>
      <c r="E40" s="688"/>
      <c r="F40" s="688"/>
      <c r="G40" s="688"/>
      <c r="H40" s="766"/>
      <c r="O40" s="2"/>
    </row>
    <row r="41" spans="1:15" ht="31.5" hidden="1" customHeight="1" thickBot="1" x14ac:dyDescent="0.3">
      <c r="A41" s="28" t="s">
        <v>26</v>
      </c>
      <c r="B41" s="29" t="s">
        <v>265</v>
      </c>
      <c r="C41" s="29" t="s">
        <v>266</v>
      </c>
      <c r="D41" s="29" t="s">
        <v>267</v>
      </c>
      <c r="E41" s="29" t="s">
        <v>268</v>
      </c>
      <c r="F41" s="29" t="s">
        <v>269</v>
      </c>
      <c r="G41" s="29" t="s">
        <v>270</v>
      </c>
      <c r="H41" s="30" t="s">
        <v>271</v>
      </c>
      <c r="O41" s="2"/>
    </row>
    <row r="42" spans="1:15" ht="15.75" hidden="1" customHeight="1" x14ac:dyDescent="0.25">
      <c r="A42" s="979" t="s">
        <v>284</v>
      </c>
      <c r="B42" s="192" t="s">
        <v>285</v>
      </c>
      <c r="C42" s="193">
        <v>2373758000</v>
      </c>
      <c r="D42" s="194">
        <v>2373758000</v>
      </c>
      <c r="E42" s="964">
        <v>0</v>
      </c>
      <c r="F42" s="967">
        <v>0</v>
      </c>
      <c r="G42" s="964">
        <v>0</v>
      </c>
      <c r="H42" s="969">
        <v>0</v>
      </c>
      <c r="O42" s="2"/>
    </row>
    <row r="43" spans="1:15" ht="15.75" hidden="1" customHeight="1" x14ac:dyDescent="0.25">
      <c r="A43" s="949"/>
      <c r="B43" s="195" t="s">
        <v>286</v>
      </c>
      <c r="C43" s="196">
        <v>5500000000</v>
      </c>
      <c r="D43" s="197">
        <v>5500000000</v>
      </c>
      <c r="E43" s="949"/>
      <c r="F43" s="704"/>
      <c r="G43" s="949"/>
      <c r="H43" s="949"/>
      <c r="O43" s="2"/>
    </row>
    <row r="44" spans="1:15" ht="15.75" hidden="1" customHeight="1" x14ac:dyDescent="0.25">
      <c r="A44" s="949"/>
      <c r="B44" s="195" t="s">
        <v>287</v>
      </c>
      <c r="C44" s="196">
        <v>13435346000</v>
      </c>
      <c r="D44" s="198">
        <v>13435346000</v>
      </c>
      <c r="E44" s="949"/>
      <c r="F44" s="704"/>
      <c r="G44" s="949"/>
      <c r="H44" s="949"/>
      <c r="O44" s="2"/>
    </row>
    <row r="45" spans="1:15" ht="15.75" hidden="1" customHeight="1" x14ac:dyDescent="0.25">
      <c r="A45" s="949"/>
      <c r="B45" s="195" t="s">
        <v>288</v>
      </c>
      <c r="C45" s="196">
        <v>3186932000</v>
      </c>
      <c r="D45" s="197">
        <v>3186932000</v>
      </c>
      <c r="E45" s="949"/>
      <c r="F45" s="704"/>
      <c r="G45" s="949"/>
      <c r="H45" s="949"/>
      <c r="O45" s="2"/>
    </row>
    <row r="46" spans="1:15" ht="15.75" hidden="1" customHeight="1" x14ac:dyDescent="0.25">
      <c r="A46" s="949"/>
      <c r="B46" s="195" t="s">
        <v>289</v>
      </c>
      <c r="C46" s="196">
        <v>103930000</v>
      </c>
      <c r="D46" s="197">
        <v>103930000</v>
      </c>
      <c r="E46" s="949"/>
      <c r="F46" s="704"/>
      <c r="G46" s="949"/>
      <c r="H46" s="949"/>
      <c r="O46" s="2"/>
    </row>
    <row r="47" spans="1:15" ht="15.75" hidden="1" customHeight="1" x14ac:dyDescent="0.25">
      <c r="A47" s="949"/>
      <c r="B47" s="195" t="s">
        <v>290</v>
      </c>
      <c r="C47" s="196">
        <f>304104000+35002000</f>
        <v>339106000</v>
      </c>
      <c r="D47" s="197">
        <f>304104000+35002000</f>
        <v>339106000</v>
      </c>
      <c r="E47" s="949"/>
      <c r="F47" s="704"/>
      <c r="G47" s="949"/>
      <c r="H47" s="949"/>
      <c r="O47" s="2"/>
    </row>
    <row r="48" spans="1:15" ht="15.75" hidden="1" customHeight="1" x14ac:dyDescent="0.25">
      <c r="A48" s="949"/>
      <c r="B48" s="195" t="s">
        <v>291</v>
      </c>
      <c r="C48" s="196">
        <v>119254000</v>
      </c>
      <c r="D48" s="197">
        <v>119254000</v>
      </c>
      <c r="E48" s="949"/>
      <c r="F48" s="704"/>
      <c r="G48" s="949"/>
      <c r="H48" s="949"/>
      <c r="O48" s="2"/>
    </row>
    <row r="49" spans="1:15" ht="15.75" hidden="1" customHeight="1" thickBot="1" x14ac:dyDescent="0.3">
      <c r="A49" s="951"/>
      <c r="B49" s="199" t="s">
        <v>292</v>
      </c>
      <c r="C49" s="200">
        <v>298778000</v>
      </c>
      <c r="D49" s="201">
        <v>298778000</v>
      </c>
      <c r="E49" s="951"/>
      <c r="F49" s="968"/>
      <c r="G49" s="951"/>
      <c r="H49" s="951"/>
      <c r="O49" s="2"/>
    </row>
    <row r="50" spans="1:15" ht="15.75" hidden="1" customHeight="1" x14ac:dyDescent="0.25">
      <c r="A50" s="979" t="s">
        <v>293</v>
      </c>
      <c r="B50" s="48" t="s">
        <v>294</v>
      </c>
      <c r="C50" s="193">
        <v>2373758000</v>
      </c>
      <c r="D50" s="202">
        <v>2373758000</v>
      </c>
      <c r="E50" s="955">
        <v>263020000</v>
      </c>
      <c r="F50" s="964">
        <v>0</v>
      </c>
      <c r="G50" s="964">
        <v>0</v>
      </c>
      <c r="H50" s="969">
        <v>0</v>
      </c>
      <c r="O50" s="2"/>
    </row>
    <row r="51" spans="1:15" ht="15.75" hidden="1" customHeight="1" x14ac:dyDescent="0.25">
      <c r="A51" s="949"/>
      <c r="B51" s="49" t="s">
        <v>295</v>
      </c>
      <c r="C51" s="196">
        <v>5500000000</v>
      </c>
      <c r="D51" s="203">
        <v>5500000000</v>
      </c>
      <c r="E51" s="704"/>
      <c r="F51" s="949"/>
      <c r="G51" s="949"/>
      <c r="H51" s="949"/>
      <c r="O51" s="2"/>
    </row>
    <row r="52" spans="1:15" ht="15.75" hidden="1" customHeight="1" x14ac:dyDescent="0.25">
      <c r="A52" s="949"/>
      <c r="B52" s="204" t="s">
        <v>296</v>
      </c>
      <c r="C52" s="196">
        <v>13435346000</v>
      </c>
      <c r="D52" s="203">
        <v>13435346000</v>
      </c>
      <c r="E52" s="704"/>
      <c r="F52" s="949"/>
      <c r="G52" s="949"/>
      <c r="H52" s="949"/>
      <c r="O52" s="2"/>
    </row>
    <row r="53" spans="1:15" ht="15.75" hidden="1" customHeight="1" x14ac:dyDescent="0.25">
      <c r="A53" s="949"/>
      <c r="B53" s="49" t="s">
        <v>297</v>
      </c>
      <c r="C53" s="196">
        <v>3186932000</v>
      </c>
      <c r="D53" s="203">
        <v>3186932000</v>
      </c>
      <c r="E53" s="704"/>
      <c r="F53" s="949"/>
      <c r="G53" s="949"/>
      <c r="H53" s="949"/>
      <c r="O53" s="2"/>
    </row>
    <row r="54" spans="1:15" ht="15.75" hidden="1" customHeight="1" x14ac:dyDescent="0.25">
      <c r="A54" s="949"/>
      <c r="B54" s="49" t="s">
        <v>298</v>
      </c>
      <c r="C54" s="196">
        <v>103930000</v>
      </c>
      <c r="D54" s="203">
        <v>103930000</v>
      </c>
      <c r="E54" s="704"/>
      <c r="F54" s="949"/>
      <c r="G54" s="949"/>
      <c r="H54" s="949"/>
      <c r="O54" s="2"/>
    </row>
    <row r="55" spans="1:15" ht="15.75" hidden="1" customHeight="1" x14ac:dyDescent="0.25">
      <c r="A55" s="949"/>
      <c r="B55" s="49" t="s">
        <v>299</v>
      </c>
      <c r="C55" s="196">
        <f>304104000+35002000</f>
        <v>339106000</v>
      </c>
      <c r="D55" s="203">
        <v>339106000</v>
      </c>
      <c r="E55" s="704"/>
      <c r="F55" s="949"/>
      <c r="G55" s="949"/>
      <c r="H55" s="949"/>
      <c r="O55" s="2"/>
    </row>
    <row r="56" spans="1:15" ht="15.75" hidden="1" customHeight="1" x14ac:dyDescent="0.25">
      <c r="A56" s="949"/>
      <c r="B56" s="49" t="s">
        <v>300</v>
      </c>
      <c r="C56" s="203">
        <v>298778000</v>
      </c>
      <c r="D56" s="203">
        <v>298778000</v>
      </c>
      <c r="E56" s="704"/>
      <c r="F56" s="949"/>
      <c r="G56" s="949"/>
      <c r="H56" s="949"/>
      <c r="O56" s="2"/>
    </row>
    <row r="57" spans="1:15" ht="15.75" hidden="1" customHeight="1" thickBot="1" x14ac:dyDescent="0.3">
      <c r="A57" s="951"/>
      <c r="B57" s="205" t="s">
        <v>301</v>
      </c>
      <c r="C57" s="206">
        <v>119254000</v>
      </c>
      <c r="D57" s="206">
        <v>119254000</v>
      </c>
      <c r="E57" s="706"/>
      <c r="F57" s="951"/>
      <c r="G57" s="951"/>
      <c r="H57" s="951"/>
      <c r="O57" s="2"/>
    </row>
    <row r="58" spans="1:15" ht="15.75" hidden="1" customHeight="1" x14ac:dyDescent="0.25">
      <c r="A58" s="979" t="s">
        <v>302</v>
      </c>
      <c r="B58" s="207" t="s">
        <v>294</v>
      </c>
      <c r="C58" s="193">
        <v>2373758000</v>
      </c>
      <c r="D58" s="208">
        <v>2373758000</v>
      </c>
      <c r="E58" s="950">
        <v>1244638000</v>
      </c>
      <c r="F58" s="950">
        <v>6924333</v>
      </c>
      <c r="G58" s="950">
        <v>6924333</v>
      </c>
      <c r="H58" s="952">
        <f>G58/E58</f>
        <v>5.5633308640745342E-3</v>
      </c>
      <c r="I58" s="50"/>
      <c r="O58" s="2"/>
    </row>
    <row r="59" spans="1:15" ht="15.75" hidden="1" customHeight="1" x14ac:dyDescent="0.25">
      <c r="A59" s="949"/>
      <c r="B59" s="209" t="s">
        <v>295</v>
      </c>
      <c r="C59" s="196">
        <v>5500000000</v>
      </c>
      <c r="D59" s="210">
        <v>5500000000</v>
      </c>
      <c r="E59" s="949"/>
      <c r="F59" s="949"/>
      <c r="G59" s="949"/>
      <c r="H59" s="949"/>
      <c r="I59" s="51"/>
      <c r="O59" s="2"/>
    </row>
    <row r="60" spans="1:15" ht="15.75" hidden="1" customHeight="1" x14ac:dyDescent="0.25">
      <c r="A60" s="949"/>
      <c r="B60" s="211" t="s">
        <v>296</v>
      </c>
      <c r="C60" s="196">
        <v>13435346000</v>
      </c>
      <c r="D60" s="212">
        <v>13435346000</v>
      </c>
      <c r="E60" s="949"/>
      <c r="F60" s="949"/>
      <c r="G60" s="949"/>
      <c r="H60" s="949"/>
      <c r="I60" s="51"/>
      <c r="O60" s="2"/>
    </row>
    <row r="61" spans="1:15" ht="15.75" hidden="1" customHeight="1" x14ac:dyDescent="0.25">
      <c r="A61" s="949"/>
      <c r="B61" s="209" t="s">
        <v>297</v>
      </c>
      <c r="C61" s="196">
        <v>3186932000</v>
      </c>
      <c r="D61" s="210">
        <v>3186932000</v>
      </c>
      <c r="E61" s="949"/>
      <c r="F61" s="949"/>
      <c r="G61" s="949"/>
      <c r="H61" s="949"/>
      <c r="I61" s="51"/>
      <c r="O61" s="2"/>
    </row>
    <row r="62" spans="1:15" ht="15.75" hidden="1" customHeight="1" x14ac:dyDescent="0.25">
      <c r="A62" s="949"/>
      <c r="B62" s="209" t="s">
        <v>298</v>
      </c>
      <c r="C62" s="196">
        <v>103930000</v>
      </c>
      <c r="D62" s="210">
        <v>103930000</v>
      </c>
      <c r="E62" s="949"/>
      <c r="F62" s="949"/>
      <c r="G62" s="949"/>
      <c r="H62" s="949"/>
      <c r="I62" s="51"/>
      <c r="O62" s="2"/>
    </row>
    <row r="63" spans="1:15" ht="15.75" hidden="1" customHeight="1" x14ac:dyDescent="0.25">
      <c r="A63" s="949"/>
      <c r="B63" s="209" t="s">
        <v>299</v>
      </c>
      <c r="C63" s="196">
        <f>304104000+35002000</f>
        <v>339106000</v>
      </c>
      <c r="D63" s="210">
        <v>339106000</v>
      </c>
      <c r="E63" s="949"/>
      <c r="F63" s="949"/>
      <c r="G63" s="949"/>
      <c r="H63" s="949"/>
      <c r="I63" s="51"/>
      <c r="O63" s="2"/>
    </row>
    <row r="64" spans="1:15" ht="15.75" hidden="1" customHeight="1" x14ac:dyDescent="0.25">
      <c r="A64" s="949"/>
      <c r="B64" s="209" t="s">
        <v>300</v>
      </c>
      <c r="C64" s="210">
        <v>298778000</v>
      </c>
      <c r="D64" s="210">
        <v>298778000</v>
      </c>
      <c r="E64" s="949"/>
      <c r="F64" s="949"/>
      <c r="G64" s="949"/>
      <c r="H64" s="949"/>
      <c r="I64" s="51"/>
      <c r="O64" s="2"/>
    </row>
    <row r="65" spans="1:15" ht="15.75" hidden="1" customHeight="1" thickBot="1" x14ac:dyDescent="0.3">
      <c r="A65" s="951"/>
      <c r="B65" s="213" t="s">
        <v>301</v>
      </c>
      <c r="C65" s="214">
        <v>119254000</v>
      </c>
      <c r="D65" s="214">
        <v>119254000</v>
      </c>
      <c r="E65" s="951"/>
      <c r="F65" s="951"/>
      <c r="G65" s="951"/>
      <c r="H65" s="951"/>
      <c r="I65" s="51"/>
      <c r="O65" s="2"/>
    </row>
    <row r="66" spans="1:15" ht="15.75" hidden="1" customHeight="1" x14ac:dyDescent="0.25">
      <c r="A66" s="979" t="s">
        <v>303</v>
      </c>
      <c r="B66" s="215" t="s">
        <v>294</v>
      </c>
      <c r="C66" s="193">
        <v>2373758000</v>
      </c>
      <c r="D66" s="193">
        <v>1377193442</v>
      </c>
      <c r="E66" s="950">
        <v>1803508996</v>
      </c>
      <c r="F66" s="950">
        <v>37574528</v>
      </c>
      <c r="G66" s="950">
        <v>37574528</v>
      </c>
      <c r="H66" s="952">
        <f>G66/E66</f>
        <v>2.0834122859013451E-2</v>
      </c>
      <c r="I66" s="50"/>
      <c r="J66" s="20"/>
      <c r="O66" s="2"/>
    </row>
    <row r="67" spans="1:15" ht="15.75" hidden="1" customHeight="1" x14ac:dyDescent="0.25">
      <c r="A67" s="949"/>
      <c r="B67" s="216" t="s">
        <v>295</v>
      </c>
      <c r="C67" s="196">
        <v>5500000000</v>
      </c>
      <c r="D67" s="196">
        <v>5500000000</v>
      </c>
      <c r="E67" s="949"/>
      <c r="F67" s="949"/>
      <c r="G67" s="949"/>
      <c r="H67" s="949"/>
      <c r="I67" s="51"/>
      <c r="O67" s="2"/>
    </row>
    <row r="68" spans="1:15" ht="15.75" hidden="1" customHeight="1" x14ac:dyDescent="0.25">
      <c r="A68" s="949"/>
      <c r="B68" s="216" t="s">
        <v>296</v>
      </c>
      <c r="C68" s="196">
        <v>13435346000</v>
      </c>
      <c r="D68" s="196">
        <v>13435346000</v>
      </c>
      <c r="E68" s="949"/>
      <c r="F68" s="949"/>
      <c r="G68" s="949"/>
      <c r="H68" s="949"/>
      <c r="I68" s="51"/>
      <c r="O68" s="2"/>
    </row>
    <row r="69" spans="1:15" ht="15.75" hidden="1" customHeight="1" x14ac:dyDescent="0.25">
      <c r="A69" s="949"/>
      <c r="B69" s="216" t="s">
        <v>297</v>
      </c>
      <c r="C69" s="196">
        <v>3186932000</v>
      </c>
      <c r="D69" s="196">
        <v>3186932000</v>
      </c>
      <c r="E69" s="949"/>
      <c r="F69" s="949"/>
      <c r="G69" s="949"/>
      <c r="H69" s="949"/>
      <c r="I69" s="51"/>
      <c r="O69" s="2"/>
    </row>
    <row r="70" spans="1:15" ht="15.75" hidden="1" customHeight="1" x14ac:dyDescent="0.25">
      <c r="A70" s="949"/>
      <c r="B70" s="216" t="s">
        <v>304</v>
      </c>
      <c r="C70" s="196">
        <v>0</v>
      </c>
      <c r="D70" s="196">
        <v>68553915</v>
      </c>
      <c r="E70" s="949"/>
      <c r="F70" s="949"/>
      <c r="G70" s="949"/>
      <c r="H70" s="949"/>
      <c r="I70" s="51"/>
      <c r="O70" s="2"/>
    </row>
    <row r="71" spans="1:15" ht="15.75" hidden="1" customHeight="1" x14ac:dyDescent="0.25">
      <c r="A71" s="949"/>
      <c r="B71" s="216" t="s">
        <v>298</v>
      </c>
      <c r="C71" s="196">
        <v>103930000</v>
      </c>
      <c r="D71" s="196">
        <v>103930000</v>
      </c>
      <c r="E71" s="949"/>
      <c r="F71" s="949"/>
      <c r="G71" s="949"/>
      <c r="H71" s="949"/>
      <c r="I71" s="52"/>
      <c r="O71" s="2"/>
    </row>
    <row r="72" spans="1:15" ht="15.75" hidden="1" customHeight="1" x14ac:dyDescent="0.25">
      <c r="A72" s="949"/>
      <c r="B72" s="216" t="s">
        <v>299</v>
      </c>
      <c r="C72" s="196">
        <f>304104000+35002000</f>
        <v>339106000</v>
      </c>
      <c r="D72" s="196">
        <v>339106000</v>
      </c>
      <c r="E72" s="949"/>
      <c r="F72" s="949"/>
      <c r="G72" s="949"/>
      <c r="H72" s="949"/>
      <c r="I72" s="51"/>
      <c r="O72" s="2"/>
    </row>
    <row r="73" spans="1:15" ht="15.75" hidden="1" customHeight="1" x14ac:dyDescent="0.25">
      <c r="A73" s="949"/>
      <c r="B73" s="216" t="s">
        <v>300</v>
      </c>
      <c r="C73" s="196">
        <v>298778000</v>
      </c>
      <c r="D73" s="196">
        <v>298778000</v>
      </c>
      <c r="E73" s="949"/>
      <c r="F73" s="949"/>
      <c r="G73" s="949"/>
      <c r="H73" s="949"/>
      <c r="I73" s="51"/>
      <c r="O73" s="2"/>
    </row>
    <row r="74" spans="1:15" ht="15.75" hidden="1" customHeight="1" thickBot="1" x14ac:dyDescent="0.3">
      <c r="A74" s="951"/>
      <c r="B74" s="217" t="s">
        <v>301</v>
      </c>
      <c r="C74" s="200">
        <v>119254000</v>
      </c>
      <c r="D74" s="200">
        <v>119254000</v>
      </c>
      <c r="E74" s="951"/>
      <c r="F74" s="951"/>
      <c r="G74" s="951"/>
      <c r="H74" s="951"/>
      <c r="I74" s="51"/>
      <c r="O74" s="2"/>
    </row>
    <row r="75" spans="1:15" ht="15.75" hidden="1" customHeight="1" x14ac:dyDescent="0.25">
      <c r="A75" s="979" t="s">
        <v>305</v>
      </c>
      <c r="B75" s="215" t="s">
        <v>294</v>
      </c>
      <c r="C75" s="193">
        <v>2373758000</v>
      </c>
      <c r="D75" s="193">
        <v>1377193442</v>
      </c>
      <c r="E75" s="950">
        <v>1804955874</v>
      </c>
      <c r="F75" s="950">
        <v>204873594</v>
      </c>
      <c r="G75" s="950">
        <v>204873594</v>
      </c>
      <c r="H75" s="952">
        <f>G75/E75</f>
        <v>0.11350615100965067</v>
      </c>
      <c r="I75" s="50"/>
      <c r="J75" s="20"/>
      <c r="O75" s="2"/>
    </row>
    <row r="76" spans="1:15" ht="15.75" hidden="1" customHeight="1" x14ac:dyDescent="0.25">
      <c r="A76" s="949"/>
      <c r="B76" s="216" t="s">
        <v>295</v>
      </c>
      <c r="C76" s="196">
        <v>5500000000</v>
      </c>
      <c r="D76" s="196">
        <v>5500000000</v>
      </c>
      <c r="E76" s="949"/>
      <c r="F76" s="949"/>
      <c r="G76" s="949"/>
      <c r="H76" s="949"/>
      <c r="I76" s="51"/>
      <c r="O76" s="2"/>
    </row>
    <row r="77" spans="1:15" ht="15.75" hidden="1" customHeight="1" x14ac:dyDescent="0.25">
      <c r="A77" s="949"/>
      <c r="B77" s="216" t="s">
        <v>296</v>
      </c>
      <c r="C77" s="196">
        <v>13435346000</v>
      </c>
      <c r="D77" s="196">
        <v>13435346000</v>
      </c>
      <c r="E77" s="949"/>
      <c r="F77" s="949"/>
      <c r="G77" s="949"/>
      <c r="H77" s="949"/>
      <c r="I77" s="50"/>
      <c r="O77" s="2"/>
    </row>
    <row r="78" spans="1:15" ht="15.75" hidden="1" customHeight="1" x14ac:dyDescent="0.25">
      <c r="A78" s="949"/>
      <c r="B78" s="216" t="s">
        <v>297</v>
      </c>
      <c r="C78" s="196">
        <v>3186932000</v>
      </c>
      <c r="D78" s="196">
        <v>3186932000</v>
      </c>
      <c r="E78" s="949"/>
      <c r="F78" s="949"/>
      <c r="G78" s="949"/>
      <c r="H78" s="949"/>
      <c r="I78" s="50"/>
      <c r="O78" s="2"/>
    </row>
    <row r="79" spans="1:15" ht="15.75" hidden="1" customHeight="1" x14ac:dyDescent="0.25">
      <c r="A79" s="949"/>
      <c r="B79" s="216" t="s">
        <v>304</v>
      </c>
      <c r="C79" s="196">
        <v>0</v>
      </c>
      <c r="D79" s="196">
        <v>68553915</v>
      </c>
      <c r="E79" s="949"/>
      <c r="F79" s="949"/>
      <c r="G79" s="949"/>
      <c r="H79" s="949"/>
      <c r="I79" s="51"/>
      <c r="O79" s="2"/>
    </row>
    <row r="80" spans="1:15" ht="15.75" hidden="1" customHeight="1" x14ac:dyDescent="0.25">
      <c r="A80" s="949"/>
      <c r="B80" s="216" t="s">
        <v>298</v>
      </c>
      <c r="C80" s="196">
        <v>103930000</v>
      </c>
      <c r="D80" s="196">
        <v>103930000</v>
      </c>
      <c r="E80" s="949"/>
      <c r="F80" s="949"/>
      <c r="G80" s="949"/>
      <c r="H80" s="949"/>
      <c r="I80" s="51"/>
      <c r="O80" s="2"/>
    </row>
    <row r="81" spans="1:15" ht="15.75" hidden="1" customHeight="1" x14ac:dyDescent="0.25">
      <c r="A81" s="949"/>
      <c r="B81" s="216" t="s">
        <v>299</v>
      </c>
      <c r="C81" s="196">
        <f>304104000+35002000</f>
        <v>339106000</v>
      </c>
      <c r="D81" s="196">
        <v>339106000</v>
      </c>
      <c r="E81" s="949"/>
      <c r="F81" s="949"/>
      <c r="G81" s="949"/>
      <c r="H81" s="949"/>
      <c r="I81" s="51"/>
      <c r="O81" s="2"/>
    </row>
    <row r="82" spans="1:15" ht="15.75" hidden="1" customHeight="1" x14ac:dyDescent="0.25">
      <c r="A82" s="949"/>
      <c r="B82" s="216" t="s">
        <v>300</v>
      </c>
      <c r="C82" s="196">
        <v>298778000</v>
      </c>
      <c r="D82" s="196">
        <v>298778000</v>
      </c>
      <c r="E82" s="949"/>
      <c r="F82" s="949"/>
      <c r="G82" s="949"/>
      <c r="H82" s="949"/>
      <c r="I82" s="51"/>
      <c r="O82" s="2"/>
    </row>
    <row r="83" spans="1:15" ht="15.75" hidden="1" customHeight="1" thickBot="1" x14ac:dyDescent="0.3">
      <c r="A83" s="949"/>
      <c r="B83" s="218" t="s">
        <v>301</v>
      </c>
      <c r="C83" s="219">
        <v>119254000</v>
      </c>
      <c r="D83" s="219">
        <v>119254000</v>
      </c>
      <c r="E83" s="949"/>
      <c r="F83" s="949"/>
      <c r="G83" s="949"/>
      <c r="H83" s="949"/>
      <c r="I83" s="51"/>
      <c r="O83" s="2"/>
    </row>
    <row r="84" spans="1:15" ht="15.75" hidden="1" customHeight="1" x14ac:dyDescent="0.25">
      <c r="A84" s="974" t="s">
        <v>306</v>
      </c>
      <c r="B84" s="220" t="s">
        <v>294</v>
      </c>
      <c r="C84" s="193">
        <v>2373758000</v>
      </c>
      <c r="D84" s="194">
        <v>5063894115</v>
      </c>
      <c r="E84" s="948">
        <v>2237389471</v>
      </c>
      <c r="F84" s="948">
        <v>392967720</v>
      </c>
      <c r="G84" s="953">
        <v>392967720</v>
      </c>
      <c r="H84" s="952">
        <f>G84/E84</f>
        <v>0.17563670746352592</v>
      </c>
      <c r="I84" s="20"/>
      <c r="O84" s="2"/>
    </row>
    <row r="85" spans="1:15" ht="15.75" hidden="1" customHeight="1" x14ac:dyDescent="0.25">
      <c r="A85" s="756"/>
      <c r="B85" s="221" t="s">
        <v>295</v>
      </c>
      <c r="C85" s="196">
        <v>5500000000</v>
      </c>
      <c r="D85" s="197">
        <v>5500000000</v>
      </c>
      <c r="E85" s="949"/>
      <c r="F85" s="949"/>
      <c r="G85" s="954"/>
      <c r="H85" s="949"/>
      <c r="O85" s="2"/>
    </row>
    <row r="86" spans="1:15" ht="15.75" hidden="1" customHeight="1" x14ac:dyDescent="0.25">
      <c r="A86" s="756"/>
      <c r="B86" s="222" t="s">
        <v>296</v>
      </c>
      <c r="C86" s="196">
        <v>13435346000</v>
      </c>
      <c r="D86" s="198">
        <v>9748645327</v>
      </c>
      <c r="E86" s="949"/>
      <c r="F86" s="949"/>
      <c r="G86" s="954"/>
      <c r="H86" s="949"/>
      <c r="I86" s="20"/>
      <c r="O86" s="2"/>
    </row>
    <row r="87" spans="1:15" ht="15.75" hidden="1" customHeight="1" x14ac:dyDescent="0.25">
      <c r="A87" s="756"/>
      <c r="B87" s="221" t="s">
        <v>297</v>
      </c>
      <c r="C87" s="196">
        <v>3186932000</v>
      </c>
      <c r="D87" s="197">
        <v>3186932000</v>
      </c>
      <c r="E87" s="949"/>
      <c r="F87" s="949"/>
      <c r="G87" s="954"/>
      <c r="H87" s="949"/>
      <c r="O87" s="2"/>
    </row>
    <row r="88" spans="1:15" ht="15.75" hidden="1" customHeight="1" x14ac:dyDescent="0.25">
      <c r="A88" s="756"/>
      <c r="B88" s="221" t="s">
        <v>304</v>
      </c>
      <c r="C88" s="196">
        <v>0</v>
      </c>
      <c r="D88" s="197">
        <v>68553915</v>
      </c>
      <c r="E88" s="949"/>
      <c r="F88" s="949"/>
      <c r="G88" s="954"/>
      <c r="H88" s="949"/>
      <c r="O88" s="2"/>
    </row>
    <row r="89" spans="1:15" ht="15.75" hidden="1" customHeight="1" x14ac:dyDescent="0.25">
      <c r="A89" s="756"/>
      <c r="B89" s="221" t="s">
        <v>298</v>
      </c>
      <c r="C89" s="196">
        <v>103930000</v>
      </c>
      <c r="D89" s="197">
        <v>103930000</v>
      </c>
      <c r="E89" s="949"/>
      <c r="F89" s="949"/>
      <c r="G89" s="954"/>
      <c r="H89" s="949"/>
      <c r="I89" s="20"/>
      <c r="O89" s="2"/>
    </row>
    <row r="90" spans="1:15" ht="15.75" hidden="1" customHeight="1" x14ac:dyDescent="0.25">
      <c r="A90" s="756"/>
      <c r="B90" s="221" t="s">
        <v>299</v>
      </c>
      <c r="C90" s="196">
        <f>304104000+35002000</f>
        <v>339106000</v>
      </c>
      <c r="D90" s="197">
        <v>339106000</v>
      </c>
      <c r="E90" s="949"/>
      <c r="F90" s="949"/>
      <c r="G90" s="954"/>
      <c r="H90" s="949"/>
      <c r="O90" s="2"/>
    </row>
    <row r="91" spans="1:15" ht="15.75" hidden="1" customHeight="1" x14ac:dyDescent="0.25">
      <c r="A91" s="756"/>
      <c r="B91" s="221" t="s">
        <v>300</v>
      </c>
      <c r="C91" s="196">
        <v>298778000</v>
      </c>
      <c r="D91" s="197">
        <v>298778000</v>
      </c>
      <c r="E91" s="949"/>
      <c r="F91" s="949"/>
      <c r="G91" s="954"/>
      <c r="H91" s="949"/>
      <c r="O91" s="2"/>
    </row>
    <row r="92" spans="1:15" ht="15.75" hidden="1" customHeight="1" thickBot="1" x14ac:dyDescent="0.3">
      <c r="A92" s="980"/>
      <c r="B92" s="223" t="s">
        <v>301</v>
      </c>
      <c r="C92" s="219">
        <v>119254000</v>
      </c>
      <c r="D92" s="201">
        <v>119254000</v>
      </c>
      <c r="E92" s="949"/>
      <c r="F92" s="949"/>
      <c r="G92" s="954"/>
      <c r="H92" s="949"/>
      <c r="O92" s="2"/>
    </row>
    <row r="93" spans="1:15" ht="15.75" hidden="1" customHeight="1" x14ac:dyDescent="0.25">
      <c r="A93" s="978" t="s">
        <v>272</v>
      </c>
      <c r="B93" s="215" t="s">
        <v>294</v>
      </c>
      <c r="C93" s="193">
        <v>2373758000</v>
      </c>
      <c r="D93" s="193">
        <v>5063894115</v>
      </c>
      <c r="E93" s="948">
        <v>2237389471</v>
      </c>
      <c r="F93" s="948">
        <v>652347669</v>
      </c>
      <c r="G93" s="948">
        <v>652347669</v>
      </c>
      <c r="H93" s="952">
        <f>G93/E93</f>
        <v>0.2915664337637352</v>
      </c>
      <c r="O93" s="2"/>
    </row>
    <row r="94" spans="1:15" ht="15.75" hidden="1" customHeight="1" x14ac:dyDescent="0.25">
      <c r="A94" s="949"/>
      <c r="B94" s="216" t="s">
        <v>295</v>
      </c>
      <c r="C94" s="196">
        <v>5500000000</v>
      </c>
      <c r="D94" s="196">
        <v>5500000000</v>
      </c>
      <c r="E94" s="949"/>
      <c r="F94" s="949"/>
      <c r="G94" s="949"/>
      <c r="H94" s="949"/>
      <c r="O94" s="2"/>
    </row>
    <row r="95" spans="1:15" ht="15.75" hidden="1" customHeight="1" x14ac:dyDescent="0.25">
      <c r="A95" s="949"/>
      <c r="B95" s="216" t="s">
        <v>296</v>
      </c>
      <c r="C95" s="196">
        <v>13435346000</v>
      </c>
      <c r="D95" s="196">
        <v>9748645327</v>
      </c>
      <c r="E95" s="949"/>
      <c r="F95" s="949"/>
      <c r="G95" s="949"/>
      <c r="H95" s="949"/>
      <c r="O95" s="2"/>
    </row>
    <row r="96" spans="1:15" ht="15.75" hidden="1" customHeight="1" x14ac:dyDescent="0.25">
      <c r="A96" s="949"/>
      <c r="B96" s="216" t="s">
        <v>297</v>
      </c>
      <c r="C96" s="196">
        <v>3186932000</v>
      </c>
      <c r="D96" s="196">
        <v>3186932000</v>
      </c>
      <c r="E96" s="949"/>
      <c r="F96" s="949"/>
      <c r="G96" s="949"/>
      <c r="H96" s="949"/>
      <c r="O96" s="2"/>
    </row>
    <row r="97" spans="1:15" ht="15.75" hidden="1" customHeight="1" x14ac:dyDescent="0.25">
      <c r="A97" s="949"/>
      <c r="B97" s="216" t="s">
        <v>307</v>
      </c>
      <c r="C97" s="196">
        <v>0</v>
      </c>
      <c r="D97" s="196">
        <v>68553915</v>
      </c>
      <c r="E97" s="949"/>
      <c r="F97" s="949"/>
      <c r="G97" s="949"/>
      <c r="H97" s="949"/>
      <c r="O97" s="2"/>
    </row>
    <row r="98" spans="1:15" ht="15.75" hidden="1" customHeight="1" x14ac:dyDescent="0.25">
      <c r="A98" s="949"/>
      <c r="B98" s="216" t="s">
        <v>298</v>
      </c>
      <c r="C98" s="196">
        <v>103930000</v>
      </c>
      <c r="D98" s="196">
        <v>103930000</v>
      </c>
      <c r="E98" s="949"/>
      <c r="F98" s="949"/>
      <c r="G98" s="949"/>
      <c r="H98" s="949"/>
      <c r="O98" s="2"/>
    </row>
    <row r="99" spans="1:15" ht="15.75" hidden="1" customHeight="1" x14ac:dyDescent="0.25">
      <c r="A99" s="949"/>
      <c r="B99" s="216" t="s">
        <v>299</v>
      </c>
      <c r="C99" s="196">
        <f>304104000+35002000</f>
        <v>339106000</v>
      </c>
      <c r="D99" s="196">
        <v>339106000</v>
      </c>
      <c r="E99" s="949"/>
      <c r="F99" s="949"/>
      <c r="G99" s="949"/>
      <c r="H99" s="949"/>
      <c r="O99" s="2"/>
    </row>
    <row r="100" spans="1:15" ht="15.75" hidden="1" customHeight="1" x14ac:dyDescent="0.25">
      <c r="A100" s="949"/>
      <c r="B100" s="216" t="s">
        <v>300</v>
      </c>
      <c r="C100" s="196">
        <v>298778000</v>
      </c>
      <c r="D100" s="196">
        <v>298778000</v>
      </c>
      <c r="E100" s="949"/>
      <c r="F100" s="949"/>
      <c r="G100" s="949"/>
      <c r="H100" s="949"/>
      <c r="O100" s="2"/>
    </row>
    <row r="101" spans="1:15" ht="15.75" hidden="1" customHeight="1" thickBot="1" x14ac:dyDescent="0.3">
      <c r="A101" s="951"/>
      <c r="B101" s="217" t="s">
        <v>301</v>
      </c>
      <c r="C101" s="200">
        <v>119254000</v>
      </c>
      <c r="D101" s="200">
        <v>119254000</v>
      </c>
      <c r="E101" s="951"/>
      <c r="F101" s="951"/>
      <c r="G101" s="951"/>
      <c r="H101" s="951"/>
      <c r="O101" s="2"/>
    </row>
    <row r="102" spans="1:15" ht="15.75" hidden="1" customHeight="1" x14ac:dyDescent="0.25">
      <c r="A102" s="979" t="s">
        <v>278</v>
      </c>
      <c r="B102" s="215" t="s">
        <v>294</v>
      </c>
      <c r="C102" s="224">
        <v>2373758000</v>
      </c>
      <c r="D102" s="225">
        <v>2305204085</v>
      </c>
      <c r="E102" s="948">
        <v>2237389471</v>
      </c>
      <c r="F102" s="948">
        <v>1010578866</v>
      </c>
      <c r="G102" s="948">
        <v>1010578866</v>
      </c>
      <c r="H102" s="952">
        <f>G102/E102</f>
        <v>0.45167767127657144</v>
      </c>
      <c r="O102" s="2"/>
    </row>
    <row r="103" spans="1:15" ht="15.75" hidden="1" customHeight="1" x14ac:dyDescent="0.25">
      <c r="A103" s="949"/>
      <c r="B103" s="216" t="s">
        <v>295</v>
      </c>
      <c r="C103" s="226">
        <v>5500000000</v>
      </c>
      <c r="D103" s="227">
        <v>5500000000</v>
      </c>
      <c r="E103" s="949"/>
      <c r="F103" s="949"/>
      <c r="G103" s="949"/>
      <c r="H103" s="949"/>
      <c r="O103" s="2"/>
    </row>
    <row r="104" spans="1:15" ht="15.75" hidden="1" customHeight="1" x14ac:dyDescent="0.25">
      <c r="A104" s="949"/>
      <c r="B104" s="216" t="s">
        <v>296</v>
      </c>
      <c r="C104" s="226">
        <v>13435346000</v>
      </c>
      <c r="D104" s="227">
        <v>9748645327</v>
      </c>
      <c r="E104" s="949"/>
      <c r="F104" s="949"/>
      <c r="G104" s="949"/>
      <c r="H104" s="949"/>
      <c r="O104" s="2"/>
    </row>
    <row r="105" spans="1:15" ht="15.75" hidden="1" customHeight="1" x14ac:dyDescent="0.25">
      <c r="A105" s="949"/>
      <c r="B105" s="216" t="s">
        <v>297</v>
      </c>
      <c r="C105" s="226">
        <v>3186932000</v>
      </c>
      <c r="D105" s="227">
        <v>3186932000</v>
      </c>
      <c r="E105" s="949"/>
      <c r="F105" s="949"/>
      <c r="G105" s="949"/>
      <c r="H105" s="949"/>
      <c r="O105" s="2"/>
    </row>
    <row r="106" spans="1:15" ht="15.75" hidden="1" customHeight="1" x14ac:dyDescent="0.25">
      <c r="A106" s="949"/>
      <c r="B106" s="216" t="s">
        <v>307</v>
      </c>
      <c r="C106" s="226">
        <v>0</v>
      </c>
      <c r="D106" s="227">
        <v>68553915</v>
      </c>
      <c r="E106" s="949"/>
      <c r="F106" s="949"/>
      <c r="G106" s="949"/>
      <c r="H106" s="949"/>
      <c r="O106" s="2"/>
    </row>
    <row r="107" spans="1:15" ht="15.75" hidden="1" customHeight="1" x14ac:dyDescent="0.25">
      <c r="A107" s="949"/>
      <c r="B107" s="216" t="s">
        <v>298</v>
      </c>
      <c r="C107" s="226">
        <v>103930000</v>
      </c>
      <c r="D107" s="227">
        <v>103930000</v>
      </c>
      <c r="E107" s="949"/>
      <c r="F107" s="949"/>
      <c r="G107" s="949"/>
      <c r="H107" s="949"/>
      <c r="O107" s="2"/>
    </row>
    <row r="108" spans="1:15" ht="15.75" hidden="1" customHeight="1" x14ac:dyDescent="0.25">
      <c r="A108" s="949"/>
      <c r="B108" s="216" t="s">
        <v>299</v>
      </c>
      <c r="C108" s="226">
        <f>304104000+35002000</f>
        <v>339106000</v>
      </c>
      <c r="D108" s="227">
        <v>339106000</v>
      </c>
      <c r="E108" s="949"/>
      <c r="F108" s="949"/>
      <c r="G108" s="949"/>
      <c r="H108" s="949"/>
      <c r="O108" s="2"/>
    </row>
    <row r="109" spans="1:15" ht="15.75" hidden="1" customHeight="1" x14ac:dyDescent="0.25">
      <c r="A109" s="949"/>
      <c r="B109" s="216" t="s">
        <v>300</v>
      </c>
      <c r="C109" s="226">
        <v>298778000</v>
      </c>
      <c r="D109" s="227">
        <v>298778000</v>
      </c>
      <c r="E109" s="949"/>
      <c r="F109" s="949"/>
      <c r="G109" s="949"/>
      <c r="H109" s="949"/>
      <c r="O109" s="2"/>
    </row>
    <row r="110" spans="1:15" ht="15.75" hidden="1" customHeight="1" thickBot="1" x14ac:dyDescent="0.3">
      <c r="A110" s="949"/>
      <c r="B110" s="218" t="s">
        <v>301</v>
      </c>
      <c r="C110" s="228">
        <v>119254000</v>
      </c>
      <c r="D110" s="229">
        <v>119254000</v>
      </c>
      <c r="E110" s="949"/>
      <c r="F110" s="949"/>
      <c r="G110" s="949"/>
      <c r="H110" s="949"/>
      <c r="O110" s="2"/>
    </row>
    <row r="111" spans="1:15" ht="15.75" hidden="1" customHeight="1" x14ac:dyDescent="0.25">
      <c r="A111" s="981" t="s">
        <v>279</v>
      </c>
      <c r="B111" s="207" t="s">
        <v>294</v>
      </c>
      <c r="C111" s="194">
        <v>2373758000</v>
      </c>
      <c r="D111" s="193">
        <v>5305204085</v>
      </c>
      <c r="E111" s="955">
        <v>2262478971</v>
      </c>
      <c r="F111" s="950">
        <v>1276634297</v>
      </c>
      <c r="G111" s="950">
        <v>1276634297</v>
      </c>
      <c r="H111" s="952">
        <f>G111/E111</f>
        <v>0.56426349741307713</v>
      </c>
      <c r="O111" s="2"/>
    </row>
    <row r="112" spans="1:15" ht="15.75" hidden="1" customHeight="1" x14ac:dyDescent="0.25">
      <c r="A112" s="703"/>
      <c r="B112" s="209" t="s">
        <v>295</v>
      </c>
      <c r="C112" s="197">
        <v>5500000000</v>
      </c>
      <c r="D112" s="196">
        <v>5500000000</v>
      </c>
      <c r="E112" s="704"/>
      <c r="F112" s="949"/>
      <c r="G112" s="949"/>
      <c r="H112" s="949"/>
      <c r="O112" s="2"/>
    </row>
    <row r="113" spans="1:15" ht="15.75" hidden="1" customHeight="1" x14ac:dyDescent="0.25">
      <c r="A113" s="703"/>
      <c r="B113" s="209" t="s">
        <v>296</v>
      </c>
      <c r="C113" s="197">
        <v>13435346000</v>
      </c>
      <c r="D113" s="196">
        <v>6748645327</v>
      </c>
      <c r="E113" s="704"/>
      <c r="F113" s="949"/>
      <c r="G113" s="949"/>
      <c r="H113" s="949"/>
      <c r="O113" s="2"/>
    </row>
    <row r="114" spans="1:15" ht="15.75" hidden="1" customHeight="1" x14ac:dyDescent="0.25">
      <c r="A114" s="703"/>
      <c r="B114" s="209" t="s">
        <v>297</v>
      </c>
      <c r="C114" s="197">
        <v>3186932000</v>
      </c>
      <c r="D114" s="196">
        <v>3186932000</v>
      </c>
      <c r="E114" s="704"/>
      <c r="F114" s="949"/>
      <c r="G114" s="949"/>
      <c r="H114" s="949"/>
      <c r="O114" s="2"/>
    </row>
    <row r="115" spans="1:15" ht="15.75" hidden="1" customHeight="1" x14ac:dyDescent="0.25">
      <c r="A115" s="703"/>
      <c r="B115" s="209" t="s">
        <v>307</v>
      </c>
      <c r="C115" s="197">
        <v>0</v>
      </c>
      <c r="D115" s="196">
        <v>68553915</v>
      </c>
      <c r="E115" s="704"/>
      <c r="F115" s="949"/>
      <c r="G115" s="949"/>
      <c r="H115" s="949"/>
      <c r="I115" s="20"/>
      <c r="O115" s="2"/>
    </row>
    <row r="116" spans="1:15" ht="15.75" hidden="1" customHeight="1" x14ac:dyDescent="0.25">
      <c r="A116" s="703"/>
      <c r="B116" s="209" t="s">
        <v>298</v>
      </c>
      <c r="C116" s="197">
        <v>103930000</v>
      </c>
      <c r="D116" s="196">
        <v>103930000</v>
      </c>
      <c r="E116" s="704"/>
      <c r="F116" s="949"/>
      <c r="G116" s="949"/>
      <c r="H116" s="949"/>
      <c r="O116" s="2"/>
    </row>
    <row r="117" spans="1:15" ht="15.75" hidden="1" customHeight="1" x14ac:dyDescent="0.25">
      <c r="A117" s="703"/>
      <c r="B117" s="209" t="s">
        <v>299</v>
      </c>
      <c r="C117" s="197">
        <f>304104000+35002000</f>
        <v>339106000</v>
      </c>
      <c r="D117" s="196">
        <v>339106000</v>
      </c>
      <c r="E117" s="704"/>
      <c r="F117" s="949"/>
      <c r="G117" s="949"/>
      <c r="H117" s="949"/>
      <c r="O117" s="2"/>
    </row>
    <row r="118" spans="1:15" ht="15.75" hidden="1" customHeight="1" x14ac:dyDescent="0.25">
      <c r="A118" s="703"/>
      <c r="B118" s="209" t="s">
        <v>300</v>
      </c>
      <c r="C118" s="197">
        <v>298778000</v>
      </c>
      <c r="D118" s="196">
        <v>298778000</v>
      </c>
      <c r="E118" s="704"/>
      <c r="F118" s="949"/>
      <c r="G118" s="949"/>
      <c r="H118" s="949"/>
      <c r="O118" s="2"/>
    </row>
    <row r="119" spans="1:15" ht="15.75" hidden="1" customHeight="1" thickBot="1" x14ac:dyDescent="0.3">
      <c r="A119" s="705"/>
      <c r="B119" s="213" t="s">
        <v>301</v>
      </c>
      <c r="C119" s="230">
        <v>119254000</v>
      </c>
      <c r="D119" s="200">
        <v>119254000</v>
      </c>
      <c r="E119" s="706"/>
      <c r="F119" s="951"/>
      <c r="G119" s="951"/>
      <c r="H119" s="951"/>
      <c r="I119" s="53"/>
      <c r="O119" s="2"/>
    </row>
    <row r="120" spans="1:15" ht="15.75" hidden="1" customHeight="1" x14ac:dyDescent="0.25">
      <c r="A120" s="979" t="s">
        <v>280</v>
      </c>
      <c r="B120" s="207" t="s">
        <v>294</v>
      </c>
      <c r="C120" s="194">
        <v>2373758000</v>
      </c>
      <c r="D120" s="193">
        <v>5305204085</v>
      </c>
      <c r="E120" s="950">
        <v>5916704833</v>
      </c>
      <c r="F120" s="950">
        <v>4853877940</v>
      </c>
      <c r="G120" s="950">
        <v>4853877940</v>
      </c>
      <c r="H120" s="952">
        <f>G120/E120</f>
        <v>0.8203684444300553</v>
      </c>
      <c r="I120" s="49"/>
      <c r="O120" s="2"/>
    </row>
    <row r="121" spans="1:15" ht="15.75" hidden="1" customHeight="1" x14ac:dyDescent="0.25">
      <c r="A121" s="949"/>
      <c r="B121" s="209" t="s">
        <v>295</v>
      </c>
      <c r="C121" s="197">
        <v>5500000000</v>
      </c>
      <c r="D121" s="231">
        <v>5500000000</v>
      </c>
      <c r="E121" s="949"/>
      <c r="F121" s="949"/>
      <c r="G121" s="949"/>
      <c r="H121" s="949"/>
      <c r="I121" s="49"/>
      <c r="O121" s="2"/>
    </row>
    <row r="122" spans="1:15" ht="15.75" hidden="1" customHeight="1" x14ac:dyDescent="0.25">
      <c r="A122" s="949"/>
      <c r="B122" s="209" t="s">
        <v>296</v>
      </c>
      <c r="C122" s="197">
        <v>13435346000</v>
      </c>
      <c r="D122" s="231">
        <v>6748645327</v>
      </c>
      <c r="E122" s="949"/>
      <c r="F122" s="949"/>
      <c r="G122" s="949"/>
      <c r="H122" s="949"/>
      <c r="I122" s="49"/>
      <c r="O122" s="2"/>
    </row>
    <row r="123" spans="1:15" ht="15.75" hidden="1" customHeight="1" x14ac:dyDescent="0.25">
      <c r="A123" s="949"/>
      <c r="B123" s="209" t="s">
        <v>297</v>
      </c>
      <c r="C123" s="197">
        <v>3186932000</v>
      </c>
      <c r="D123" s="231">
        <v>3186932000</v>
      </c>
      <c r="E123" s="949"/>
      <c r="F123" s="949"/>
      <c r="G123" s="949"/>
      <c r="H123" s="949"/>
      <c r="I123" s="49"/>
      <c r="O123" s="2"/>
    </row>
    <row r="124" spans="1:15" ht="15.75" hidden="1" customHeight="1" x14ac:dyDescent="0.25">
      <c r="A124" s="949"/>
      <c r="B124" s="209" t="s">
        <v>307</v>
      </c>
      <c r="C124" s="197">
        <v>0</v>
      </c>
      <c r="D124" s="231">
        <v>68553915</v>
      </c>
      <c r="E124" s="949"/>
      <c r="F124" s="949"/>
      <c r="G124" s="949"/>
      <c r="H124" s="949"/>
      <c r="I124" s="49"/>
      <c r="O124" s="2"/>
    </row>
    <row r="125" spans="1:15" ht="15.75" hidden="1" customHeight="1" x14ac:dyDescent="0.25">
      <c r="A125" s="949"/>
      <c r="B125" s="209" t="s">
        <v>298</v>
      </c>
      <c r="C125" s="197">
        <v>103930000</v>
      </c>
      <c r="D125" s="231">
        <v>103930000</v>
      </c>
      <c r="E125" s="949"/>
      <c r="F125" s="949"/>
      <c r="G125" s="949"/>
      <c r="H125" s="949"/>
      <c r="I125" s="49"/>
      <c r="O125" s="2"/>
    </row>
    <row r="126" spans="1:15" ht="15.75" hidden="1" customHeight="1" x14ac:dyDescent="0.25">
      <c r="A126" s="949"/>
      <c r="B126" s="209" t="s">
        <v>299</v>
      </c>
      <c r="C126" s="197">
        <f>304104000+35002000</f>
        <v>339106000</v>
      </c>
      <c r="D126" s="231">
        <v>339106000</v>
      </c>
      <c r="E126" s="949"/>
      <c r="F126" s="949"/>
      <c r="G126" s="949"/>
      <c r="H126" s="949"/>
      <c r="I126" s="49"/>
      <c r="O126" s="2"/>
    </row>
    <row r="127" spans="1:15" ht="15.75" hidden="1" customHeight="1" x14ac:dyDescent="0.25">
      <c r="A127" s="949"/>
      <c r="B127" s="209" t="s">
        <v>300</v>
      </c>
      <c r="C127" s="197">
        <v>298778000</v>
      </c>
      <c r="D127" s="231">
        <v>298778000</v>
      </c>
      <c r="E127" s="949"/>
      <c r="F127" s="949"/>
      <c r="G127" s="949"/>
      <c r="H127" s="949"/>
      <c r="I127" s="49"/>
      <c r="O127" s="2"/>
    </row>
    <row r="128" spans="1:15" ht="15.75" hidden="1" customHeight="1" thickBot="1" x14ac:dyDescent="0.3">
      <c r="A128" s="949"/>
      <c r="B128" s="209" t="s">
        <v>301</v>
      </c>
      <c r="C128" s="201">
        <v>119254000</v>
      </c>
      <c r="D128" s="210">
        <v>119254000</v>
      </c>
      <c r="E128" s="949"/>
      <c r="F128" s="949"/>
      <c r="G128" s="949"/>
      <c r="H128" s="949"/>
      <c r="I128" s="49"/>
      <c r="O128" s="2"/>
    </row>
    <row r="129" spans="1:15" ht="15.75" hidden="1" customHeight="1" x14ac:dyDescent="0.25">
      <c r="A129" s="979" t="s">
        <v>281</v>
      </c>
      <c r="B129" s="207" t="s">
        <v>294</v>
      </c>
      <c r="C129" s="193">
        <v>2373758000</v>
      </c>
      <c r="D129" s="232">
        <v>5204572276</v>
      </c>
      <c r="E129" s="964">
        <v>9516704647</v>
      </c>
      <c r="F129" s="967">
        <v>5101166940</v>
      </c>
      <c r="G129" s="964">
        <v>5101166940</v>
      </c>
      <c r="H129" s="952">
        <f>G129/E129</f>
        <v>0.53602240788339139</v>
      </c>
      <c r="I129" s="49"/>
      <c r="O129" s="2"/>
    </row>
    <row r="130" spans="1:15" ht="15.75" hidden="1" customHeight="1" x14ac:dyDescent="0.25">
      <c r="A130" s="949"/>
      <c r="B130" s="209" t="s">
        <v>295</v>
      </c>
      <c r="C130" s="196">
        <v>5500000000</v>
      </c>
      <c r="D130" s="233">
        <v>5500000000</v>
      </c>
      <c r="E130" s="949"/>
      <c r="F130" s="704"/>
      <c r="G130" s="949"/>
      <c r="H130" s="949"/>
      <c r="I130" s="49"/>
      <c r="O130" s="2"/>
    </row>
    <row r="131" spans="1:15" ht="15.75" hidden="1" customHeight="1" x14ac:dyDescent="0.25">
      <c r="A131" s="949"/>
      <c r="B131" s="209" t="s">
        <v>296</v>
      </c>
      <c r="C131" s="196">
        <v>13435346000</v>
      </c>
      <c r="D131" s="233">
        <v>6748645327</v>
      </c>
      <c r="E131" s="949"/>
      <c r="F131" s="704"/>
      <c r="G131" s="949"/>
      <c r="H131" s="949"/>
      <c r="I131" s="49"/>
      <c r="O131" s="2"/>
    </row>
    <row r="132" spans="1:15" ht="15.75" hidden="1" customHeight="1" x14ac:dyDescent="0.25">
      <c r="A132" s="949"/>
      <c r="B132" s="209" t="s">
        <v>297</v>
      </c>
      <c r="C132" s="196">
        <v>3186932000</v>
      </c>
      <c r="D132" s="233">
        <v>3186932000</v>
      </c>
      <c r="E132" s="949"/>
      <c r="F132" s="704"/>
      <c r="G132" s="949"/>
      <c r="H132" s="949"/>
      <c r="I132" s="49"/>
      <c r="O132" s="2"/>
    </row>
    <row r="133" spans="1:15" ht="15.75" hidden="1" customHeight="1" x14ac:dyDescent="0.25">
      <c r="A133" s="949"/>
      <c r="B133" s="209" t="s">
        <v>307</v>
      </c>
      <c r="C133" s="196">
        <v>0</v>
      </c>
      <c r="D133" s="233">
        <v>69624315</v>
      </c>
      <c r="E133" s="949"/>
      <c r="F133" s="704"/>
      <c r="G133" s="949"/>
      <c r="H133" s="949"/>
      <c r="I133" s="49"/>
      <c r="O133" s="2"/>
    </row>
    <row r="134" spans="1:15" ht="15.75" hidden="1" customHeight="1" x14ac:dyDescent="0.25">
      <c r="A134" s="949"/>
      <c r="B134" s="209" t="s">
        <v>298</v>
      </c>
      <c r="C134" s="196">
        <v>103930000</v>
      </c>
      <c r="D134" s="233">
        <v>103930000</v>
      </c>
      <c r="E134" s="949"/>
      <c r="F134" s="704"/>
      <c r="G134" s="949"/>
      <c r="H134" s="949"/>
      <c r="I134" s="49"/>
      <c r="O134" s="2"/>
    </row>
    <row r="135" spans="1:15" ht="15.75" hidden="1" customHeight="1" x14ac:dyDescent="0.25">
      <c r="A135" s="949"/>
      <c r="B135" s="209" t="s">
        <v>299</v>
      </c>
      <c r="C135" s="196">
        <f>304104000+35002000</f>
        <v>339106000</v>
      </c>
      <c r="D135" s="233">
        <v>339106000</v>
      </c>
      <c r="E135" s="949"/>
      <c r="F135" s="704"/>
      <c r="G135" s="949"/>
      <c r="H135" s="949"/>
      <c r="I135" s="49"/>
      <c r="O135" s="2"/>
    </row>
    <row r="136" spans="1:15" ht="15.75" hidden="1" customHeight="1" x14ac:dyDescent="0.25">
      <c r="A136" s="949"/>
      <c r="B136" s="209" t="s">
        <v>300</v>
      </c>
      <c r="C136" s="196">
        <v>298778000</v>
      </c>
      <c r="D136" s="233">
        <v>398339409</v>
      </c>
      <c r="E136" s="949"/>
      <c r="F136" s="704"/>
      <c r="G136" s="949"/>
      <c r="H136" s="949"/>
      <c r="I136" s="49"/>
      <c r="O136" s="2"/>
    </row>
    <row r="137" spans="1:15" ht="15.75" hidden="1" customHeight="1" thickBot="1" x14ac:dyDescent="0.3">
      <c r="A137" s="949"/>
      <c r="B137" s="209" t="s">
        <v>301</v>
      </c>
      <c r="C137" s="219">
        <v>119254000</v>
      </c>
      <c r="D137" s="234">
        <v>119254000</v>
      </c>
      <c r="E137" s="949"/>
      <c r="F137" s="704"/>
      <c r="G137" s="949"/>
      <c r="H137" s="949"/>
      <c r="I137" s="49"/>
      <c r="O137" s="2"/>
    </row>
    <row r="138" spans="1:15" ht="15.75" hidden="1" customHeight="1" x14ac:dyDescent="0.25">
      <c r="A138" s="979" t="s">
        <v>282</v>
      </c>
      <c r="B138" s="207" t="s">
        <v>294</v>
      </c>
      <c r="C138" s="224">
        <v>2373758000</v>
      </c>
      <c r="D138" s="225">
        <v>5204572276</v>
      </c>
      <c r="E138" s="972">
        <v>14893148149</v>
      </c>
      <c r="F138" s="967">
        <v>7415332255</v>
      </c>
      <c r="G138" s="964">
        <v>7415332255</v>
      </c>
      <c r="H138" s="970">
        <v>0.49790000000000001</v>
      </c>
      <c r="I138" s="49"/>
      <c r="O138" s="2"/>
    </row>
    <row r="139" spans="1:15" ht="15.75" hidden="1" customHeight="1" x14ac:dyDescent="0.25">
      <c r="A139" s="949"/>
      <c r="B139" s="209" t="s">
        <v>295</v>
      </c>
      <c r="C139" s="226">
        <v>5500000000</v>
      </c>
      <c r="D139" s="227">
        <v>5500000000</v>
      </c>
      <c r="E139" s="732"/>
      <c r="F139" s="704"/>
      <c r="G139" s="949"/>
      <c r="H139" s="732"/>
      <c r="I139" s="49"/>
      <c r="O139" s="2"/>
    </row>
    <row r="140" spans="1:15" ht="15.75" hidden="1" customHeight="1" x14ac:dyDescent="0.25">
      <c r="A140" s="949"/>
      <c r="B140" s="209" t="s">
        <v>296</v>
      </c>
      <c r="C140" s="226">
        <v>13435346000</v>
      </c>
      <c r="D140" s="227">
        <v>6748645327</v>
      </c>
      <c r="E140" s="732"/>
      <c r="F140" s="704"/>
      <c r="G140" s="949"/>
      <c r="H140" s="732"/>
      <c r="I140" s="49"/>
      <c r="O140" s="2"/>
    </row>
    <row r="141" spans="1:15" ht="15.75" hidden="1" customHeight="1" x14ac:dyDescent="0.25">
      <c r="A141" s="949"/>
      <c r="B141" s="209" t="s">
        <v>297</v>
      </c>
      <c r="C141" s="226">
        <v>3186932000</v>
      </c>
      <c r="D141" s="227">
        <v>3012462631</v>
      </c>
      <c r="E141" s="732"/>
      <c r="F141" s="704"/>
      <c r="G141" s="949"/>
      <c r="H141" s="732"/>
      <c r="I141" s="49"/>
      <c r="O141" s="2"/>
    </row>
    <row r="142" spans="1:15" ht="15.75" hidden="1" customHeight="1" x14ac:dyDescent="0.25">
      <c r="A142" s="949"/>
      <c r="B142" s="209" t="s">
        <v>307</v>
      </c>
      <c r="C142" s="226">
        <v>0</v>
      </c>
      <c r="D142" s="227">
        <f>68553915+1070400</f>
        <v>69624315</v>
      </c>
      <c r="E142" s="732"/>
      <c r="F142" s="704"/>
      <c r="G142" s="949"/>
      <c r="H142" s="732"/>
      <c r="I142" s="49"/>
      <c r="O142" s="2"/>
    </row>
    <row r="143" spans="1:15" ht="15.75" hidden="1" customHeight="1" x14ac:dyDescent="0.25">
      <c r="A143" s="949"/>
      <c r="B143" s="209" t="s">
        <v>298</v>
      </c>
      <c r="C143" s="226">
        <v>103930000</v>
      </c>
      <c r="D143" s="227">
        <v>103930000</v>
      </c>
      <c r="E143" s="732"/>
      <c r="F143" s="704"/>
      <c r="G143" s="949"/>
      <c r="H143" s="732"/>
      <c r="I143" s="49"/>
      <c r="O143" s="2"/>
    </row>
    <row r="144" spans="1:15" ht="15.75" hidden="1" customHeight="1" x14ac:dyDescent="0.25">
      <c r="A144" s="949"/>
      <c r="B144" s="209" t="s">
        <v>299</v>
      </c>
      <c r="C144" s="226">
        <f>304104000+35002000</f>
        <v>339106000</v>
      </c>
      <c r="D144" s="227">
        <v>339106000</v>
      </c>
      <c r="E144" s="732"/>
      <c r="F144" s="704"/>
      <c r="G144" s="949"/>
      <c r="H144" s="732"/>
      <c r="I144" s="49"/>
      <c r="O144" s="2"/>
    </row>
    <row r="145" spans="1:15" ht="15.75" hidden="1" customHeight="1" x14ac:dyDescent="0.25">
      <c r="A145" s="949"/>
      <c r="B145" s="209" t="s">
        <v>300</v>
      </c>
      <c r="C145" s="226">
        <v>298778000</v>
      </c>
      <c r="D145" s="227">
        <v>398339409</v>
      </c>
      <c r="E145" s="732"/>
      <c r="F145" s="704"/>
      <c r="G145" s="949"/>
      <c r="H145" s="732"/>
      <c r="I145" s="49"/>
      <c r="O145" s="2"/>
    </row>
    <row r="146" spans="1:15" ht="15.75" hidden="1" customHeight="1" thickBot="1" x14ac:dyDescent="0.3">
      <c r="A146" s="951"/>
      <c r="B146" s="213" t="s">
        <v>301</v>
      </c>
      <c r="C146" s="235">
        <v>119254000</v>
      </c>
      <c r="D146" s="236">
        <v>119254000</v>
      </c>
      <c r="E146" s="714"/>
      <c r="F146" s="706"/>
      <c r="G146" s="951"/>
      <c r="H146" s="714"/>
      <c r="I146" s="49"/>
      <c r="O146" s="2"/>
    </row>
    <row r="147" spans="1:15" ht="15.75" customHeight="1" x14ac:dyDescent="0.25">
      <c r="I147" s="49"/>
      <c r="O147" s="2"/>
    </row>
    <row r="148" spans="1:15" ht="20.25" hidden="1" customHeight="1" thickBot="1" x14ac:dyDescent="0.3">
      <c r="A148" s="973" t="s">
        <v>308</v>
      </c>
      <c r="B148" s="836"/>
      <c r="C148" s="836"/>
      <c r="D148" s="836"/>
      <c r="E148" s="836"/>
      <c r="F148" s="836"/>
      <c r="G148" s="836"/>
      <c r="H148" s="837"/>
      <c r="O148" s="2"/>
    </row>
    <row r="149" spans="1:15" ht="25.5" hidden="1" customHeight="1" thickBot="1" x14ac:dyDescent="0.3">
      <c r="A149" s="54" t="s">
        <v>27</v>
      </c>
      <c r="B149" s="55" t="s">
        <v>265</v>
      </c>
      <c r="C149" s="55" t="s">
        <v>266</v>
      </c>
      <c r="D149" s="55" t="s">
        <v>267</v>
      </c>
      <c r="E149" s="55" t="s">
        <v>268</v>
      </c>
      <c r="F149" s="55" t="s">
        <v>269</v>
      </c>
      <c r="G149" s="55" t="s">
        <v>270</v>
      </c>
      <c r="H149" s="56" t="s">
        <v>271</v>
      </c>
      <c r="O149" s="2"/>
    </row>
    <row r="150" spans="1:15" ht="15" hidden="1" customHeight="1" x14ac:dyDescent="0.25">
      <c r="A150" s="974" t="s">
        <v>284</v>
      </c>
      <c r="B150" s="31" t="s">
        <v>294</v>
      </c>
      <c r="C150" s="57">
        <v>3578520000</v>
      </c>
      <c r="D150" s="57">
        <v>3578520000</v>
      </c>
      <c r="E150" s="971">
        <v>3363224000</v>
      </c>
      <c r="F150" s="971">
        <v>3363224000</v>
      </c>
      <c r="G150" s="971">
        <v>0</v>
      </c>
      <c r="H150" s="975">
        <f>G150/E150</f>
        <v>0</v>
      </c>
      <c r="O150" s="2"/>
    </row>
    <row r="151" spans="1:15" ht="15" hidden="1" customHeight="1" x14ac:dyDescent="0.25">
      <c r="A151" s="756"/>
      <c r="B151" s="33" t="s">
        <v>295</v>
      </c>
      <c r="C151" s="59">
        <v>6540379000</v>
      </c>
      <c r="D151" s="59">
        <v>6540379000</v>
      </c>
      <c r="E151" s="752"/>
      <c r="F151" s="752"/>
      <c r="G151" s="752"/>
      <c r="H151" s="941"/>
      <c r="O151" s="2"/>
    </row>
    <row r="152" spans="1:15" ht="15" hidden="1" customHeight="1" x14ac:dyDescent="0.25">
      <c r="A152" s="756"/>
      <c r="B152" s="33" t="s">
        <v>309</v>
      </c>
      <c r="C152" s="59">
        <v>16090000000</v>
      </c>
      <c r="D152" s="59">
        <v>16090000000</v>
      </c>
      <c r="E152" s="752"/>
      <c r="F152" s="752"/>
      <c r="G152" s="752"/>
      <c r="H152" s="941"/>
      <c r="O152" s="2"/>
    </row>
    <row r="153" spans="1:15" ht="15" hidden="1" customHeight="1" x14ac:dyDescent="0.25">
      <c r="A153" s="756"/>
      <c r="B153" s="33" t="s">
        <v>310</v>
      </c>
      <c r="C153" s="59">
        <v>1490000</v>
      </c>
      <c r="D153" s="59">
        <v>1490000</v>
      </c>
      <c r="E153" s="752"/>
      <c r="F153" s="752"/>
      <c r="G153" s="752"/>
      <c r="H153" s="941"/>
      <c r="O153" s="2"/>
    </row>
    <row r="154" spans="1:15" ht="15" hidden="1" customHeight="1" thickBot="1" x14ac:dyDescent="0.3">
      <c r="A154" s="757"/>
      <c r="B154" s="35" t="s">
        <v>311</v>
      </c>
      <c r="C154" s="60">
        <v>461036000</v>
      </c>
      <c r="D154" s="60">
        <v>461036000</v>
      </c>
      <c r="E154" s="753"/>
      <c r="F154" s="753"/>
      <c r="G154" s="753"/>
      <c r="H154" s="842"/>
      <c r="O154" s="2"/>
    </row>
    <row r="155" spans="1:15" ht="15" hidden="1" customHeight="1" x14ac:dyDescent="0.25">
      <c r="A155" s="974" t="s">
        <v>293</v>
      </c>
      <c r="B155" s="31" t="s">
        <v>294</v>
      </c>
      <c r="C155" s="57">
        <v>3578520000</v>
      </c>
      <c r="D155" s="57">
        <v>3567896027</v>
      </c>
      <c r="E155" s="971">
        <v>3363224000</v>
      </c>
      <c r="F155" s="971">
        <v>3363224000</v>
      </c>
      <c r="G155" s="971">
        <v>303260309</v>
      </c>
      <c r="H155" s="975">
        <f>G155/E155</f>
        <v>9.0169524539548962E-2</v>
      </c>
      <c r="O155" s="2"/>
    </row>
    <row r="156" spans="1:15" ht="15" hidden="1" customHeight="1" x14ac:dyDescent="0.25">
      <c r="A156" s="756"/>
      <c r="B156" s="33" t="s">
        <v>295</v>
      </c>
      <c r="C156" s="59">
        <v>6540379000</v>
      </c>
      <c r="D156" s="59">
        <v>6540379000</v>
      </c>
      <c r="E156" s="752"/>
      <c r="F156" s="752"/>
      <c r="G156" s="752"/>
      <c r="H156" s="941"/>
      <c r="O156" s="2"/>
    </row>
    <row r="157" spans="1:15" ht="15" hidden="1" customHeight="1" x14ac:dyDescent="0.25">
      <c r="A157" s="756"/>
      <c r="B157" s="33" t="s">
        <v>309</v>
      </c>
      <c r="C157" s="59">
        <v>16090000000</v>
      </c>
      <c r="D157" s="59">
        <v>16090000000</v>
      </c>
      <c r="E157" s="752"/>
      <c r="F157" s="752"/>
      <c r="G157" s="752"/>
      <c r="H157" s="941"/>
      <c r="O157" s="2"/>
    </row>
    <row r="158" spans="1:15" ht="15" hidden="1" customHeight="1" x14ac:dyDescent="0.25">
      <c r="A158" s="756"/>
      <c r="B158" s="33" t="s">
        <v>310</v>
      </c>
      <c r="C158" s="59">
        <v>1490000</v>
      </c>
      <c r="D158" s="59">
        <v>1490000</v>
      </c>
      <c r="E158" s="752"/>
      <c r="F158" s="752"/>
      <c r="G158" s="752"/>
      <c r="H158" s="941"/>
      <c r="O158" s="2"/>
    </row>
    <row r="159" spans="1:15" ht="15" hidden="1" customHeight="1" thickBot="1" x14ac:dyDescent="0.3">
      <c r="A159" s="757"/>
      <c r="B159" s="35" t="s">
        <v>311</v>
      </c>
      <c r="C159" s="60">
        <v>461036000</v>
      </c>
      <c r="D159" s="60">
        <v>471659973</v>
      </c>
      <c r="E159" s="753"/>
      <c r="F159" s="753"/>
      <c r="G159" s="806"/>
      <c r="H159" s="842"/>
      <c r="O159" s="2"/>
    </row>
    <row r="160" spans="1:15" ht="15" hidden="1" customHeight="1" x14ac:dyDescent="0.25">
      <c r="A160" s="974" t="s">
        <v>302</v>
      </c>
      <c r="B160" s="48" t="s">
        <v>294</v>
      </c>
      <c r="C160" s="57">
        <v>3578520000</v>
      </c>
      <c r="D160" s="61">
        <v>3578520000</v>
      </c>
      <c r="E160" s="971">
        <v>3363224000</v>
      </c>
      <c r="F160" s="971">
        <v>3363224000</v>
      </c>
      <c r="G160" s="971">
        <v>303260309</v>
      </c>
      <c r="H160" s="975">
        <f>G160/E160</f>
        <v>9.0169524539548962E-2</v>
      </c>
      <c r="O160" s="2"/>
    </row>
    <row r="161" spans="1:15" ht="15" hidden="1" customHeight="1" x14ac:dyDescent="0.25">
      <c r="A161" s="756"/>
      <c r="B161" s="49" t="s">
        <v>295</v>
      </c>
      <c r="C161" s="59">
        <v>6540379000</v>
      </c>
      <c r="D161" s="62">
        <v>6540379000</v>
      </c>
      <c r="E161" s="752"/>
      <c r="F161" s="752"/>
      <c r="G161" s="752"/>
      <c r="H161" s="941"/>
      <c r="O161" s="2"/>
    </row>
    <row r="162" spans="1:15" ht="15" hidden="1" customHeight="1" x14ac:dyDescent="0.25">
      <c r="A162" s="756"/>
      <c r="B162" s="49" t="s">
        <v>309</v>
      </c>
      <c r="C162" s="59">
        <v>16090000000</v>
      </c>
      <c r="D162" s="62">
        <v>16090000000</v>
      </c>
      <c r="E162" s="752"/>
      <c r="F162" s="752"/>
      <c r="G162" s="752"/>
      <c r="H162" s="941"/>
      <c r="O162" s="2"/>
    </row>
    <row r="163" spans="1:15" ht="15" hidden="1" customHeight="1" x14ac:dyDescent="0.25">
      <c r="A163" s="756"/>
      <c r="B163" s="49" t="s">
        <v>310</v>
      </c>
      <c r="C163" s="59">
        <v>1490000</v>
      </c>
      <c r="D163" s="62">
        <v>1490000</v>
      </c>
      <c r="E163" s="752"/>
      <c r="F163" s="752"/>
      <c r="G163" s="752"/>
      <c r="H163" s="941"/>
      <c r="O163" s="2"/>
    </row>
    <row r="164" spans="1:15" ht="15" hidden="1" customHeight="1" thickBot="1" x14ac:dyDescent="0.3">
      <c r="A164" s="756"/>
      <c r="B164" s="49" t="s">
        <v>311</v>
      </c>
      <c r="C164" s="63">
        <v>461036000</v>
      </c>
      <c r="D164" s="62">
        <v>461036000</v>
      </c>
      <c r="E164" s="806"/>
      <c r="F164" s="806"/>
      <c r="G164" s="806"/>
      <c r="H164" s="977"/>
      <c r="O164" s="2"/>
    </row>
    <row r="165" spans="1:15" ht="15" hidden="1" customHeight="1" x14ac:dyDescent="0.25">
      <c r="A165" s="983" t="s">
        <v>303</v>
      </c>
      <c r="B165" s="31" t="s">
        <v>294</v>
      </c>
      <c r="C165" s="57">
        <v>3578520000</v>
      </c>
      <c r="D165" s="64">
        <v>3578520000</v>
      </c>
      <c r="E165" s="964">
        <v>3933484589</v>
      </c>
      <c r="F165" s="964">
        <v>3933484589</v>
      </c>
      <c r="G165" s="964">
        <v>303260309</v>
      </c>
      <c r="H165" s="952">
        <f>G165/E165</f>
        <v>7.7097113802878051E-2</v>
      </c>
      <c r="O165" s="2"/>
    </row>
    <row r="166" spans="1:15" ht="15" hidden="1" customHeight="1" x14ac:dyDescent="0.25">
      <c r="A166" s="756"/>
      <c r="B166" s="33" t="s">
        <v>295</v>
      </c>
      <c r="C166" s="59">
        <v>6540379000</v>
      </c>
      <c r="D166" s="65">
        <v>6540379000</v>
      </c>
      <c r="E166" s="949"/>
      <c r="F166" s="949"/>
      <c r="G166" s="949"/>
      <c r="H166" s="949"/>
      <c r="O166" s="2"/>
    </row>
    <row r="167" spans="1:15" ht="15" hidden="1" customHeight="1" x14ac:dyDescent="0.25">
      <c r="A167" s="756"/>
      <c r="B167" s="33" t="s">
        <v>309</v>
      </c>
      <c r="C167" s="59">
        <v>16090000000</v>
      </c>
      <c r="D167" s="65">
        <v>16090000000</v>
      </c>
      <c r="E167" s="949"/>
      <c r="F167" s="949"/>
      <c r="G167" s="949"/>
      <c r="H167" s="949"/>
      <c r="O167" s="2"/>
    </row>
    <row r="168" spans="1:15" ht="15" hidden="1" customHeight="1" x14ac:dyDescent="0.25">
      <c r="A168" s="756"/>
      <c r="B168" s="33" t="s">
        <v>310</v>
      </c>
      <c r="C168" s="59">
        <v>1490000</v>
      </c>
      <c r="D168" s="65">
        <v>1490000</v>
      </c>
      <c r="E168" s="949"/>
      <c r="F168" s="949"/>
      <c r="G168" s="949"/>
      <c r="H168" s="949"/>
      <c r="O168" s="2"/>
    </row>
    <row r="169" spans="1:15" ht="15" hidden="1" customHeight="1" thickBot="1" x14ac:dyDescent="0.3">
      <c r="A169" s="980"/>
      <c r="B169" s="37" t="s">
        <v>311</v>
      </c>
      <c r="C169" s="63">
        <v>461036000</v>
      </c>
      <c r="D169" s="66">
        <v>461036000</v>
      </c>
      <c r="E169" s="982"/>
      <c r="F169" s="982"/>
      <c r="G169" s="982"/>
      <c r="H169" s="982"/>
      <c r="O169" s="2"/>
    </row>
    <row r="170" spans="1:15" ht="15" hidden="1" customHeight="1" x14ac:dyDescent="0.25">
      <c r="A170" s="983" t="s">
        <v>305</v>
      </c>
      <c r="B170" s="39" t="s">
        <v>312</v>
      </c>
      <c r="C170" s="57">
        <v>3578520000</v>
      </c>
      <c r="D170" s="67">
        <v>3578520000</v>
      </c>
      <c r="E170" s="976">
        <v>3996539289</v>
      </c>
      <c r="F170" s="964">
        <v>3996539289</v>
      </c>
      <c r="G170" s="976">
        <v>1072410231</v>
      </c>
      <c r="H170" s="970">
        <f>G170/E170</f>
        <v>0.26833471497494893</v>
      </c>
      <c r="O170" s="2"/>
    </row>
    <row r="171" spans="1:15" ht="15" hidden="1" customHeight="1" x14ac:dyDescent="0.25">
      <c r="A171" s="756"/>
      <c r="B171" s="40" t="s">
        <v>313</v>
      </c>
      <c r="C171" s="59">
        <v>6540379000</v>
      </c>
      <c r="D171" s="68">
        <v>6540379000</v>
      </c>
      <c r="E171" s="949"/>
      <c r="F171" s="949"/>
      <c r="G171" s="949"/>
      <c r="H171" s="732"/>
      <c r="O171" s="2"/>
    </row>
    <row r="172" spans="1:15" ht="15" hidden="1" customHeight="1" x14ac:dyDescent="0.25">
      <c r="A172" s="756"/>
      <c r="B172" s="40" t="s">
        <v>314</v>
      </c>
      <c r="C172" s="59">
        <v>16090000000</v>
      </c>
      <c r="D172" s="68">
        <v>16090000000</v>
      </c>
      <c r="E172" s="949"/>
      <c r="F172" s="949"/>
      <c r="G172" s="949"/>
      <c r="H172" s="732"/>
      <c r="O172" s="2"/>
    </row>
    <row r="173" spans="1:15" ht="15" hidden="1" customHeight="1" x14ac:dyDescent="0.25">
      <c r="A173" s="756"/>
      <c r="B173" s="40" t="s">
        <v>315</v>
      </c>
      <c r="C173" s="59">
        <v>1490000</v>
      </c>
      <c r="D173" s="68">
        <v>1490000</v>
      </c>
      <c r="E173" s="949"/>
      <c r="F173" s="949"/>
      <c r="G173" s="949"/>
      <c r="H173" s="732"/>
      <c r="O173" s="2"/>
    </row>
    <row r="174" spans="1:15" ht="15" hidden="1" customHeight="1" thickBot="1" x14ac:dyDescent="0.3">
      <c r="A174" s="757"/>
      <c r="B174" s="41" t="s">
        <v>316</v>
      </c>
      <c r="C174" s="60">
        <v>461036000</v>
      </c>
      <c r="D174" s="69">
        <v>461036000</v>
      </c>
      <c r="E174" s="951"/>
      <c r="F174" s="951"/>
      <c r="G174" s="951"/>
      <c r="H174" s="714"/>
      <c r="O174" s="2"/>
    </row>
    <row r="175" spans="1:15" ht="18" hidden="1" customHeight="1" thickBot="1" x14ac:dyDescent="0.3">
      <c r="A175" s="70" t="s">
        <v>306</v>
      </c>
      <c r="B175" s="261"/>
      <c r="C175" s="71">
        <v>26671425000</v>
      </c>
      <c r="D175" s="72">
        <v>26943312887</v>
      </c>
      <c r="E175" s="73">
        <v>4046539289</v>
      </c>
      <c r="F175" s="73">
        <v>4046539289</v>
      </c>
      <c r="G175" s="73">
        <v>1304354231</v>
      </c>
      <c r="H175" s="74">
        <f t="shared" ref="H175:H181" si="0">G175/E175</f>
        <v>0.32233820997258578</v>
      </c>
      <c r="O175" s="2"/>
    </row>
    <row r="176" spans="1:15" ht="15" hidden="1" customHeight="1" thickBot="1" x14ac:dyDescent="0.3">
      <c r="A176" s="75" t="s">
        <v>272</v>
      </c>
      <c r="B176" s="262"/>
      <c r="C176" s="71">
        <v>26671425000</v>
      </c>
      <c r="D176" s="72">
        <v>26943312887</v>
      </c>
      <c r="E176" s="73">
        <v>4106917922</v>
      </c>
      <c r="F176" s="73">
        <v>4106917922</v>
      </c>
      <c r="G176" s="73">
        <v>1776500697.72</v>
      </c>
      <c r="H176" s="74">
        <f t="shared" si="0"/>
        <v>0.43256299041274093</v>
      </c>
      <c r="O176" s="2"/>
    </row>
    <row r="177" spans="1:15" ht="15" hidden="1" customHeight="1" thickBot="1" x14ac:dyDescent="0.3">
      <c r="A177" s="51" t="s">
        <v>278</v>
      </c>
      <c r="B177" s="263"/>
      <c r="C177" s="76">
        <v>26671425000</v>
      </c>
      <c r="D177" s="77">
        <f>26943312887+800000000</f>
        <v>27743312887</v>
      </c>
      <c r="E177" s="78">
        <v>4127031936</v>
      </c>
      <c r="F177" s="78">
        <v>4127031936</v>
      </c>
      <c r="G177" s="78">
        <v>2099399327</v>
      </c>
      <c r="H177" s="58">
        <f t="shared" si="0"/>
        <v>0.50869471318770043</v>
      </c>
      <c r="I177" s="19"/>
      <c r="O177" s="2"/>
    </row>
    <row r="178" spans="1:15" ht="15.75" hidden="1" customHeight="1" thickBot="1" x14ac:dyDescent="0.3">
      <c r="A178" s="70" t="s">
        <v>279</v>
      </c>
      <c r="B178" s="261"/>
      <c r="C178" s="71">
        <v>26671425000</v>
      </c>
      <c r="D178" s="72">
        <f>26943312887+800000000</f>
        <v>27743312887</v>
      </c>
      <c r="E178" s="73">
        <v>4143061873</v>
      </c>
      <c r="F178" s="73">
        <v>4143061873</v>
      </c>
      <c r="G178" s="73">
        <v>2447707681</v>
      </c>
      <c r="H178" s="74">
        <f t="shared" si="0"/>
        <v>0.59079679619353831</v>
      </c>
      <c r="O178" s="2"/>
    </row>
    <row r="179" spans="1:15" ht="15.75" hidden="1" customHeight="1" thickBot="1" x14ac:dyDescent="0.3">
      <c r="A179" s="79" t="s">
        <v>280</v>
      </c>
      <c r="B179" s="80"/>
      <c r="C179" s="71">
        <v>26671425000</v>
      </c>
      <c r="D179" s="72">
        <v>27629312887</v>
      </c>
      <c r="E179" s="73">
        <v>4201990873</v>
      </c>
      <c r="F179" s="73">
        <v>4201990873</v>
      </c>
      <c r="G179" s="73">
        <v>2775426367</v>
      </c>
      <c r="H179" s="74">
        <f t="shared" si="0"/>
        <v>0.66050271190105936</v>
      </c>
      <c r="O179" s="2"/>
    </row>
    <row r="180" spans="1:15" ht="15.75" hidden="1" customHeight="1" thickBot="1" x14ac:dyDescent="0.3">
      <c r="A180" s="81" t="s">
        <v>281</v>
      </c>
      <c r="B180" s="40"/>
      <c r="C180" s="71">
        <v>27629312887</v>
      </c>
      <c r="D180" s="72">
        <v>27629312887</v>
      </c>
      <c r="E180" s="73">
        <v>10118843306</v>
      </c>
      <c r="F180" s="73">
        <v>10118843306</v>
      </c>
      <c r="G180" s="73">
        <v>3242147592</v>
      </c>
      <c r="H180" s="74">
        <f t="shared" si="0"/>
        <v>0.32040693723140851</v>
      </c>
      <c r="I180" s="53"/>
      <c r="O180" s="2"/>
    </row>
    <row r="181" spans="1:15" ht="15.75" hidden="1" customHeight="1" thickBot="1" x14ac:dyDescent="0.3">
      <c r="A181" s="82" t="s">
        <v>282</v>
      </c>
      <c r="B181" s="41"/>
      <c r="C181" s="71">
        <v>27629312887</v>
      </c>
      <c r="D181" s="72">
        <v>27629312887</v>
      </c>
      <c r="E181" s="83">
        <v>27077179416</v>
      </c>
      <c r="F181" s="83">
        <v>27077179416</v>
      </c>
      <c r="G181" s="73">
        <v>8480876253</v>
      </c>
      <c r="H181" s="74">
        <f t="shared" si="0"/>
        <v>0.31321121460637147</v>
      </c>
      <c r="O181" s="2"/>
    </row>
    <row r="182" spans="1:15" ht="15.75" customHeight="1" thickBot="1" x14ac:dyDescent="0.3">
      <c r="D182" s="62"/>
      <c r="E182" s="84"/>
      <c r="O182" s="2"/>
    </row>
    <row r="183" spans="1:15" ht="15.75" customHeight="1" x14ac:dyDescent="0.25">
      <c r="A183" s="984" t="s">
        <v>317</v>
      </c>
      <c r="B183" s="920"/>
      <c r="C183" s="920"/>
      <c r="D183" s="920"/>
      <c r="E183" s="920"/>
      <c r="F183" s="920"/>
      <c r="G183" s="920"/>
      <c r="H183" s="921"/>
      <c r="O183" s="2"/>
    </row>
    <row r="184" spans="1:15" ht="45" customHeight="1" x14ac:dyDescent="0.25">
      <c r="A184" s="182" t="s">
        <v>28</v>
      </c>
      <c r="B184" s="86" t="s">
        <v>265</v>
      </c>
      <c r="C184" s="86" t="s">
        <v>266</v>
      </c>
      <c r="D184" s="86" t="s">
        <v>267</v>
      </c>
      <c r="E184" s="86" t="s">
        <v>268</v>
      </c>
      <c r="F184" s="86" t="s">
        <v>269</v>
      </c>
      <c r="G184" s="86" t="s">
        <v>270</v>
      </c>
      <c r="H184" s="183" t="s">
        <v>271</v>
      </c>
      <c r="O184" s="2"/>
    </row>
    <row r="185" spans="1:15" ht="15.75" customHeight="1" x14ac:dyDescent="0.25">
      <c r="A185" s="184" t="s">
        <v>284</v>
      </c>
      <c r="B185" s="40"/>
      <c r="C185" s="59">
        <v>39475813000</v>
      </c>
      <c r="D185" s="59">
        <v>39475813000</v>
      </c>
      <c r="E185" s="59">
        <v>32089737544</v>
      </c>
      <c r="F185" s="59">
        <v>32089737544</v>
      </c>
      <c r="G185" s="59">
        <v>0</v>
      </c>
      <c r="H185" s="185">
        <f>G185/E185</f>
        <v>0</v>
      </c>
      <c r="O185" s="2"/>
    </row>
    <row r="186" spans="1:15" ht="15.75" customHeight="1" x14ac:dyDescent="0.25">
      <c r="A186" s="184" t="s">
        <v>293</v>
      </c>
      <c r="B186" s="40"/>
      <c r="C186" s="59">
        <v>39475813000</v>
      </c>
      <c r="D186" s="59">
        <v>39475813000</v>
      </c>
      <c r="E186" s="59">
        <v>34259087544</v>
      </c>
      <c r="F186" s="59">
        <v>34259087544</v>
      </c>
      <c r="G186" s="59">
        <v>0</v>
      </c>
      <c r="H186" s="186">
        <f>G186/E186</f>
        <v>0</v>
      </c>
      <c r="O186" s="2"/>
    </row>
    <row r="187" spans="1:15" ht="15.75" customHeight="1" x14ac:dyDescent="0.25">
      <c r="A187" s="184" t="s">
        <v>302</v>
      </c>
      <c r="B187" s="40"/>
      <c r="C187" s="59">
        <v>39475813000</v>
      </c>
      <c r="D187" s="59">
        <v>39475813000</v>
      </c>
      <c r="E187" s="59">
        <v>34861602544</v>
      </c>
      <c r="F187" s="59">
        <v>34861602544</v>
      </c>
      <c r="G187" s="59">
        <v>65913200</v>
      </c>
      <c r="H187" s="191">
        <f t="shared" ref="H187:H193" si="1">G187/F187</f>
        <v>1.8907105580361298E-3</v>
      </c>
      <c r="O187" s="2"/>
    </row>
    <row r="188" spans="1:15" ht="15.75" customHeight="1" x14ac:dyDescent="0.25">
      <c r="A188" s="184" t="s">
        <v>303</v>
      </c>
      <c r="B188" s="40"/>
      <c r="C188" s="59">
        <v>39475813000</v>
      </c>
      <c r="D188" s="59">
        <v>39475813000</v>
      </c>
      <c r="E188" s="59">
        <v>34922707544</v>
      </c>
      <c r="F188" s="59">
        <v>34922707544</v>
      </c>
      <c r="G188" s="59">
        <v>325389700</v>
      </c>
      <c r="H188" s="191">
        <f t="shared" si="1"/>
        <v>9.3174247612397548E-3</v>
      </c>
      <c r="O188" s="2"/>
    </row>
    <row r="189" spans="1:15" ht="15.75" customHeight="1" x14ac:dyDescent="0.25">
      <c r="A189" s="367" t="s">
        <v>305</v>
      </c>
      <c r="B189" s="368"/>
      <c r="C189" s="369">
        <v>39475813000</v>
      </c>
      <c r="D189" s="369">
        <v>39475813000</v>
      </c>
      <c r="E189" s="369">
        <v>34952951037</v>
      </c>
      <c r="F189" s="369">
        <v>34952951037</v>
      </c>
      <c r="G189" s="369">
        <v>645272826</v>
      </c>
      <c r="H189" s="191">
        <f t="shared" si="1"/>
        <v>1.8461183014759932E-2</v>
      </c>
      <c r="O189" s="2"/>
    </row>
    <row r="190" spans="1:15" ht="15.75" customHeight="1" x14ac:dyDescent="0.25">
      <c r="A190" s="184" t="s">
        <v>306</v>
      </c>
      <c r="B190" s="40"/>
      <c r="C190" s="59">
        <v>39475813000</v>
      </c>
      <c r="D190" s="59">
        <v>39475813000</v>
      </c>
      <c r="E190" s="369">
        <v>34955685540</v>
      </c>
      <c r="F190" s="369">
        <v>34955685540</v>
      </c>
      <c r="G190" s="369">
        <v>1395498313</v>
      </c>
      <c r="H190" s="191">
        <f t="shared" si="1"/>
        <v>3.9921926617720684E-2</v>
      </c>
      <c r="O190" s="2"/>
    </row>
    <row r="191" spans="1:15" ht="15.75" customHeight="1" x14ac:dyDescent="0.25">
      <c r="A191" s="398" t="s">
        <v>272</v>
      </c>
      <c r="B191" s="399"/>
      <c r="C191" s="400">
        <v>39475813000</v>
      </c>
      <c r="D191" s="400">
        <v>39475813000</v>
      </c>
      <c r="E191" s="401">
        <v>34976621540</v>
      </c>
      <c r="F191" s="401">
        <v>34976621540</v>
      </c>
      <c r="G191" s="401">
        <v>2369802920</v>
      </c>
      <c r="H191" s="191">
        <f t="shared" si="1"/>
        <v>6.7753911488845298E-2</v>
      </c>
      <c r="O191" s="2"/>
    </row>
    <row r="192" spans="1:15" ht="15.75" customHeight="1" x14ac:dyDescent="0.25">
      <c r="A192" s="398" t="s">
        <v>278</v>
      </c>
      <c r="B192" s="399"/>
      <c r="C192" s="400">
        <v>39475813000</v>
      </c>
      <c r="D192" s="400">
        <v>39475813000</v>
      </c>
      <c r="E192" s="401">
        <v>34976621540</v>
      </c>
      <c r="F192" s="401">
        <v>34976621540</v>
      </c>
      <c r="G192" s="401">
        <v>3770707359</v>
      </c>
      <c r="H192" s="191">
        <f t="shared" si="1"/>
        <v>0.10780650597393289</v>
      </c>
      <c r="O192" s="2"/>
    </row>
    <row r="193" spans="1:15" ht="15.75" customHeight="1" x14ac:dyDescent="0.25">
      <c r="A193" s="398" t="s">
        <v>279</v>
      </c>
      <c r="B193" s="399"/>
      <c r="C193" s="400">
        <v>39475813000</v>
      </c>
      <c r="D193" s="400">
        <v>38986146985</v>
      </c>
      <c r="E193" s="401">
        <v>34945748440</v>
      </c>
      <c r="F193" s="401">
        <v>34945748440</v>
      </c>
      <c r="G193" s="401">
        <v>4860957367</v>
      </c>
      <c r="H193" s="191">
        <f t="shared" si="1"/>
        <v>0.13910010756661878</v>
      </c>
      <c r="O193" s="2"/>
    </row>
    <row r="194" spans="1:15" ht="15.75" customHeight="1" x14ac:dyDescent="0.25">
      <c r="A194" s="398" t="s">
        <v>280</v>
      </c>
      <c r="B194" s="399"/>
      <c r="C194" s="400">
        <v>39475813000</v>
      </c>
      <c r="D194" s="399"/>
      <c r="E194" s="399"/>
      <c r="F194" s="399"/>
      <c r="G194" s="399"/>
      <c r="H194" s="186"/>
      <c r="O194" s="2"/>
    </row>
    <row r="195" spans="1:15" ht="15.75" customHeight="1" x14ac:dyDescent="0.25">
      <c r="A195" s="398" t="s">
        <v>281</v>
      </c>
      <c r="B195" s="399"/>
      <c r="C195" s="400">
        <v>39475813000</v>
      </c>
      <c r="D195" s="399"/>
      <c r="E195" s="399"/>
      <c r="F195" s="399"/>
      <c r="G195" s="399"/>
      <c r="H195" s="186"/>
      <c r="O195" s="2"/>
    </row>
    <row r="196" spans="1:15" ht="15.75" customHeight="1" thickBot="1" x14ac:dyDescent="0.3">
      <c r="A196" s="187" t="s">
        <v>282</v>
      </c>
      <c r="B196" s="188"/>
      <c r="C196" s="189">
        <v>39475813000</v>
      </c>
      <c r="D196" s="188"/>
      <c r="E196" s="188"/>
      <c r="F196" s="188"/>
      <c r="G196" s="188"/>
      <c r="H196" s="190"/>
      <c r="O196" s="2"/>
    </row>
    <row r="197" spans="1:15" ht="15.75" customHeight="1" x14ac:dyDescent="0.25">
      <c r="O197" s="2"/>
    </row>
    <row r="198" spans="1:15" ht="15.75" hidden="1" customHeight="1" x14ac:dyDescent="0.25">
      <c r="A198" s="944"/>
      <c r="B198" s="688"/>
      <c r="C198" s="688"/>
      <c r="D198" s="688"/>
      <c r="E198" s="688"/>
      <c r="F198" s="688"/>
      <c r="G198" s="688"/>
      <c r="H198" s="766"/>
      <c r="O198" s="2"/>
    </row>
    <row r="199" spans="1:15" ht="15.75" hidden="1" customHeight="1" x14ac:dyDescent="0.25">
      <c r="A199" s="85"/>
      <c r="B199" s="86"/>
      <c r="C199" s="86"/>
      <c r="D199" s="86"/>
      <c r="E199" s="86"/>
      <c r="F199" s="86"/>
      <c r="G199" s="86"/>
      <c r="H199" s="87"/>
      <c r="O199" s="2"/>
    </row>
    <row r="200" spans="1:15" ht="15.75" hidden="1" customHeight="1" x14ac:dyDescent="0.25">
      <c r="A200" s="81"/>
      <c r="B200" s="40"/>
      <c r="C200" s="40"/>
      <c r="D200" s="40"/>
      <c r="E200" s="40"/>
      <c r="F200" s="40"/>
      <c r="G200" s="40"/>
      <c r="H200" s="88"/>
      <c r="O200" s="2"/>
    </row>
    <row r="201" spans="1:15" ht="15.75" hidden="1" customHeight="1" x14ac:dyDescent="0.25">
      <c r="A201" s="81"/>
      <c r="B201" s="40"/>
      <c r="C201" s="40"/>
      <c r="D201" s="40"/>
      <c r="E201" s="40"/>
      <c r="F201" s="40"/>
      <c r="G201" s="40"/>
      <c r="H201" s="88"/>
      <c r="O201" s="2"/>
    </row>
    <row r="202" spans="1:15" ht="15.75" hidden="1" customHeight="1" x14ac:dyDescent="0.25">
      <c r="A202" s="81"/>
      <c r="B202" s="40"/>
      <c r="C202" s="40"/>
      <c r="D202" s="40"/>
      <c r="E202" s="40"/>
      <c r="F202" s="40"/>
      <c r="G202" s="40"/>
      <c r="H202" s="88"/>
      <c r="O202" s="2"/>
    </row>
    <row r="203" spans="1:15" ht="15.75" hidden="1" customHeight="1" x14ac:dyDescent="0.25">
      <c r="A203" s="81"/>
      <c r="B203" s="40"/>
      <c r="C203" s="40"/>
      <c r="D203" s="40"/>
      <c r="E203" s="40"/>
      <c r="F203" s="40"/>
      <c r="G203" s="40"/>
      <c r="H203" s="88"/>
      <c r="O203" s="2"/>
    </row>
    <row r="204" spans="1:15" ht="15.75" hidden="1" customHeight="1" x14ac:dyDescent="0.25">
      <c r="A204" s="81"/>
      <c r="B204" s="40"/>
      <c r="C204" s="40"/>
      <c r="D204" s="40"/>
      <c r="E204" s="40"/>
      <c r="F204" s="40"/>
      <c r="G204" s="40"/>
      <c r="H204" s="88"/>
      <c r="O204" s="2"/>
    </row>
    <row r="205" spans="1:15" ht="15.75" hidden="1" customHeight="1" x14ac:dyDescent="0.25">
      <c r="A205" s="81"/>
      <c r="B205" s="40"/>
      <c r="C205" s="40"/>
      <c r="D205" s="40"/>
      <c r="E205" s="40"/>
      <c r="F205" s="40"/>
      <c r="G205" s="40"/>
      <c r="H205" s="88"/>
      <c r="O205" s="2"/>
    </row>
    <row r="206" spans="1:15" ht="15.75" hidden="1" customHeight="1" x14ac:dyDescent="0.25">
      <c r="A206" s="81"/>
      <c r="B206" s="40"/>
      <c r="C206" s="40"/>
      <c r="D206" s="40"/>
      <c r="E206" s="40"/>
      <c r="F206" s="40"/>
      <c r="G206" s="40"/>
      <c r="H206" s="88"/>
      <c r="O206" s="2"/>
    </row>
    <row r="207" spans="1:15" ht="15.75" hidden="1" customHeight="1" x14ac:dyDescent="0.25">
      <c r="A207" s="81"/>
      <c r="B207" s="40"/>
      <c r="C207" s="40"/>
      <c r="D207" s="40"/>
      <c r="E207" s="40"/>
      <c r="F207" s="40"/>
      <c r="G207" s="40"/>
      <c r="H207" s="88"/>
      <c r="O207" s="2"/>
    </row>
    <row r="208" spans="1:15" ht="15.75" hidden="1" customHeight="1" x14ac:dyDescent="0.25">
      <c r="A208" s="81"/>
      <c r="B208" s="40"/>
      <c r="C208" s="40"/>
      <c r="D208" s="40"/>
      <c r="E208" s="40"/>
      <c r="F208" s="40"/>
      <c r="G208" s="40"/>
      <c r="H208" s="88"/>
      <c r="O208" s="2"/>
    </row>
    <row r="209" spans="1:30" ht="15.75" hidden="1" customHeight="1" x14ac:dyDescent="0.25">
      <c r="A209" s="81"/>
      <c r="B209" s="40"/>
      <c r="C209" s="40"/>
      <c r="D209" s="40"/>
      <c r="E209" s="40"/>
      <c r="F209" s="40"/>
      <c r="G209" s="40"/>
      <c r="H209" s="88"/>
      <c r="O209" s="2"/>
    </row>
    <row r="210" spans="1:30" ht="15.75" hidden="1" customHeight="1" x14ac:dyDescent="0.25">
      <c r="A210" s="81"/>
      <c r="B210" s="40"/>
      <c r="C210" s="40"/>
      <c r="D210" s="40"/>
      <c r="E210" s="40"/>
      <c r="F210" s="40"/>
      <c r="G210" s="40"/>
      <c r="H210" s="88"/>
      <c r="O210" s="2"/>
    </row>
    <row r="211" spans="1:30" ht="15.75" hidden="1" customHeight="1" thickBot="1" x14ac:dyDescent="0.3">
      <c r="A211" s="82"/>
      <c r="B211" s="41"/>
      <c r="C211" s="41"/>
      <c r="D211" s="41"/>
      <c r="E211" s="41"/>
      <c r="F211" s="41"/>
      <c r="G211" s="41"/>
      <c r="H211" s="88"/>
      <c r="O211" s="2"/>
    </row>
    <row r="212" spans="1:30" ht="15.75" customHeight="1" x14ac:dyDescent="0.25">
      <c r="O212" s="238"/>
      <c r="P212" s="375"/>
      <c r="Q212" s="239">
        <f>P212</f>
        <v>0</v>
      </c>
    </row>
    <row r="213" spans="1:30" ht="28.5" hidden="1" customHeight="1" thickBot="1" x14ac:dyDescent="0.3">
      <c r="A213" s="973"/>
      <c r="B213" s="836"/>
      <c r="C213" s="836"/>
      <c r="D213" s="836"/>
      <c r="E213" s="836"/>
      <c r="F213" s="836"/>
      <c r="G213" s="836"/>
      <c r="H213" s="836"/>
      <c r="I213" s="836"/>
      <c r="J213" s="836"/>
      <c r="K213" s="836"/>
      <c r="L213" s="836"/>
      <c r="M213" s="836"/>
      <c r="N213" s="837"/>
      <c r="O213" s="238"/>
      <c r="P213" s="239"/>
      <c r="Q213" s="239"/>
    </row>
    <row r="214" spans="1:30" ht="42.75" hidden="1" customHeight="1" x14ac:dyDescent="0.25">
      <c r="A214" s="85"/>
      <c r="B214" s="89"/>
      <c r="C214" s="90"/>
      <c r="D214" s="91"/>
      <c r="E214" s="91"/>
      <c r="F214" s="91"/>
      <c r="G214" s="91"/>
      <c r="H214" s="91"/>
      <c r="I214" s="91"/>
      <c r="J214" s="92"/>
      <c r="K214" s="91"/>
      <c r="L214" s="91"/>
      <c r="M214" s="91"/>
      <c r="N214" s="93"/>
      <c r="O214" s="238"/>
      <c r="P214" s="239"/>
      <c r="Q214" s="240">
        <f>J220-J219</f>
        <v>0</v>
      </c>
    </row>
    <row r="215" spans="1:30" ht="15.75" hidden="1" customHeight="1" x14ac:dyDescent="0.25">
      <c r="A215" s="94"/>
      <c r="B215" s="930"/>
      <c r="C215" s="985"/>
      <c r="D215" s="933"/>
      <c r="E215" s="912"/>
      <c r="F215" s="913"/>
      <c r="G215" s="913"/>
      <c r="H215" s="15"/>
      <c r="I215" s="40"/>
      <c r="J215" s="40"/>
      <c r="K215" s="40"/>
      <c r="L215" s="40"/>
      <c r="M215" s="96"/>
      <c r="N215" s="88"/>
      <c r="O215" s="241">
        <f t="shared" ref="O215:O220" si="2">LEN(N215)</f>
        <v>0</v>
      </c>
      <c r="P215" s="239"/>
      <c r="Q215" s="239"/>
    </row>
    <row r="216" spans="1:30" ht="15.75" hidden="1" customHeight="1" x14ac:dyDescent="0.25">
      <c r="A216" s="94"/>
      <c r="B216" s="749"/>
      <c r="C216" s="756"/>
      <c r="D216" s="752"/>
      <c r="E216" s="752"/>
      <c r="F216" s="752"/>
      <c r="G216" s="752"/>
      <c r="H216" s="15"/>
      <c r="I216" s="40"/>
      <c r="J216" s="40"/>
      <c r="K216" s="40"/>
      <c r="L216" s="40"/>
      <c r="M216" s="96"/>
      <c r="N216" s="88"/>
      <c r="O216" s="241">
        <f t="shared" si="2"/>
        <v>0</v>
      </c>
      <c r="P216" s="239"/>
      <c r="Q216" s="239"/>
    </row>
    <row r="217" spans="1:30" ht="15.75" hidden="1" customHeight="1" x14ac:dyDescent="0.25">
      <c r="A217" s="94"/>
      <c r="B217" s="749"/>
      <c r="C217" s="756"/>
      <c r="D217" s="752"/>
      <c r="E217" s="752"/>
      <c r="F217" s="752"/>
      <c r="G217" s="752"/>
      <c r="H217" s="15"/>
      <c r="I217" s="40"/>
      <c r="J217" s="40"/>
      <c r="K217" s="40"/>
      <c r="L217" s="40"/>
      <c r="M217" s="96"/>
      <c r="N217" s="88"/>
      <c r="O217" s="241">
        <f t="shared" si="2"/>
        <v>0</v>
      </c>
      <c r="P217" s="239"/>
      <c r="Q217" s="239"/>
    </row>
    <row r="218" spans="1:30" ht="15.75" hidden="1" customHeight="1" x14ac:dyDescent="0.25">
      <c r="A218" s="97"/>
      <c r="B218" s="749"/>
      <c r="C218" s="756"/>
      <c r="D218" s="752"/>
      <c r="E218" s="752"/>
      <c r="F218" s="752"/>
      <c r="G218" s="752"/>
      <c r="H218" s="15"/>
      <c r="I218" s="98"/>
      <c r="J218" s="99"/>
      <c r="K218" s="98"/>
      <c r="L218" s="98"/>
      <c r="M218" s="15"/>
      <c r="N218" s="100"/>
      <c r="O218" s="241">
        <f t="shared" si="2"/>
        <v>0</v>
      </c>
      <c r="P218" s="242"/>
      <c r="Q218" s="242"/>
      <c r="R218" s="101"/>
      <c r="S218" s="101"/>
      <c r="T218" s="101"/>
      <c r="U218" s="101"/>
      <c r="V218" s="101"/>
      <c r="W218" s="101"/>
      <c r="X218" s="101"/>
      <c r="Y218" s="101"/>
      <c r="Z218" s="101"/>
      <c r="AA218" s="101"/>
      <c r="AB218" s="101"/>
      <c r="AC218" s="101"/>
      <c r="AD218" s="101"/>
    </row>
    <row r="219" spans="1:30" ht="15.75" hidden="1" customHeight="1" x14ac:dyDescent="0.25">
      <c r="A219" s="94"/>
      <c r="B219" s="749"/>
      <c r="C219" s="756"/>
      <c r="D219" s="752"/>
      <c r="E219" s="752"/>
      <c r="F219" s="752"/>
      <c r="G219" s="752"/>
      <c r="H219" s="15"/>
      <c r="I219" s="40"/>
      <c r="J219" s="102"/>
      <c r="K219" s="40"/>
      <c r="L219" s="40"/>
      <c r="M219" s="96"/>
      <c r="N219" s="88"/>
      <c r="O219" s="241">
        <f t="shared" si="2"/>
        <v>0</v>
      </c>
      <c r="P219" s="239"/>
      <c r="Q219" s="239"/>
    </row>
    <row r="220" spans="1:30" ht="15.75" hidden="1" customHeight="1" thickBot="1" x14ac:dyDescent="0.3">
      <c r="A220" s="112"/>
      <c r="B220" s="760"/>
      <c r="C220" s="757"/>
      <c r="D220" s="753"/>
      <c r="E220" s="753"/>
      <c r="F220" s="753"/>
      <c r="G220" s="753"/>
      <c r="H220" s="113"/>
      <c r="I220" s="41"/>
      <c r="J220" s="237"/>
      <c r="K220" s="41"/>
      <c r="L220" s="41"/>
      <c r="M220" s="116"/>
      <c r="N220" s="127"/>
      <c r="O220" s="241">
        <f t="shared" si="2"/>
        <v>0</v>
      </c>
      <c r="P220" s="239"/>
      <c r="Q220" s="239"/>
    </row>
    <row r="221" spans="1:30" ht="15.75" hidden="1" customHeight="1" x14ac:dyDescent="0.25">
      <c r="A221" s="105"/>
      <c r="B221" s="106"/>
      <c r="C221" s="106"/>
      <c r="D221" s="106"/>
      <c r="E221" s="106"/>
      <c r="F221" s="2"/>
      <c r="G221" s="2"/>
      <c r="H221" s="2"/>
      <c r="O221" s="243"/>
      <c r="P221" s="239"/>
      <c r="Q221" s="239"/>
    </row>
    <row r="222" spans="1:30" ht="15.75" hidden="1" customHeight="1" thickBot="1" x14ac:dyDescent="0.3">
      <c r="A222" s="105"/>
      <c r="B222" s="106"/>
      <c r="C222" s="106"/>
      <c r="D222" s="106"/>
      <c r="E222" s="106"/>
      <c r="F222" s="2"/>
      <c r="G222" s="2"/>
      <c r="H222" s="2"/>
      <c r="O222" s="243"/>
      <c r="P222" s="239"/>
      <c r="Q222" s="239"/>
    </row>
    <row r="223" spans="1:30" ht="34.5" hidden="1" customHeight="1" x14ac:dyDescent="0.25">
      <c r="A223" s="107"/>
      <c r="B223" s="108"/>
      <c r="C223" s="90"/>
      <c r="D223" s="91"/>
      <c r="E223" s="91"/>
      <c r="F223" s="91"/>
      <c r="G223" s="91"/>
      <c r="H223" s="91"/>
      <c r="I223" s="91"/>
      <c r="J223" s="92"/>
      <c r="K223" s="91"/>
      <c r="L223" s="91"/>
      <c r="M223" s="91"/>
      <c r="N223" s="93"/>
      <c r="O223" s="243"/>
      <c r="P223" s="239"/>
      <c r="Q223" s="239"/>
    </row>
    <row r="224" spans="1:30" ht="15.75" hidden="1" customHeight="1" x14ac:dyDescent="0.25">
      <c r="A224" s="94"/>
      <c r="B224" s="930"/>
      <c r="C224" s="931"/>
      <c r="D224" s="912"/>
      <c r="E224" s="912"/>
      <c r="F224" s="913"/>
      <c r="G224" s="913"/>
      <c r="H224" s="15"/>
      <c r="I224" s="40"/>
      <c r="J224" s="40"/>
      <c r="K224" s="40"/>
      <c r="L224" s="40"/>
      <c r="M224" s="96"/>
      <c r="N224" s="88"/>
      <c r="O224" s="241">
        <f t="shared" ref="O224:O229" si="3">LEN(N224)</f>
        <v>0</v>
      </c>
      <c r="P224" s="239"/>
      <c r="Q224" s="239"/>
    </row>
    <row r="225" spans="1:30" ht="15.75" hidden="1" customHeight="1" x14ac:dyDescent="0.25">
      <c r="A225" s="94"/>
      <c r="B225" s="749"/>
      <c r="C225" s="756"/>
      <c r="D225" s="752"/>
      <c r="E225" s="752"/>
      <c r="F225" s="752"/>
      <c r="G225" s="752"/>
      <c r="H225" s="15"/>
      <c r="I225" s="40"/>
      <c r="J225" s="40"/>
      <c r="K225" s="40"/>
      <c r="L225" s="40"/>
      <c r="M225" s="96"/>
      <c r="N225" s="88"/>
      <c r="O225" s="241">
        <f t="shared" si="3"/>
        <v>0</v>
      </c>
      <c r="P225" s="239"/>
      <c r="Q225" s="239"/>
    </row>
    <row r="226" spans="1:30" ht="15.75" hidden="1" customHeight="1" x14ac:dyDescent="0.25">
      <c r="A226" s="94"/>
      <c r="B226" s="749"/>
      <c r="C226" s="756"/>
      <c r="D226" s="752"/>
      <c r="E226" s="752"/>
      <c r="F226" s="752"/>
      <c r="G226" s="752"/>
      <c r="H226" s="15"/>
      <c r="I226" s="40"/>
      <c r="J226" s="40"/>
      <c r="K226" s="40"/>
      <c r="L226" s="40"/>
      <c r="M226" s="96"/>
      <c r="N226" s="88"/>
      <c r="O226" s="241">
        <f t="shared" si="3"/>
        <v>0</v>
      </c>
      <c r="P226" s="239"/>
      <c r="Q226" s="239"/>
    </row>
    <row r="227" spans="1:30" ht="15.75" hidden="1" customHeight="1" x14ac:dyDescent="0.25">
      <c r="A227" s="97"/>
      <c r="B227" s="749"/>
      <c r="C227" s="756"/>
      <c r="D227" s="752"/>
      <c r="E227" s="752"/>
      <c r="F227" s="752"/>
      <c r="G227" s="752"/>
      <c r="H227" s="15"/>
      <c r="I227" s="98"/>
      <c r="J227" s="99"/>
      <c r="K227" s="98"/>
      <c r="L227" s="98"/>
      <c r="M227" s="15"/>
      <c r="N227" s="100"/>
      <c r="O227" s="244">
        <f t="shared" si="3"/>
        <v>0</v>
      </c>
      <c r="P227" s="242"/>
      <c r="Q227" s="242"/>
      <c r="R227" s="101"/>
      <c r="S227" s="101"/>
      <c r="T227" s="101"/>
      <c r="U227" s="101"/>
      <c r="V227" s="101"/>
      <c r="W227" s="101"/>
      <c r="X227" s="101"/>
      <c r="Y227" s="101"/>
      <c r="Z227" s="101"/>
      <c r="AA227" s="101"/>
      <c r="AB227" s="101"/>
      <c r="AC227" s="101"/>
      <c r="AD227" s="101"/>
    </row>
    <row r="228" spans="1:30" ht="15.75" hidden="1" customHeight="1" x14ac:dyDescent="0.25">
      <c r="A228" s="94"/>
      <c r="B228" s="749"/>
      <c r="C228" s="756"/>
      <c r="D228" s="752"/>
      <c r="E228" s="752"/>
      <c r="F228" s="752"/>
      <c r="G228" s="752"/>
      <c r="H228" s="15"/>
      <c r="I228" s="40"/>
      <c r="J228" s="109"/>
      <c r="K228" s="40"/>
      <c r="L228" s="40"/>
      <c r="M228" s="96"/>
      <c r="N228" s="88"/>
      <c r="O228" s="241">
        <f t="shared" si="3"/>
        <v>0</v>
      </c>
      <c r="P228" s="239"/>
      <c r="Q228" s="239"/>
    </row>
    <row r="229" spans="1:30" ht="15.75" hidden="1" customHeight="1" thickBot="1" x14ac:dyDescent="0.3">
      <c r="A229" s="112"/>
      <c r="B229" s="760"/>
      <c r="C229" s="757"/>
      <c r="D229" s="753"/>
      <c r="E229" s="753"/>
      <c r="F229" s="753"/>
      <c r="G229" s="753"/>
      <c r="H229" s="113"/>
      <c r="I229" s="41"/>
      <c r="J229" s="115"/>
      <c r="K229" s="41"/>
      <c r="L229" s="41"/>
      <c r="M229" s="116"/>
      <c r="N229" s="127"/>
      <c r="O229" s="241">
        <f t="shared" si="3"/>
        <v>0</v>
      </c>
      <c r="P229" s="239"/>
      <c r="Q229" s="239"/>
    </row>
    <row r="230" spans="1:30" ht="15.75" hidden="1" customHeight="1" x14ac:dyDescent="0.25">
      <c r="A230" s="105"/>
      <c r="B230" s="106"/>
      <c r="C230" s="106"/>
      <c r="D230" s="106"/>
      <c r="E230" s="106"/>
      <c r="F230" s="2"/>
      <c r="G230" s="2"/>
      <c r="H230" s="2"/>
      <c r="O230" s="243"/>
      <c r="P230" s="239"/>
      <c r="Q230" s="239"/>
    </row>
    <row r="231" spans="1:30" ht="15.75" hidden="1" customHeight="1" thickBot="1" x14ac:dyDescent="0.3">
      <c r="A231" s="105"/>
      <c r="B231" s="106"/>
      <c r="C231" s="106"/>
      <c r="D231" s="106"/>
      <c r="E231" s="106"/>
      <c r="F231" s="2"/>
      <c r="G231" s="2"/>
      <c r="H231" s="2"/>
      <c r="O231" s="243"/>
      <c r="P231" s="239"/>
      <c r="Q231" s="239"/>
    </row>
    <row r="232" spans="1:30" ht="48.75" hidden="1" customHeight="1" x14ac:dyDescent="0.25">
      <c r="A232" s="107"/>
      <c r="B232" s="108"/>
      <c r="C232" s="90"/>
      <c r="D232" s="91"/>
      <c r="E232" s="91"/>
      <c r="F232" s="91"/>
      <c r="G232" s="91"/>
      <c r="H232" s="91"/>
      <c r="I232" s="91"/>
      <c r="J232" s="92"/>
      <c r="K232" s="91"/>
      <c r="L232" s="91"/>
      <c r="M232" s="91"/>
      <c r="N232" s="93"/>
      <c r="O232" s="243"/>
      <c r="P232" s="239"/>
      <c r="Q232" s="239"/>
    </row>
    <row r="233" spans="1:30" ht="15.75" hidden="1" customHeight="1" x14ac:dyDescent="0.25">
      <c r="A233" s="94"/>
      <c r="B233" s="930"/>
      <c r="C233" s="931"/>
      <c r="D233" s="912"/>
      <c r="E233" s="912"/>
      <c r="F233" s="913"/>
      <c r="G233" s="913"/>
      <c r="H233" s="15"/>
      <c r="I233" s="40"/>
      <c r="J233" s="40"/>
      <c r="K233" s="40"/>
      <c r="L233" s="40"/>
      <c r="M233" s="96"/>
      <c r="N233" s="88"/>
      <c r="O233" s="241">
        <f t="shared" ref="O233:O238" si="4">LEN(N233)</f>
        <v>0</v>
      </c>
      <c r="P233" s="239"/>
      <c r="Q233" s="239"/>
    </row>
    <row r="234" spans="1:30" ht="15.75" hidden="1" customHeight="1" x14ac:dyDescent="0.25">
      <c r="A234" s="94"/>
      <c r="B234" s="749"/>
      <c r="C234" s="756"/>
      <c r="D234" s="752"/>
      <c r="E234" s="752"/>
      <c r="F234" s="752"/>
      <c r="G234" s="752"/>
      <c r="H234" s="15"/>
      <c r="I234" s="40"/>
      <c r="J234" s="40"/>
      <c r="K234" s="40"/>
      <c r="L234" s="40"/>
      <c r="M234" s="96"/>
      <c r="N234" s="88"/>
      <c r="O234" s="241">
        <f t="shared" si="4"/>
        <v>0</v>
      </c>
      <c r="P234" s="239"/>
      <c r="Q234" s="239"/>
    </row>
    <row r="235" spans="1:30" ht="15.75" hidden="1" customHeight="1" x14ac:dyDescent="0.25">
      <c r="A235" s="94"/>
      <c r="B235" s="749"/>
      <c r="C235" s="756"/>
      <c r="D235" s="752"/>
      <c r="E235" s="752"/>
      <c r="F235" s="752"/>
      <c r="G235" s="752"/>
      <c r="H235" s="15"/>
      <c r="I235" s="40"/>
      <c r="J235" s="40"/>
      <c r="K235" s="40"/>
      <c r="L235" s="40"/>
      <c r="M235" s="96"/>
      <c r="N235" s="88"/>
      <c r="O235" s="241">
        <f t="shared" si="4"/>
        <v>0</v>
      </c>
      <c r="P235" s="239"/>
      <c r="Q235" s="239"/>
    </row>
    <row r="236" spans="1:30" ht="15.75" hidden="1" customHeight="1" x14ac:dyDescent="0.25">
      <c r="A236" s="97"/>
      <c r="B236" s="749"/>
      <c r="C236" s="756"/>
      <c r="D236" s="752"/>
      <c r="E236" s="752"/>
      <c r="F236" s="752"/>
      <c r="G236" s="752"/>
      <c r="H236" s="15"/>
      <c r="I236" s="98"/>
      <c r="J236" s="99"/>
      <c r="K236" s="98"/>
      <c r="L236" s="98"/>
      <c r="M236" s="15"/>
      <c r="N236" s="100"/>
      <c r="O236" s="244">
        <f t="shared" si="4"/>
        <v>0</v>
      </c>
      <c r="P236" s="242"/>
      <c r="Q236" s="242"/>
      <c r="R236" s="101"/>
      <c r="S236" s="101"/>
      <c r="T236" s="101"/>
      <c r="U236" s="101"/>
      <c r="V236" s="101"/>
      <c r="W236" s="101"/>
      <c r="X236" s="101"/>
      <c r="Y236" s="101"/>
      <c r="Z236" s="101"/>
      <c r="AA236" s="101"/>
      <c r="AB236" s="101"/>
      <c r="AC236" s="101"/>
      <c r="AD236" s="101"/>
    </row>
    <row r="237" spans="1:30" ht="15.75" hidden="1" customHeight="1" x14ac:dyDescent="0.25">
      <c r="A237" s="94"/>
      <c r="B237" s="749"/>
      <c r="C237" s="756"/>
      <c r="D237" s="752"/>
      <c r="E237" s="752"/>
      <c r="F237" s="752"/>
      <c r="G237" s="752"/>
      <c r="H237" s="15"/>
      <c r="I237" s="40"/>
      <c r="J237" s="245"/>
      <c r="K237" s="40"/>
      <c r="L237" s="40"/>
      <c r="M237" s="96"/>
      <c r="N237" s="88"/>
      <c r="O237" s="241">
        <f t="shared" si="4"/>
        <v>0</v>
      </c>
      <c r="P237" s="239"/>
      <c r="Q237" s="239"/>
    </row>
    <row r="238" spans="1:30" ht="15.75" hidden="1" customHeight="1" thickBot="1" x14ac:dyDescent="0.3">
      <c r="A238" s="112"/>
      <c r="B238" s="760"/>
      <c r="C238" s="757"/>
      <c r="D238" s="753"/>
      <c r="E238" s="753"/>
      <c r="F238" s="753"/>
      <c r="G238" s="753"/>
      <c r="H238" s="113"/>
      <c r="I238" s="41"/>
      <c r="J238" s="115"/>
      <c r="K238" s="41"/>
      <c r="L238" s="41"/>
      <c r="M238" s="116"/>
      <c r="N238" s="127"/>
      <c r="O238" s="241">
        <f t="shared" si="4"/>
        <v>0</v>
      </c>
      <c r="P238" s="239"/>
      <c r="Q238" s="239"/>
    </row>
    <row r="239" spans="1:30" ht="15.75" hidden="1" customHeight="1" x14ac:dyDescent="0.25">
      <c r="A239" s="105"/>
      <c r="B239" s="106"/>
      <c r="C239" s="106"/>
      <c r="D239" s="106"/>
      <c r="E239" s="106"/>
      <c r="F239" s="2"/>
      <c r="G239" s="2"/>
      <c r="H239" s="2"/>
      <c r="O239" s="243"/>
      <c r="P239" s="239"/>
      <c r="Q239" s="239"/>
    </row>
    <row r="240" spans="1:30" ht="15.75" hidden="1" customHeight="1" thickBot="1" x14ac:dyDescent="0.3">
      <c r="A240" s="105"/>
      <c r="B240" s="106"/>
      <c r="C240" s="106"/>
      <c r="D240" s="106"/>
      <c r="E240" s="106"/>
      <c r="F240" s="2"/>
      <c r="G240" s="2"/>
      <c r="H240" s="2"/>
      <c r="O240" s="106"/>
    </row>
    <row r="241" spans="1:30" ht="36" hidden="1" customHeight="1" x14ac:dyDescent="0.25">
      <c r="A241" s="107"/>
      <c r="B241" s="91"/>
      <c r="C241" s="91"/>
      <c r="D241" s="91"/>
      <c r="E241" s="91"/>
      <c r="F241" s="91"/>
      <c r="G241" s="91"/>
      <c r="H241" s="91"/>
      <c r="I241" s="91"/>
      <c r="J241" s="92"/>
      <c r="K241" s="91"/>
      <c r="L241" s="91"/>
      <c r="M241" s="91"/>
      <c r="N241" s="93"/>
      <c r="O241" s="243"/>
    </row>
    <row r="242" spans="1:30" ht="15.75" hidden="1" customHeight="1" x14ac:dyDescent="0.25">
      <c r="A242" s="94"/>
      <c r="B242" s="912"/>
      <c r="C242" s="912"/>
      <c r="D242" s="912"/>
      <c r="E242" s="913"/>
      <c r="F242" s="913"/>
      <c r="G242" s="913"/>
      <c r="H242" s="95"/>
      <c r="I242" s="40"/>
      <c r="J242" s="40"/>
      <c r="K242" s="40"/>
      <c r="L242" s="40"/>
      <c r="M242" s="96"/>
      <c r="N242" s="88"/>
      <c r="O242" s="241">
        <f t="shared" ref="O242:O247" si="5">LEN(N242)</f>
        <v>0</v>
      </c>
    </row>
    <row r="243" spans="1:30" ht="15.75" hidden="1" customHeight="1" x14ac:dyDescent="0.25">
      <c r="A243" s="94"/>
      <c r="B243" s="752"/>
      <c r="C243" s="752"/>
      <c r="D243" s="752"/>
      <c r="E243" s="752"/>
      <c r="F243" s="752"/>
      <c r="G243" s="752"/>
      <c r="H243" s="95"/>
      <c r="I243" s="40"/>
      <c r="J243" s="40"/>
      <c r="K243" s="40"/>
      <c r="L243" s="40"/>
      <c r="M243" s="96"/>
      <c r="N243" s="88"/>
      <c r="O243" s="241">
        <f t="shared" si="5"/>
        <v>0</v>
      </c>
    </row>
    <row r="244" spans="1:30" ht="15.75" hidden="1" customHeight="1" x14ac:dyDescent="0.25">
      <c r="A244" s="94"/>
      <c r="B244" s="752"/>
      <c r="C244" s="752"/>
      <c r="D244" s="752"/>
      <c r="E244" s="752"/>
      <c r="F244" s="752"/>
      <c r="G244" s="752"/>
      <c r="H244" s="95"/>
      <c r="I244" s="40"/>
      <c r="J244" s="40"/>
      <c r="K244" s="40"/>
      <c r="L244" s="40"/>
      <c r="M244" s="96"/>
      <c r="N244" s="88"/>
      <c r="O244" s="241">
        <f t="shared" si="5"/>
        <v>0</v>
      </c>
    </row>
    <row r="245" spans="1:30" ht="15.75" hidden="1" customHeight="1" x14ac:dyDescent="0.25">
      <c r="A245" s="97"/>
      <c r="B245" s="752"/>
      <c r="C245" s="752"/>
      <c r="D245" s="752"/>
      <c r="E245" s="752"/>
      <c r="F245" s="752"/>
      <c r="G245" s="752"/>
      <c r="H245" s="95"/>
      <c r="I245" s="98"/>
      <c r="J245" s="99"/>
      <c r="K245" s="98"/>
      <c r="L245" s="98"/>
      <c r="M245" s="15"/>
      <c r="N245" s="100"/>
      <c r="O245" s="244">
        <f t="shared" si="5"/>
        <v>0</v>
      </c>
      <c r="P245" s="101"/>
      <c r="Q245" s="101"/>
      <c r="R245" s="101"/>
      <c r="S245" s="101"/>
      <c r="T245" s="101"/>
      <c r="U245" s="101"/>
      <c r="V245" s="101"/>
      <c r="W245" s="101"/>
      <c r="X245" s="101"/>
      <c r="Y245" s="101"/>
      <c r="Z245" s="101"/>
      <c r="AA245" s="101"/>
      <c r="AB245" s="101"/>
      <c r="AC245" s="101"/>
      <c r="AD245" s="101"/>
    </row>
    <row r="246" spans="1:30" ht="15.75" hidden="1" customHeight="1" x14ac:dyDescent="0.25">
      <c r="A246" s="94"/>
      <c r="B246" s="752"/>
      <c r="C246" s="752"/>
      <c r="D246" s="752"/>
      <c r="E246" s="752"/>
      <c r="F246" s="752"/>
      <c r="G246" s="752"/>
      <c r="H246" s="95"/>
      <c r="I246" s="110"/>
      <c r="J246" s="109"/>
      <c r="K246" s="40"/>
      <c r="L246" s="40"/>
      <c r="M246" s="96"/>
      <c r="N246" s="88"/>
      <c r="O246" s="241">
        <f t="shared" si="5"/>
        <v>0</v>
      </c>
    </row>
    <row r="247" spans="1:30" ht="15.75" hidden="1" customHeight="1" thickBot="1" x14ac:dyDescent="0.3">
      <c r="A247" s="112"/>
      <c r="B247" s="753"/>
      <c r="C247" s="753"/>
      <c r="D247" s="753"/>
      <c r="E247" s="753"/>
      <c r="F247" s="753"/>
      <c r="G247" s="753"/>
      <c r="H247" s="113"/>
      <c r="I247" s="41"/>
      <c r="J247" s="115"/>
      <c r="K247" s="41"/>
      <c r="L247" s="41"/>
      <c r="M247" s="116"/>
      <c r="N247" s="127"/>
      <c r="O247" s="241">
        <f t="shared" si="5"/>
        <v>0</v>
      </c>
    </row>
    <row r="248" spans="1:30" ht="15.75" hidden="1" customHeight="1" x14ac:dyDescent="0.25">
      <c r="A248" s="105"/>
      <c r="B248" s="106"/>
      <c r="C248" s="106"/>
      <c r="D248" s="106"/>
      <c r="E248" s="2"/>
      <c r="F248" s="2"/>
      <c r="G248" s="2"/>
      <c r="H248" s="2"/>
      <c r="J248" s="53"/>
      <c r="M248" s="1"/>
      <c r="O248" s="243"/>
    </row>
    <row r="249" spans="1:30" ht="15.75" hidden="1" customHeight="1" thickBot="1" x14ac:dyDescent="0.3">
      <c r="A249" s="105"/>
      <c r="B249" s="106"/>
      <c r="C249" s="106"/>
      <c r="D249" s="106"/>
      <c r="E249" s="2"/>
      <c r="F249" s="2"/>
      <c r="G249" s="2"/>
      <c r="H249" s="2"/>
      <c r="J249" s="53"/>
      <c r="M249" s="1"/>
      <c r="O249" s="243"/>
    </row>
    <row r="250" spans="1:30" ht="28.5" hidden="1" customHeight="1" thickBot="1" x14ac:dyDescent="0.3">
      <c r="A250" s="973"/>
      <c r="B250" s="836"/>
      <c r="C250" s="836"/>
      <c r="D250" s="836"/>
      <c r="E250" s="836"/>
      <c r="F250" s="836"/>
      <c r="G250" s="836"/>
      <c r="H250" s="836"/>
      <c r="I250" s="836"/>
      <c r="J250" s="836"/>
      <c r="K250" s="836"/>
      <c r="L250" s="836"/>
      <c r="M250" s="836"/>
      <c r="N250" s="837"/>
      <c r="O250" s="2"/>
    </row>
    <row r="251" spans="1:30" ht="38.25" hidden="1" customHeight="1" x14ac:dyDescent="0.25">
      <c r="A251" s="85"/>
      <c r="B251" s="89"/>
      <c r="C251" s="90"/>
      <c r="D251" s="91"/>
      <c r="E251" s="91"/>
      <c r="F251" s="91"/>
      <c r="G251" s="91"/>
      <c r="H251" s="91"/>
      <c r="I251" s="91"/>
      <c r="J251" s="92"/>
      <c r="K251" s="91"/>
      <c r="L251" s="91"/>
      <c r="M251" s="91"/>
      <c r="N251" s="93"/>
      <c r="O251" s="238"/>
      <c r="Q251" s="84"/>
    </row>
    <row r="252" spans="1:30" ht="15.75" hidden="1" customHeight="1" x14ac:dyDescent="0.25">
      <c r="A252" s="94"/>
      <c r="B252" s="930"/>
      <c r="C252" s="985"/>
      <c r="D252" s="933"/>
      <c r="E252" s="912"/>
      <c r="F252" s="913"/>
      <c r="G252" s="913"/>
      <c r="H252" s="15"/>
      <c r="I252" s="40"/>
      <c r="J252" s="109"/>
      <c r="K252" s="96"/>
      <c r="L252" s="96"/>
      <c r="M252" s="96"/>
      <c r="N252" s="88"/>
      <c r="O252" s="241">
        <f t="shared" ref="O252:O263" si="6">LEN(N252)</f>
        <v>0</v>
      </c>
    </row>
    <row r="253" spans="1:30" ht="15.75" hidden="1" customHeight="1" x14ac:dyDescent="0.25">
      <c r="A253" s="94"/>
      <c r="B253" s="749"/>
      <c r="C253" s="756"/>
      <c r="D253" s="752"/>
      <c r="E253" s="752"/>
      <c r="F253" s="752"/>
      <c r="G253" s="752"/>
      <c r="H253" s="15"/>
      <c r="I253" s="40"/>
      <c r="J253" s="109"/>
      <c r="K253" s="96"/>
      <c r="L253" s="96"/>
      <c r="M253" s="96"/>
      <c r="N253" s="88"/>
      <c r="O253" s="241">
        <f t="shared" si="6"/>
        <v>0</v>
      </c>
    </row>
    <row r="254" spans="1:30" ht="15.75" hidden="1" customHeight="1" x14ac:dyDescent="0.25">
      <c r="A254" s="94"/>
      <c r="B254" s="749"/>
      <c r="C254" s="756"/>
      <c r="D254" s="752"/>
      <c r="E254" s="752"/>
      <c r="F254" s="752"/>
      <c r="G254" s="752"/>
      <c r="H254" s="15"/>
      <c r="I254" s="110"/>
      <c r="J254" s="109"/>
      <c r="K254" s="96"/>
      <c r="L254" s="96"/>
      <c r="M254" s="96"/>
      <c r="N254" s="88"/>
      <c r="O254" s="241">
        <f t="shared" si="6"/>
        <v>0</v>
      </c>
    </row>
    <row r="255" spans="1:30" ht="15.75" hidden="1" customHeight="1" x14ac:dyDescent="0.25">
      <c r="A255" s="94"/>
      <c r="B255" s="749"/>
      <c r="C255" s="756"/>
      <c r="D255" s="752"/>
      <c r="E255" s="752"/>
      <c r="F255" s="752"/>
      <c r="G255" s="752"/>
      <c r="H255" s="15"/>
      <c r="I255" s="40"/>
      <c r="J255" s="109"/>
      <c r="K255" s="96"/>
      <c r="L255" s="96"/>
      <c r="M255" s="96"/>
      <c r="N255" s="88"/>
      <c r="O255" s="241">
        <f t="shared" si="6"/>
        <v>0</v>
      </c>
      <c r="Q255" s="14"/>
    </row>
    <row r="256" spans="1:30" ht="15.75" hidden="1" customHeight="1" x14ac:dyDescent="0.25">
      <c r="A256" s="94"/>
      <c r="B256" s="749"/>
      <c r="C256" s="756"/>
      <c r="D256" s="752"/>
      <c r="E256" s="752"/>
      <c r="F256" s="752"/>
      <c r="G256" s="752"/>
      <c r="H256" s="15"/>
      <c r="I256" s="110"/>
      <c r="J256" s="109"/>
      <c r="K256" s="96"/>
      <c r="L256" s="96"/>
      <c r="M256" s="96"/>
      <c r="N256" s="88"/>
      <c r="O256" s="241">
        <f t="shared" si="6"/>
        <v>0</v>
      </c>
    </row>
    <row r="257" spans="1:30" ht="15.75" hidden="1" customHeight="1" x14ac:dyDescent="0.25">
      <c r="A257" s="94"/>
      <c r="B257" s="749"/>
      <c r="C257" s="756"/>
      <c r="D257" s="752"/>
      <c r="E257" s="752"/>
      <c r="F257" s="752"/>
      <c r="G257" s="752"/>
      <c r="H257" s="15"/>
      <c r="I257" s="110"/>
      <c r="J257" s="109"/>
      <c r="K257" s="96"/>
      <c r="L257" s="96"/>
      <c r="M257" s="96"/>
      <c r="N257" s="88"/>
      <c r="O257" s="241">
        <f t="shared" si="6"/>
        <v>0</v>
      </c>
    </row>
    <row r="258" spans="1:30" ht="15.75" hidden="1" customHeight="1" x14ac:dyDescent="0.25">
      <c r="A258" s="94"/>
      <c r="B258" s="749"/>
      <c r="C258" s="756"/>
      <c r="D258" s="752"/>
      <c r="E258" s="752"/>
      <c r="F258" s="752"/>
      <c r="G258" s="752"/>
      <c r="H258" s="15"/>
      <c r="I258" s="110"/>
      <c r="J258" s="109"/>
      <c r="K258" s="96"/>
      <c r="L258" s="96"/>
      <c r="M258" s="96"/>
      <c r="N258" s="88"/>
      <c r="O258" s="241">
        <f t="shared" si="6"/>
        <v>0</v>
      </c>
    </row>
    <row r="259" spans="1:30" ht="15.75" hidden="1" customHeight="1" x14ac:dyDescent="0.25">
      <c r="A259" s="94"/>
      <c r="B259" s="749"/>
      <c r="C259" s="756"/>
      <c r="D259" s="752"/>
      <c r="E259" s="752"/>
      <c r="F259" s="752"/>
      <c r="G259" s="752"/>
      <c r="H259" s="15"/>
      <c r="I259" s="110"/>
      <c r="J259" s="109"/>
      <c r="K259" s="96"/>
      <c r="L259" s="96"/>
      <c r="M259" s="96"/>
      <c r="N259" s="88"/>
      <c r="O259" s="241">
        <f t="shared" si="6"/>
        <v>0</v>
      </c>
    </row>
    <row r="260" spans="1:30" ht="15.75" hidden="1" customHeight="1" x14ac:dyDescent="0.25">
      <c r="A260" s="94"/>
      <c r="B260" s="749"/>
      <c r="C260" s="756"/>
      <c r="D260" s="752"/>
      <c r="E260" s="752"/>
      <c r="F260" s="752"/>
      <c r="G260" s="752"/>
      <c r="H260" s="15"/>
      <c r="I260" s="110"/>
      <c r="J260" s="109"/>
      <c r="K260" s="96"/>
      <c r="L260" s="96"/>
      <c r="M260" s="96"/>
      <c r="N260" s="88"/>
      <c r="O260" s="241">
        <f t="shared" si="6"/>
        <v>0</v>
      </c>
    </row>
    <row r="261" spans="1:30" ht="15.75" hidden="1" customHeight="1" x14ac:dyDescent="0.25">
      <c r="A261" s="97"/>
      <c r="B261" s="749"/>
      <c r="C261" s="756"/>
      <c r="D261" s="752"/>
      <c r="E261" s="752"/>
      <c r="F261" s="752"/>
      <c r="G261" s="752"/>
      <c r="H261" s="15"/>
      <c r="I261" s="111"/>
      <c r="J261" s="109"/>
      <c r="K261" s="96"/>
      <c r="L261" s="96"/>
      <c r="M261" s="96"/>
      <c r="N261" s="100"/>
      <c r="O261" s="241">
        <f t="shared" si="6"/>
        <v>0</v>
      </c>
      <c r="P261" s="101"/>
      <c r="Q261" s="101"/>
      <c r="R261" s="101"/>
      <c r="S261" s="101"/>
      <c r="T261" s="101"/>
      <c r="U261" s="101"/>
      <c r="V261" s="101"/>
      <c r="W261" s="101"/>
      <c r="X261" s="101"/>
      <c r="Y261" s="101"/>
      <c r="Z261" s="101"/>
      <c r="AA261" s="101"/>
      <c r="AB261" s="101"/>
      <c r="AC261" s="101"/>
      <c r="AD261" s="101"/>
    </row>
    <row r="262" spans="1:30" ht="15.75" hidden="1" customHeight="1" x14ac:dyDescent="0.25">
      <c r="A262" s="94"/>
      <c r="B262" s="749"/>
      <c r="C262" s="756"/>
      <c r="D262" s="752"/>
      <c r="E262" s="752"/>
      <c r="F262" s="752"/>
      <c r="G262" s="752"/>
      <c r="H262" s="15"/>
      <c r="I262" s="40"/>
      <c r="J262" s="109"/>
      <c r="K262" s="96"/>
      <c r="L262" s="96"/>
      <c r="M262" s="96"/>
      <c r="N262" s="100"/>
      <c r="O262" s="241">
        <f t="shared" si="6"/>
        <v>0</v>
      </c>
    </row>
    <row r="263" spans="1:30" ht="15.75" hidden="1" customHeight="1" thickBot="1" x14ac:dyDescent="0.3">
      <c r="A263" s="112"/>
      <c r="B263" s="760"/>
      <c r="C263" s="757"/>
      <c r="D263" s="753"/>
      <c r="E263" s="753"/>
      <c r="F263" s="753"/>
      <c r="G263" s="753"/>
      <c r="H263" s="113"/>
      <c r="I263" s="114"/>
      <c r="J263" s="115"/>
      <c r="K263" s="116"/>
      <c r="L263" s="116"/>
      <c r="M263" s="116"/>
      <c r="N263" s="117"/>
      <c r="O263" s="241">
        <f t="shared" si="6"/>
        <v>0</v>
      </c>
    </row>
    <row r="264" spans="1:30" ht="15.75" hidden="1" customHeight="1" thickBot="1" x14ac:dyDescent="0.3">
      <c r="A264" s="105"/>
      <c r="B264" s="106"/>
      <c r="C264" s="106"/>
      <c r="D264" s="106"/>
      <c r="E264" s="106"/>
      <c r="F264" s="2"/>
      <c r="G264" s="2"/>
      <c r="H264" s="2"/>
      <c r="O264" s="243"/>
    </row>
    <row r="265" spans="1:30" ht="54" hidden="1" customHeight="1" x14ac:dyDescent="0.25">
      <c r="A265" s="107"/>
      <c r="B265" s="108"/>
      <c r="C265" s="90"/>
      <c r="D265" s="91"/>
      <c r="E265" s="91"/>
      <c r="F265" s="91"/>
      <c r="G265" s="91"/>
      <c r="H265" s="91"/>
      <c r="I265" s="91"/>
      <c r="J265" s="92"/>
      <c r="K265" s="91"/>
      <c r="L265" s="91"/>
      <c r="M265" s="91"/>
      <c r="N265" s="93"/>
      <c r="O265" s="243"/>
    </row>
    <row r="266" spans="1:30" ht="15.75" hidden="1" customHeight="1" x14ac:dyDescent="0.25">
      <c r="A266" s="94"/>
      <c r="B266" s="930"/>
      <c r="C266" s="931"/>
      <c r="D266" s="912"/>
      <c r="E266" s="912"/>
      <c r="F266" s="913"/>
      <c r="G266" s="913"/>
      <c r="H266" s="15"/>
      <c r="I266" s="40"/>
      <c r="J266" s="102"/>
      <c r="K266" s="96"/>
      <c r="L266" s="96"/>
      <c r="M266" s="96"/>
      <c r="N266" s="88"/>
      <c r="O266" s="241">
        <f t="shared" ref="O266:O277" si="7">LEN(N266)</f>
        <v>0</v>
      </c>
    </row>
    <row r="267" spans="1:30" ht="15.75" hidden="1" customHeight="1" x14ac:dyDescent="0.25">
      <c r="A267" s="94"/>
      <c r="B267" s="749"/>
      <c r="C267" s="756"/>
      <c r="D267" s="752"/>
      <c r="E267" s="752"/>
      <c r="F267" s="752"/>
      <c r="G267" s="752"/>
      <c r="H267" s="15"/>
      <c r="I267" s="40"/>
      <c r="J267" s="102"/>
      <c r="K267" s="96"/>
      <c r="L267" s="96"/>
      <c r="M267" s="96"/>
      <c r="N267" s="88"/>
      <c r="O267" s="241">
        <f t="shared" si="7"/>
        <v>0</v>
      </c>
    </row>
    <row r="268" spans="1:30" ht="15.75" hidden="1" customHeight="1" x14ac:dyDescent="0.25">
      <c r="A268" s="94"/>
      <c r="B268" s="749"/>
      <c r="C268" s="756"/>
      <c r="D268" s="752"/>
      <c r="E268" s="752"/>
      <c r="F268" s="752"/>
      <c r="G268" s="752"/>
      <c r="H268" s="15"/>
      <c r="I268" s="40"/>
      <c r="J268" s="102"/>
      <c r="K268" s="96"/>
      <c r="L268" s="96"/>
      <c r="M268" s="96"/>
      <c r="N268" s="88"/>
      <c r="O268" s="241">
        <f t="shared" si="7"/>
        <v>0</v>
      </c>
    </row>
    <row r="269" spans="1:30" ht="15.75" hidden="1" customHeight="1" x14ac:dyDescent="0.25">
      <c r="A269" s="94"/>
      <c r="B269" s="749"/>
      <c r="C269" s="756"/>
      <c r="D269" s="752"/>
      <c r="E269" s="752"/>
      <c r="F269" s="752"/>
      <c r="G269" s="752"/>
      <c r="H269" s="15"/>
      <c r="I269" s="40"/>
      <c r="J269" s="102"/>
      <c r="K269" s="96"/>
      <c r="L269" s="96"/>
      <c r="M269" s="96"/>
      <c r="N269" s="88"/>
      <c r="O269" s="241">
        <f t="shared" si="7"/>
        <v>0</v>
      </c>
    </row>
    <row r="270" spans="1:30" ht="15.75" hidden="1" customHeight="1" x14ac:dyDescent="0.25">
      <c r="A270" s="94"/>
      <c r="B270" s="749"/>
      <c r="C270" s="756"/>
      <c r="D270" s="752"/>
      <c r="E270" s="752"/>
      <c r="F270" s="752"/>
      <c r="G270" s="752"/>
      <c r="H270" s="15"/>
      <c r="I270" s="40"/>
      <c r="J270" s="102"/>
      <c r="K270" s="96"/>
      <c r="L270" s="96"/>
      <c r="M270" s="96"/>
      <c r="N270" s="88"/>
      <c r="O270" s="241">
        <f t="shared" si="7"/>
        <v>0</v>
      </c>
    </row>
    <row r="271" spans="1:30" ht="15.75" hidden="1" customHeight="1" x14ac:dyDescent="0.25">
      <c r="A271" s="94"/>
      <c r="B271" s="749"/>
      <c r="C271" s="756"/>
      <c r="D271" s="752"/>
      <c r="E271" s="752"/>
      <c r="F271" s="752"/>
      <c r="G271" s="752"/>
      <c r="H271" s="15"/>
      <c r="I271" s="110"/>
      <c r="J271" s="102"/>
      <c r="K271" s="96"/>
      <c r="L271" s="96"/>
      <c r="M271" s="96"/>
      <c r="N271" s="88"/>
      <c r="O271" s="241">
        <f t="shared" si="7"/>
        <v>0</v>
      </c>
    </row>
    <row r="272" spans="1:30" ht="15.75" hidden="1" customHeight="1" x14ac:dyDescent="0.25">
      <c r="A272" s="94"/>
      <c r="B272" s="749"/>
      <c r="C272" s="756"/>
      <c r="D272" s="752"/>
      <c r="E272" s="752"/>
      <c r="F272" s="752"/>
      <c r="G272" s="752"/>
      <c r="H272" s="15"/>
      <c r="I272" s="110"/>
      <c r="J272" s="102"/>
      <c r="K272" s="96"/>
      <c r="L272" s="96"/>
      <c r="M272" s="96"/>
      <c r="N272" s="88"/>
      <c r="O272" s="241">
        <f t="shared" si="7"/>
        <v>0</v>
      </c>
    </row>
    <row r="273" spans="1:30" ht="15.75" hidden="1" customHeight="1" x14ac:dyDescent="0.25">
      <c r="A273" s="94"/>
      <c r="B273" s="749"/>
      <c r="C273" s="756"/>
      <c r="D273" s="752"/>
      <c r="E273" s="752"/>
      <c r="F273" s="752"/>
      <c r="G273" s="752"/>
      <c r="H273" s="15"/>
      <c r="I273" s="110"/>
      <c r="J273" s="102"/>
      <c r="K273" s="96"/>
      <c r="L273" s="96"/>
      <c r="M273" s="96"/>
      <c r="N273" s="88"/>
      <c r="O273" s="241">
        <f t="shared" si="7"/>
        <v>0</v>
      </c>
    </row>
    <row r="274" spans="1:30" ht="15.75" hidden="1" customHeight="1" x14ac:dyDescent="0.25">
      <c r="A274" s="94"/>
      <c r="B274" s="749"/>
      <c r="C274" s="756"/>
      <c r="D274" s="752"/>
      <c r="E274" s="752"/>
      <c r="F274" s="752"/>
      <c r="G274" s="752"/>
      <c r="H274" s="15"/>
      <c r="I274" s="40"/>
      <c r="J274" s="102"/>
      <c r="K274" s="96"/>
      <c r="L274" s="96"/>
      <c r="M274" s="96"/>
      <c r="N274" s="88"/>
      <c r="O274" s="241">
        <f t="shared" si="7"/>
        <v>0</v>
      </c>
    </row>
    <row r="275" spans="1:30" ht="15.75" hidden="1" customHeight="1" x14ac:dyDescent="0.25">
      <c r="A275" s="97"/>
      <c r="B275" s="749"/>
      <c r="C275" s="756"/>
      <c r="D275" s="752"/>
      <c r="E275" s="752"/>
      <c r="F275" s="752"/>
      <c r="G275" s="752"/>
      <c r="H275" s="15"/>
      <c r="I275" s="98"/>
      <c r="J275" s="102"/>
      <c r="K275" s="96"/>
      <c r="L275" s="96"/>
      <c r="M275" s="96"/>
      <c r="N275" s="88"/>
      <c r="O275" s="241">
        <f t="shared" si="7"/>
        <v>0</v>
      </c>
      <c r="P275" s="101"/>
      <c r="Q275" s="101"/>
      <c r="R275" s="101"/>
      <c r="S275" s="101"/>
      <c r="T275" s="101"/>
      <c r="U275" s="101"/>
      <c r="V275" s="101"/>
      <c r="W275" s="101"/>
      <c r="X275" s="101"/>
      <c r="Y275" s="101"/>
      <c r="Z275" s="101"/>
      <c r="AA275" s="101"/>
      <c r="AB275" s="101"/>
      <c r="AC275" s="101"/>
      <c r="AD275" s="101"/>
    </row>
    <row r="276" spans="1:30" ht="15.75" hidden="1" customHeight="1" x14ac:dyDescent="0.25">
      <c r="A276" s="94"/>
      <c r="B276" s="749"/>
      <c r="C276" s="756"/>
      <c r="D276" s="752"/>
      <c r="E276" s="752"/>
      <c r="F276" s="752"/>
      <c r="G276" s="752"/>
      <c r="H276" s="15"/>
      <c r="I276" s="40"/>
      <c r="J276" s="102"/>
      <c r="K276" s="96"/>
      <c r="L276" s="96"/>
      <c r="M276" s="96"/>
      <c r="N276" s="246"/>
      <c r="O276" s="241">
        <f t="shared" si="7"/>
        <v>0</v>
      </c>
    </row>
    <row r="277" spans="1:30" ht="15.75" hidden="1" customHeight="1" thickBot="1" x14ac:dyDescent="0.3">
      <c r="A277" s="112"/>
      <c r="B277" s="760"/>
      <c r="C277" s="757"/>
      <c r="D277" s="753"/>
      <c r="E277" s="753"/>
      <c r="F277" s="753"/>
      <c r="G277" s="753"/>
      <c r="H277" s="113"/>
      <c r="I277" s="41"/>
      <c r="J277" s="247"/>
      <c r="K277" s="96"/>
      <c r="L277" s="96"/>
      <c r="M277" s="116"/>
      <c r="N277" s="246"/>
      <c r="O277" s="241">
        <f t="shared" si="7"/>
        <v>0</v>
      </c>
    </row>
    <row r="278" spans="1:30" ht="15.75" hidden="1" customHeight="1" thickBot="1" x14ac:dyDescent="0.3">
      <c r="A278" s="105"/>
      <c r="B278" s="106"/>
      <c r="C278" s="106"/>
      <c r="D278" s="106"/>
      <c r="E278" s="106"/>
      <c r="F278" s="2"/>
      <c r="G278" s="2"/>
      <c r="H278" s="2"/>
      <c r="O278" s="243"/>
    </row>
    <row r="279" spans="1:30" ht="34.5" hidden="1" customHeight="1" x14ac:dyDescent="0.25">
      <c r="A279" s="107"/>
      <c r="B279" s="108"/>
      <c r="C279" s="90"/>
      <c r="D279" s="91"/>
      <c r="E279" s="91"/>
      <c r="F279" s="91"/>
      <c r="G279" s="91"/>
      <c r="H279" s="91"/>
      <c r="I279" s="91"/>
      <c r="J279" s="92"/>
      <c r="K279" s="91"/>
      <c r="L279" s="91"/>
      <c r="M279" s="91"/>
      <c r="N279" s="93"/>
      <c r="O279" s="243"/>
    </row>
    <row r="280" spans="1:30" ht="15.75" hidden="1" customHeight="1" x14ac:dyDescent="0.25">
      <c r="A280" s="94"/>
      <c r="B280" s="930"/>
      <c r="C280" s="931"/>
      <c r="D280" s="912"/>
      <c r="E280" s="912"/>
      <c r="F280" s="913"/>
      <c r="G280" s="913"/>
      <c r="H280" s="15"/>
      <c r="I280" s="40"/>
      <c r="J280" s="102"/>
      <c r="K280" s="96"/>
      <c r="L280" s="96"/>
      <c r="M280" s="96"/>
      <c r="N280" s="88"/>
      <c r="O280" s="241">
        <f t="shared" ref="O280:O291" si="8">LEN(N280)</f>
        <v>0</v>
      </c>
    </row>
    <row r="281" spans="1:30" ht="15.75" hidden="1" customHeight="1" x14ac:dyDescent="0.25">
      <c r="A281" s="94"/>
      <c r="B281" s="749"/>
      <c r="C281" s="756"/>
      <c r="D281" s="752"/>
      <c r="E281" s="752"/>
      <c r="F281" s="752"/>
      <c r="G281" s="752"/>
      <c r="H281" s="15"/>
      <c r="I281" s="40"/>
      <c r="J281" s="102"/>
      <c r="K281" s="96"/>
      <c r="L281" s="96"/>
      <c r="M281" s="96"/>
      <c r="N281" s="88"/>
      <c r="O281" s="241">
        <f t="shared" si="8"/>
        <v>0</v>
      </c>
    </row>
    <row r="282" spans="1:30" ht="15.75" hidden="1" customHeight="1" x14ac:dyDescent="0.25">
      <c r="A282" s="94"/>
      <c r="B282" s="749"/>
      <c r="C282" s="756"/>
      <c r="D282" s="752"/>
      <c r="E282" s="752"/>
      <c r="F282" s="752"/>
      <c r="G282" s="752"/>
      <c r="H282" s="15"/>
      <c r="I282" s="40"/>
      <c r="J282" s="102"/>
      <c r="K282" s="96"/>
      <c r="L282" s="96"/>
      <c r="M282" s="96"/>
      <c r="N282" s="88"/>
      <c r="O282" s="241">
        <f t="shared" si="8"/>
        <v>0</v>
      </c>
    </row>
    <row r="283" spans="1:30" ht="15.75" hidden="1" customHeight="1" x14ac:dyDescent="0.25">
      <c r="A283" s="94"/>
      <c r="B283" s="749"/>
      <c r="C283" s="756"/>
      <c r="D283" s="752"/>
      <c r="E283" s="752"/>
      <c r="F283" s="752"/>
      <c r="G283" s="752"/>
      <c r="H283" s="15"/>
      <c r="I283" s="40"/>
      <c r="J283" s="102"/>
      <c r="K283" s="96"/>
      <c r="L283" s="96"/>
      <c r="M283" s="96"/>
      <c r="N283" s="88"/>
      <c r="O283" s="241">
        <f t="shared" si="8"/>
        <v>0</v>
      </c>
    </row>
    <row r="284" spans="1:30" ht="15.75" hidden="1" customHeight="1" x14ac:dyDescent="0.25">
      <c r="A284" s="94"/>
      <c r="B284" s="749"/>
      <c r="C284" s="756"/>
      <c r="D284" s="752"/>
      <c r="E284" s="752"/>
      <c r="F284" s="752"/>
      <c r="G284" s="752"/>
      <c r="H284" s="15"/>
      <c r="I284" s="40"/>
      <c r="J284" s="102"/>
      <c r="K284" s="96"/>
      <c r="L284" s="96"/>
      <c r="M284" s="96"/>
      <c r="N284" s="88"/>
      <c r="O284" s="241">
        <f t="shared" si="8"/>
        <v>0</v>
      </c>
    </row>
    <row r="285" spans="1:30" ht="15.75" hidden="1" customHeight="1" x14ac:dyDescent="0.25">
      <c r="A285" s="94"/>
      <c r="B285" s="749"/>
      <c r="C285" s="756"/>
      <c r="D285" s="752"/>
      <c r="E285" s="752"/>
      <c r="F285" s="752"/>
      <c r="G285" s="752"/>
      <c r="H285" s="15"/>
      <c r="I285" s="40"/>
      <c r="J285" s="102"/>
      <c r="K285" s="96"/>
      <c r="L285" s="96"/>
      <c r="M285" s="96"/>
      <c r="N285" s="88"/>
      <c r="O285" s="241">
        <f t="shared" si="8"/>
        <v>0</v>
      </c>
    </row>
    <row r="286" spans="1:30" ht="15.75" hidden="1" customHeight="1" x14ac:dyDescent="0.25">
      <c r="A286" s="94"/>
      <c r="B286" s="749"/>
      <c r="C286" s="756"/>
      <c r="D286" s="752"/>
      <c r="E286" s="752"/>
      <c r="F286" s="752"/>
      <c r="G286" s="752"/>
      <c r="H286" s="15"/>
      <c r="I286" s="40"/>
      <c r="J286" s="102"/>
      <c r="K286" s="96"/>
      <c r="L286" s="96"/>
      <c r="M286" s="96"/>
      <c r="N286" s="88"/>
      <c r="O286" s="241">
        <f t="shared" si="8"/>
        <v>0</v>
      </c>
    </row>
    <row r="287" spans="1:30" ht="15.75" hidden="1" customHeight="1" x14ac:dyDescent="0.25">
      <c r="A287" s="94"/>
      <c r="B287" s="749"/>
      <c r="C287" s="756"/>
      <c r="D287" s="752"/>
      <c r="E287" s="752"/>
      <c r="F287" s="752"/>
      <c r="G287" s="752"/>
      <c r="H287" s="15"/>
      <c r="I287" s="110"/>
      <c r="J287" s="102"/>
      <c r="K287" s="96"/>
      <c r="L287" s="96"/>
      <c r="M287" s="96"/>
      <c r="N287" s="88"/>
      <c r="O287" s="241">
        <f t="shared" si="8"/>
        <v>0</v>
      </c>
    </row>
    <row r="288" spans="1:30" ht="15.75" hidden="1" customHeight="1" x14ac:dyDescent="0.25">
      <c r="A288" s="94"/>
      <c r="B288" s="749"/>
      <c r="C288" s="756"/>
      <c r="D288" s="752"/>
      <c r="E288" s="752"/>
      <c r="F288" s="752"/>
      <c r="G288" s="752"/>
      <c r="H288" s="15"/>
      <c r="I288" s="40"/>
      <c r="J288" s="102"/>
      <c r="K288" s="96"/>
      <c r="L288" s="96"/>
      <c r="M288" s="96"/>
      <c r="N288" s="88"/>
      <c r="O288" s="241">
        <f t="shared" si="8"/>
        <v>0</v>
      </c>
    </row>
    <row r="289" spans="1:30" ht="15.75" hidden="1" customHeight="1" x14ac:dyDescent="0.25">
      <c r="A289" s="97"/>
      <c r="B289" s="749"/>
      <c r="C289" s="756"/>
      <c r="D289" s="752"/>
      <c r="E289" s="752"/>
      <c r="F289" s="752"/>
      <c r="G289" s="752"/>
      <c r="H289" s="15"/>
      <c r="I289" s="98"/>
      <c r="J289" s="102"/>
      <c r="K289" s="96"/>
      <c r="L289" s="96"/>
      <c r="M289" s="96"/>
      <c r="N289" s="88"/>
      <c r="O289" s="241">
        <f t="shared" si="8"/>
        <v>0</v>
      </c>
      <c r="P289" s="101"/>
      <c r="Q289" s="101"/>
      <c r="R289" s="101"/>
      <c r="S289" s="101"/>
      <c r="T289" s="101"/>
      <c r="U289" s="101"/>
      <c r="V289" s="101"/>
      <c r="W289" s="101"/>
      <c r="X289" s="101"/>
      <c r="Y289" s="101"/>
      <c r="Z289" s="101"/>
      <c r="AA289" s="101"/>
      <c r="AB289" s="101"/>
      <c r="AC289" s="101"/>
      <c r="AD289" s="101"/>
    </row>
    <row r="290" spans="1:30" ht="15.75" hidden="1" customHeight="1" x14ac:dyDescent="0.25">
      <c r="A290" s="94"/>
      <c r="B290" s="749"/>
      <c r="C290" s="756"/>
      <c r="D290" s="752"/>
      <c r="E290" s="752"/>
      <c r="F290" s="752"/>
      <c r="G290" s="752"/>
      <c r="H290" s="15"/>
      <c r="I290" s="40"/>
      <c r="J290" s="102"/>
      <c r="K290" s="96"/>
      <c r="L290" s="96"/>
      <c r="M290" s="96"/>
      <c r="N290" s="88"/>
      <c r="O290" s="241">
        <f t="shared" si="8"/>
        <v>0</v>
      </c>
    </row>
    <row r="291" spans="1:30" ht="15.75" hidden="1" customHeight="1" thickBot="1" x14ac:dyDescent="0.3">
      <c r="A291" s="112"/>
      <c r="B291" s="760"/>
      <c r="C291" s="757"/>
      <c r="D291" s="753"/>
      <c r="E291" s="753"/>
      <c r="F291" s="753"/>
      <c r="G291" s="753"/>
      <c r="H291" s="113"/>
      <c r="I291" s="41"/>
      <c r="J291" s="247"/>
      <c r="K291" s="96"/>
      <c r="L291" s="96"/>
      <c r="M291" s="96"/>
      <c r="N291" s="88"/>
      <c r="O291" s="241">
        <f t="shared" si="8"/>
        <v>0</v>
      </c>
    </row>
    <row r="292" spans="1:30" ht="15.75" hidden="1" customHeight="1" x14ac:dyDescent="0.25">
      <c r="A292" s="105"/>
      <c r="B292" s="106"/>
      <c r="C292" s="106"/>
      <c r="D292" s="106"/>
      <c r="E292" s="106"/>
      <c r="F292" s="2"/>
      <c r="G292" s="2"/>
      <c r="H292" s="2"/>
      <c r="O292" s="243"/>
    </row>
    <row r="293" spans="1:30" ht="15.75" hidden="1" customHeight="1" thickBot="1" x14ac:dyDescent="0.3">
      <c r="A293" s="105"/>
      <c r="B293" s="106"/>
      <c r="C293" s="106"/>
      <c r="D293" s="106"/>
      <c r="E293" s="106"/>
      <c r="F293" s="2"/>
      <c r="G293" s="2"/>
      <c r="H293" s="2"/>
      <c r="O293" s="243"/>
    </row>
    <row r="294" spans="1:30" ht="45.75" hidden="1" customHeight="1" x14ac:dyDescent="0.25">
      <c r="A294" s="107"/>
      <c r="B294" s="91"/>
      <c r="C294" s="91"/>
      <c r="D294" s="91"/>
      <c r="E294" s="91"/>
      <c r="F294" s="91"/>
      <c r="G294" s="91"/>
      <c r="H294" s="91"/>
      <c r="I294" s="91"/>
      <c r="J294" s="92"/>
      <c r="K294" s="91"/>
      <c r="L294" s="91"/>
      <c r="M294" s="91"/>
      <c r="N294" s="93"/>
      <c r="O294" s="243"/>
    </row>
    <row r="295" spans="1:30" ht="15.75" hidden="1" customHeight="1" x14ac:dyDescent="0.25">
      <c r="A295" s="94"/>
      <c r="B295" s="912"/>
      <c r="C295" s="912"/>
      <c r="D295" s="912"/>
      <c r="E295" s="913"/>
      <c r="F295" s="913"/>
      <c r="G295" s="913"/>
      <c r="H295" s="95"/>
      <c r="I295" s="40"/>
      <c r="J295" s="102"/>
      <c r="K295" s="119"/>
      <c r="L295" s="96"/>
      <c r="M295" s="120"/>
      <c r="N295" s="88"/>
      <c r="O295" s="241">
        <f t="shared" ref="O295:O306" si="9">LEN(N295)</f>
        <v>0</v>
      </c>
    </row>
    <row r="296" spans="1:30" ht="15.75" hidden="1" customHeight="1" x14ac:dyDescent="0.25">
      <c r="A296" s="94"/>
      <c r="B296" s="752"/>
      <c r="C296" s="752"/>
      <c r="D296" s="752"/>
      <c r="E296" s="752"/>
      <c r="F296" s="752"/>
      <c r="G296" s="752"/>
      <c r="H296" s="95"/>
      <c r="I296" s="110"/>
      <c r="J296" s="102"/>
      <c r="K296" s="119"/>
      <c r="L296" s="96"/>
      <c r="M296" s="120"/>
      <c r="N296" s="88"/>
      <c r="O296" s="241">
        <f t="shared" si="9"/>
        <v>0</v>
      </c>
    </row>
    <row r="297" spans="1:30" ht="15.75" hidden="1" customHeight="1" x14ac:dyDescent="0.25">
      <c r="A297" s="94"/>
      <c r="B297" s="752"/>
      <c r="C297" s="752"/>
      <c r="D297" s="752"/>
      <c r="E297" s="752"/>
      <c r="F297" s="752"/>
      <c r="G297" s="752"/>
      <c r="H297" s="95"/>
      <c r="I297" s="40"/>
      <c r="J297" s="102"/>
      <c r="K297" s="119"/>
      <c r="L297" s="96"/>
      <c r="M297" s="120"/>
      <c r="N297" s="88"/>
      <c r="O297" s="241">
        <f t="shared" si="9"/>
        <v>0</v>
      </c>
    </row>
    <row r="298" spans="1:30" ht="15.75" hidden="1" customHeight="1" x14ac:dyDescent="0.25">
      <c r="A298" s="94"/>
      <c r="B298" s="752"/>
      <c r="C298" s="752"/>
      <c r="D298" s="752"/>
      <c r="E298" s="752"/>
      <c r="F298" s="752"/>
      <c r="G298" s="752"/>
      <c r="H298" s="95"/>
      <c r="I298" s="110"/>
      <c r="J298" s="102"/>
      <c r="K298" s="119"/>
      <c r="L298" s="96"/>
      <c r="M298" s="120"/>
      <c r="N298" s="88"/>
      <c r="O298" s="241">
        <f t="shared" si="9"/>
        <v>0</v>
      </c>
    </row>
    <row r="299" spans="1:30" ht="15.75" hidden="1" customHeight="1" x14ac:dyDescent="0.25">
      <c r="A299" s="94"/>
      <c r="B299" s="752"/>
      <c r="C299" s="752"/>
      <c r="D299" s="752"/>
      <c r="E299" s="752"/>
      <c r="F299" s="752"/>
      <c r="G299" s="752"/>
      <c r="H299" s="95"/>
      <c r="I299" s="40"/>
      <c r="J299" s="102"/>
      <c r="K299" s="119"/>
      <c r="L299" s="96"/>
      <c r="M299" s="120"/>
      <c r="N299" s="88"/>
      <c r="O299" s="241">
        <f t="shared" si="9"/>
        <v>0</v>
      </c>
    </row>
    <row r="300" spans="1:30" ht="15.75" hidden="1" customHeight="1" x14ac:dyDescent="0.25">
      <c r="A300" s="94"/>
      <c r="B300" s="752"/>
      <c r="C300" s="752"/>
      <c r="D300" s="752"/>
      <c r="E300" s="752"/>
      <c r="F300" s="752"/>
      <c r="G300" s="752"/>
      <c r="H300" s="95"/>
      <c r="I300" s="40"/>
      <c r="J300" s="102"/>
      <c r="K300" s="119"/>
      <c r="L300" s="96"/>
      <c r="M300" s="120"/>
      <c r="N300" s="88"/>
      <c r="O300" s="241">
        <f t="shared" si="9"/>
        <v>0</v>
      </c>
    </row>
    <row r="301" spans="1:30" ht="15.75" hidden="1" customHeight="1" x14ac:dyDescent="0.25">
      <c r="A301" s="94"/>
      <c r="B301" s="752"/>
      <c r="C301" s="752"/>
      <c r="D301" s="752"/>
      <c r="E301" s="752"/>
      <c r="F301" s="752"/>
      <c r="G301" s="752"/>
      <c r="H301" s="95"/>
      <c r="I301" s="40"/>
      <c r="J301" s="102"/>
      <c r="K301" s="119"/>
      <c r="L301" s="96"/>
      <c r="M301" s="120"/>
      <c r="N301" s="88"/>
      <c r="O301" s="241">
        <f t="shared" si="9"/>
        <v>0</v>
      </c>
    </row>
    <row r="302" spans="1:30" ht="15.75" hidden="1" customHeight="1" x14ac:dyDescent="0.25">
      <c r="A302" s="94"/>
      <c r="B302" s="752"/>
      <c r="C302" s="752"/>
      <c r="D302" s="752"/>
      <c r="E302" s="752"/>
      <c r="F302" s="752"/>
      <c r="G302" s="752"/>
      <c r="H302" s="95"/>
      <c r="I302" s="40"/>
      <c r="J302" s="102"/>
      <c r="K302" s="119"/>
      <c r="L302" s="96"/>
      <c r="M302" s="120"/>
      <c r="N302" s="88"/>
      <c r="O302" s="241">
        <f t="shared" si="9"/>
        <v>0</v>
      </c>
    </row>
    <row r="303" spans="1:30" ht="15.75" hidden="1" customHeight="1" x14ac:dyDescent="0.25">
      <c r="A303" s="94"/>
      <c r="B303" s="752"/>
      <c r="C303" s="752"/>
      <c r="D303" s="752"/>
      <c r="E303" s="752"/>
      <c r="F303" s="752"/>
      <c r="G303" s="752"/>
      <c r="H303" s="95"/>
      <c r="I303" s="40"/>
      <c r="J303" s="102"/>
      <c r="K303" s="119"/>
      <c r="L303" s="96"/>
      <c r="M303" s="120"/>
      <c r="N303" s="88"/>
      <c r="O303" s="241">
        <f t="shared" si="9"/>
        <v>0</v>
      </c>
    </row>
    <row r="304" spans="1:30" ht="15.75" hidden="1" customHeight="1" x14ac:dyDescent="0.25">
      <c r="A304" s="97"/>
      <c r="B304" s="752"/>
      <c r="C304" s="752"/>
      <c r="D304" s="752"/>
      <c r="E304" s="752"/>
      <c r="F304" s="752"/>
      <c r="G304" s="752"/>
      <c r="H304" s="95"/>
      <c r="I304" s="111"/>
      <c r="J304" s="102"/>
      <c r="K304" s="119"/>
      <c r="L304" s="96"/>
      <c r="M304" s="120"/>
      <c r="N304" s="88"/>
      <c r="O304" s="241">
        <f t="shared" si="9"/>
        <v>0</v>
      </c>
      <c r="P304" s="101"/>
      <c r="Q304" s="101"/>
      <c r="R304" s="101"/>
      <c r="S304" s="101"/>
      <c r="T304" s="101"/>
      <c r="U304" s="101"/>
      <c r="V304" s="101"/>
      <c r="W304" s="101"/>
      <c r="X304" s="101"/>
      <c r="Y304" s="101"/>
      <c r="Z304" s="101"/>
      <c r="AA304" s="101"/>
      <c r="AB304" s="101"/>
      <c r="AC304" s="101"/>
      <c r="AD304" s="101"/>
    </row>
    <row r="305" spans="1:16" ht="15.75" hidden="1" customHeight="1" x14ac:dyDescent="0.25">
      <c r="A305" s="94"/>
      <c r="B305" s="752"/>
      <c r="C305" s="752"/>
      <c r="D305" s="752"/>
      <c r="E305" s="752"/>
      <c r="F305" s="752"/>
      <c r="G305" s="752"/>
      <c r="H305" s="95"/>
      <c r="I305" s="110"/>
      <c r="J305" s="102"/>
      <c r="K305" s="119"/>
      <c r="L305" s="96"/>
      <c r="M305" s="120"/>
      <c r="N305" s="88"/>
      <c r="O305" s="241">
        <f t="shared" si="9"/>
        <v>0</v>
      </c>
    </row>
    <row r="306" spans="1:16" ht="15.75" hidden="1" customHeight="1" thickBot="1" x14ac:dyDescent="0.3">
      <c r="A306" s="112"/>
      <c r="B306" s="753"/>
      <c r="C306" s="753"/>
      <c r="D306" s="753"/>
      <c r="E306" s="753"/>
      <c r="F306" s="753"/>
      <c r="G306" s="753"/>
      <c r="H306" s="113"/>
      <c r="I306" s="41"/>
      <c r="J306" s="247"/>
      <c r="K306" s="119"/>
      <c r="L306" s="96"/>
      <c r="M306" s="120"/>
      <c r="N306" s="88"/>
      <c r="O306" s="241">
        <f t="shared" si="9"/>
        <v>0</v>
      </c>
    </row>
    <row r="307" spans="1:16" ht="15.75" customHeight="1" x14ac:dyDescent="0.25">
      <c r="A307" s="248"/>
      <c r="B307" s="249"/>
      <c r="C307" s="249"/>
      <c r="D307" s="249"/>
      <c r="E307" s="249"/>
      <c r="F307" s="249"/>
      <c r="G307" s="249"/>
      <c r="H307" s="250"/>
      <c r="I307" s="251"/>
      <c r="J307" s="252"/>
      <c r="K307" s="253"/>
      <c r="L307" s="254"/>
      <c r="M307" s="255"/>
      <c r="N307" s="251"/>
      <c r="O307" s="256"/>
    </row>
    <row r="308" spans="1:16" ht="15.75" customHeight="1" thickBot="1" x14ac:dyDescent="0.3">
      <c r="O308" s="238"/>
      <c r="P308" s="376"/>
    </row>
    <row r="309" spans="1:16" ht="35.25" customHeight="1" x14ac:dyDescent="0.25">
      <c r="A309" s="984" t="s">
        <v>366</v>
      </c>
      <c r="B309" s="920"/>
      <c r="C309" s="920"/>
      <c r="D309" s="920"/>
      <c r="E309" s="920"/>
      <c r="F309" s="920"/>
      <c r="G309" s="920"/>
      <c r="H309" s="920"/>
      <c r="I309" s="920"/>
      <c r="J309" s="920"/>
      <c r="K309" s="920"/>
      <c r="L309" s="920"/>
      <c r="M309" s="920"/>
      <c r="N309" s="921"/>
      <c r="O309" s="377"/>
    </row>
    <row r="310" spans="1:16" ht="45.75" customHeight="1" x14ac:dyDescent="0.25">
      <c r="A310" s="182" t="s">
        <v>28</v>
      </c>
      <c r="B310" s="86" t="s">
        <v>318</v>
      </c>
      <c r="C310" s="86" t="s">
        <v>319</v>
      </c>
      <c r="D310" s="86" t="s">
        <v>320</v>
      </c>
      <c r="E310" s="86" t="s">
        <v>321</v>
      </c>
      <c r="F310" s="86" t="s">
        <v>367</v>
      </c>
      <c r="G310" s="86" t="s">
        <v>323</v>
      </c>
      <c r="H310" s="86" t="s">
        <v>368</v>
      </c>
      <c r="I310" s="86" t="s">
        <v>369</v>
      </c>
      <c r="J310" s="121" t="s">
        <v>370</v>
      </c>
      <c r="K310" s="86" t="s">
        <v>324</v>
      </c>
      <c r="L310" s="86" t="s">
        <v>325</v>
      </c>
      <c r="M310" s="86" t="s">
        <v>326</v>
      </c>
      <c r="N310" s="183" t="s">
        <v>327</v>
      </c>
      <c r="O310" s="377"/>
    </row>
    <row r="311" spans="1:16" ht="15.75" customHeight="1" x14ac:dyDescent="0.25">
      <c r="A311" s="398" t="s">
        <v>284</v>
      </c>
      <c r="B311" s="991" t="s">
        <v>328</v>
      </c>
      <c r="C311" s="994" t="s">
        <v>329</v>
      </c>
      <c r="D311" s="996" t="s">
        <v>330</v>
      </c>
      <c r="E311" s="922" t="s">
        <v>331</v>
      </c>
      <c r="F311" s="914">
        <v>100</v>
      </c>
      <c r="G311" s="914">
        <v>8</v>
      </c>
      <c r="H311" s="402">
        <v>2</v>
      </c>
      <c r="I311" s="403">
        <v>0</v>
      </c>
      <c r="J311" s="404">
        <f t="shared" ref="J311:J322" si="10">I311/H311</f>
        <v>0</v>
      </c>
      <c r="K311" s="403">
        <v>0</v>
      </c>
      <c r="L311" s="403">
        <v>0</v>
      </c>
      <c r="M311" s="405">
        <v>0</v>
      </c>
      <c r="N311" s="406" t="s">
        <v>371</v>
      </c>
      <c r="O311" s="256">
        <f t="shared" ref="O311:O321" si="11">LEN(N311)</f>
        <v>200</v>
      </c>
    </row>
    <row r="312" spans="1:16" ht="15.75" customHeight="1" x14ac:dyDescent="0.25">
      <c r="A312" s="398" t="s">
        <v>293</v>
      </c>
      <c r="B312" s="989"/>
      <c r="C312" s="812"/>
      <c r="D312" s="828"/>
      <c r="E312" s="828"/>
      <c r="F312" s="828"/>
      <c r="G312" s="828"/>
      <c r="H312" s="402">
        <v>2</v>
      </c>
      <c r="I312" s="403">
        <v>0.18</v>
      </c>
      <c r="J312" s="404">
        <f t="shared" si="10"/>
        <v>0.09</v>
      </c>
      <c r="K312" s="403">
        <v>0</v>
      </c>
      <c r="L312" s="403">
        <v>0</v>
      </c>
      <c r="M312" s="405">
        <v>0</v>
      </c>
      <c r="N312" s="407" t="s">
        <v>372</v>
      </c>
      <c r="O312" s="256">
        <f t="shared" si="11"/>
        <v>197</v>
      </c>
    </row>
    <row r="313" spans="1:16" ht="15.75" customHeight="1" x14ac:dyDescent="0.25">
      <c r="A313" s="398" t="s">
        <v>302</v>
      </c>
      <c r="B313" s="989"/>
      <c r="C313" s="812"/>
      <c r="D313" s="828"/>
      <c r="E313" s="828"/>
      <c r="F313" s="828"/>
      <c r="G313" s="828"/>
      <c r="H313" s="402">
        <v>2</v>
      </c>
      <c r="I313" s="403">
        <v>0.36</v>
      </c>
      <c r="J313" s="404">
        <f t="shared" si="10"/>
        <v>0.18</v>
      </c>
      <c r="K313" s="403">
        <v>0</v>
      </c>
      <c r="L313" s="403">
        <v>0</v>
      </c>
      <c r="M313" s="405">
        <v>0</v>
      </c>
      <c r="N313" s="408" t="s">
        <v>541</v>
      </c>
      <c r="O313" s="256">
        <f>LEN(N313)</f>
        <v>196</v>
      </c>
    </row>
    <row r="314" spans="1:16" ht="15.75" customHeight="1" x14ac:dyDescent="0.25">
      <c r="A314" s="398" t="s">
        <v>303</v>
      </c>
      <c r="B314" s="989"/>
      <c r="C314" s="812"/>
      <c r="D314" s="828"/>
      <c r="E314" s="828"/>
      <c r="F314" s="828"/>
      <c r="G314" s="828"/>
      <c r="H314" s="402">
        <v>2</v>
      </c>
      <c r="I314" s="403">
        <v>0.54</v>
      </c>
      <c r="J314" s="404">
        <f t="shared" si="10"/>
        <v>0.27</v>
      </c>
      <c r="K314" s="403">
        <v>0</v>
      </c>
      <c r="L314" s="403">
        <v>0</v>
      </c>
      <c r="M314" s="405">
        <v>0</v>
      </c>
      <c r="N314" s="407" t="s">
        <v>553</v>
      </c>
      <c r="O314" s="256">
        <f t="shared" si="11"/>
        <v>196</v>
      </c>
    </row>
    <row r="315" spans="1:16" ht="15.75" customHeight="1" x14ac:dyDescent="0.25">
      <c r="A315" s="398" t="s">
        <v>305</v>
      </c>
      <c r="B315" s="989"/>
      <c r="C315" s="812"/>
      <c r="D315" s="828"/>
      <c r="E315" s="828"/>
      <c r="F315" s="828"/>
      <c r="G315" s="828"/>
      <c r="H315" s="402">
        <v>2</v>
      </c>
      <c r="I315" s="409">
        <v>0.73</v>
      </c>
      <c r="J315" s="410">
        <f t="shared" si="10"/>
        <v>0.36499999999999999</v>
      </c>
      <c r="K315" s="403">
        <v>0</v>
      </c>
      <c r="L315" s="403">
        <v>0</v>
      </c>
      <c r="M315" s="405">
        <v>0</v>
      </c>
      <c r="N315" s="407" t="s">
        <v>623</v>
      </c>
      <c r="O315" s="256">
        <f t="shared" si="11"/>
        <v>198</v>
      </c>
    </row>
    <row r="316" spans="1:16" ht="15.75" customHeight="1" x14ac:dyDescent="0.25">
      <c r="A316" s="398" t="s">
        <v>306</v>
      </c>
      <c r="B316" s="989"/>
      <c r="C316" s="812"/>
      <c r="D316" s="828"/>
      <c r="E316" s="828"/>
      <c r="F316" s="828"/>
      <c r="G316" s="828"/>
      <c r="H316" s="402">
        <v>2</v>
      </c>
      <c r="I316" s="409">
        <v>0.83</v>
      </c>
      <c r="J316" s="410">
        <f t="shared" si="10"/>
        <v>0.41499999999999998</v>
      </c>
      <c r="K316" s="403">
        <v>0</v>
      </c>
      <c r="L316" s="403">
        <v>0</v>
      </c>
      <c r="M316" s="405">
        <v>0</v>
      </c>
      <c r="N316" s="407" t="s">
        <v>634</v>
      </c>
      <c r="O316" s="256">
        <f t="shared" si="11"/>
        <v>199</v>
      </c>
    </row>
    <row r="317" spans="1:16" ht="15.75" customHeight="1" x14ac:dyDescent="0.25">
      <c r="A317" s="398" t="s">
        <v>272</v>
      </c>
      <c r="B317" s="989"/>
      <c r="C317" s="812"/>
      <c r="D317" s="828"/>
      <c r="E317" s="828"/>
      <c r="F317" s="828"/>
      <c r="G317" s="828"/>
      <c r="H317" s="402">
        <v>2</v>
      </c>
      <c r="I317" s="403">
        <v>1.0900000000000001</v>
      </c>
      <c r="J317" s="404">
        <f t="shared" si="10"/>
        <v>0.54500000000000004</v>
      </c>
      <c r="K317" s="403">
        <v>0</v>
      </c>
      <c r="L317" s="403">
        <v>0</v>
      </c>
      <c r="M317" s="405">
        <v>0</v>
      </c>
      <c r="N317" s="407" t="s">
        <v>639</v>
      </c>
      <c r="O317" s="256">
        <f t="shared" si="11"/>
        <v>200</v>
      </c>
    </row>
    <row r="318" spans="1:16" ht="15.75" customHeight="1" x14ac:dyDescent="0.25">
      <c r="A318" s="398" t="s">
        <v>278</v>
      </c>
      <c r="B318" s="989"/>
      <c r="C318" s="812"/>
      <c r="D318" s="828"/>
      <c r="E318" s="828"/>
      <c r="F318" s="828"/>
      <c r="G318" s="828"/>
      <c r="H318" s="402">
        <v>2</v>
      </c>
      <c r="I318" s="411">
        <v>1.27</v>
      </c>
      <c r="J318" s="404">
        <f t="shared" si="10"/>
        <v>0.63500000000000001</v>
      </c>
      <c r="K318" s="403">
        <v>0</v>
      </c>
      <c r="L318" s="403">
        <v>0</v>
      </c>
      <c r="M318" s="405">
        <v>0</v>
      </c>
      <c r="N318" s="407" t="s">
        <v>675</v>
      </c>
      <c r="O318" s="256">
        <f t="shared" si="11"/>
        <v>201</v>
      </c>
    </row>
    <row r="319" spans="1:16" ht="15.75" customHeight="1" x14ac:dyDescent="0.25">
      <c r="A319" s="398" t="s">
        <v>279</v>
      </c>
      <c r="B319" s="989"/>
      <c r="C319" s="812"/>
      <c r="D319" s="828"/>
      <c r="E319" s="828"/>
      <c r="F319" s="828"/>
      <c r="G319" s="828"/>
      <c r="H319" s="402">
        <v>2</v>
      </c>
      <c r="I319" s="403">
        <v>1.45</v>
      </c>
      <c r="J319" s="404">
        <f t="shared" si="10"/>
        <v>0.72499999999999998</v>
      </c>
      <c r="K319" s="403">
        <v>0</v>
      </c>
      <c r="L319" s="403">
        <v>0</v>
      </c>
      <c r="M319" s="405">
        <v>0</v>
      </c>
      <c r="N319" s="407" t="s">
        <v>676</v>
      </c>
      <c r="O319" s="256">
        <f>2/11</f>
        <v>0.18181818181818182</v>
      </c>
      <c r="P319" s="14"/>
    </row>
    <row r="320" spans="1:16" ht="15.75" customHeight="1" x14ac:dyDescent="0.25">
      <c r="A320" s="398" t="s">
        <v>280</v>
      </c>
      <c r="B320" s="989"/>
      <c r="C320" s="812"/>
      <c r="D320" s="828"/>
      <c r="E320" s="828"/>
      <c r="F320" s="828"/>
      <c r="G320" s="828"/>
      <c r="H320" s="402">
        <v>2</v>
      </c>
      <c r="I320" s="403">
        <v>1.64</v>
      </c>
      <c r="J320" s="404">
        <f t="shared" si="10"/>
        <v>0.82</v>
      </c>
      <c r="K320" s="403">
        <v>0</v>
      </c>
      <c r="L320" s="403">
        <v>0</v>
      </c>
      <c r="M320" s="405">
        <v>0</v>
      </c>
      <c r="N320" s="407"/>
      <c r="O320" s="397"/>
    </row>
    <row r="321" spans="1:15" ht="15.75" customHeight="1" x14ac:dyDescent="0.25">
      <c r="A321" s="398" t="s">
        <v>281</v>
      </c>
      <c r="B321" s="989"/>
      <c r="C321" s="812"/>
      <c r="D321" s="828"/>
      <c r="E321" s="828"/>
      <c r="F321" s="828"/>
      <c r="G321" s="828"/>
      <c r="H321" s="402">
        <v>2</v>
      </c>
      <c r="I321" s="403">
        <v>1.82</v>
      </c>
      <c r="J321" s="404">
        <f t="shared" si="10"/>
        <v>0.91</v>
      </c>
      <c r="K321" s="403">
        <v>0</v>
      </c>
      <c r="L321" s="403">
        <v>0</v>
      </c>
      <c r="M321" s="405">
        <v>0</v>
      </c>
      <c r="N321" s="407"/>
      <c r="O321" s="256">
        <f t="shared" si="11"/>
        <v>0</v>
      </c>
    </row>
    <row r="322" spans="1:15" ht="15.75" customHeight="1" thickBot="1" x14ac:dyDescent="0.3">
      <c r="A322" s="412" t="s">
        <v>282</v>
      </c>
      <c r="B322" s="992"/>
      <c r="C322" s="995"/>
      <c r="D322" s="915"/>
      <c r="E322" s="915"/>
      <c r="F322" s="915"/>
      <c r="G322" s="915"/>
      <c r="H322" s="413">
        <v>2</v>
      </c>
      <c r="I322" s="414">
        <v>2</v>
      </c>
      <c r="J322" s="415">
        <f t="shared" si="10"/>
        <v>1</v>
      </c>
      <c r="K322" s="416">
        <v>0</v>
      </c>
      <c r="L322" s="416">
        <v>0</v>
      </c>
      <c r="M322" s="417">
        <v>0</v>
      </c>
      <c r="N322" s="418"/>
      <c r="O322" s="256">
        <f>O320*6</f>
        <v>0</v>
      </c>
    </row>
    <row r="323" spans="1:15" ht="15.75" customHeight="1" x14ac:dyDescent="0.25">
      <c r="O323" s="238" t="e">
        <f>P3201º</f>
        <v>#NAME?</v>
      </c>
    </row>
    <row r="324" spans="1:15" ht="15.75" customHeight="1" x14ac:dyDescent="0.25">
      <c r="O324" s="238"/>
    </row>
    <row r="325" spans="1:15" ht="38.25" customHeight="1" x14ac:dyDescent="0.25">
      <c r="A325" s="107" t="s">
        <v>28</v>
      </c>
      <c r="B325" s="91" t="s">
        <v>318</v>
      </c>
      <c r="C325" s="91" t="s">
        <v>319</v>
      </c>
      <c r="D325" s="91" t="s">
        <v>320</v>
      </c>
      <c r="E325" s="91" t="s">
        <v>321</v>
      </c>
      <c r="F325" s="91" t="s">
        <v>367</v>
      </c>
      <c r="G325" s="91" t="s">
        <v>323</v>
      </c>
      <c r="H325" s="91" t="s">
        <v>368</v>
      </c>
      <c r="I325" s="91" t="s">
        <v>369</v>
      </c>
      <c r="J325" s="92" t="s">
        <v>370</v>
      </c>
      <c r="K325" s="91" t="s">
        <v>324</v>
      </c>
      <c r="L325" s="91" t="s">
        <v>325</v>
      </c>
      <c r="M325" s="91" t="s">
        <v>326</v>
      </c>
      <c r="N325" s="93" t="s">
        <v>327</v>
      </c>
      <c r="O325" s="238"/>
    </row>
    <row r="326" spans="1:15" ht="15" customHeight="1" x14ac:dyDescent="0.25">
      <c r="A326" s="419" t="s">
        <v>284</v>
      </c>
      <c r="B326" s="916" t="s">
        <v>335</v>
      </c>
      <c r="C326" s="916" t="s">
        <v>336</v>
      </c>
      <c r="D326" s="916" t="s">
        <v>337</v>
      </c>
      <c r="E326" s="916" t="s">
        <v>338</v>
      </c>
      <c r="F326" s="910">
        <v>100</v>
      </c>
      <c r="G326" s="910">
        <v>370</v>
      </c>
      <c r="H326" s="402">
        <v>135</v>
      </c>
      <c r="I326" s="403">
        <v>0</v>
      </c>
      <c r="J326" s="404">
        <f t="shared" ref="J326:J337" si="12">I326/H326</f>
        <v>0</v>
      </c>
      <c r="K326" s="403">
        <v>119.34</v>
      </c>
      <c r="L326" s="403">
        <v>0</v>
      </c>
      <c r="M326" s="405">
        <f t="shared" ref="M326:M337" si="13">L326/K326</f>
        <v>0</v>
      </c>
      <c r="N326" s="420" t="s">
        <v>373</v>
      </c>
      <c r="O326" s="243">
        <f t="shared" ref="O326:O337" si="14">LEN(N326)</f>
        <v>168</v>
      </c>
    </row>
    <row r="327" spans="1:15" ht="15.75" customHeight="1" x14ac:dyDescent="0.25">
      <c r="A327" s="419" t="s">
        <v>293</v>
      </c>
      <c r="B327" s="814"/>
      <c r="C327" s="814"/>
      <c r="D327" s="814"/>
      <c r="E327" s="814"/>
      <c r="F327" s="814"/>
      <c r="G327" s="814"/>
      <c r="H327" s="402">
        <v>135</v>
      </c>
      <c r="I327" s="403">
        <v>0</v>
      </c>
      <c r="J327" s="404">
        <f t="shared" si="12"/>
        <v>0</v>
      </c>
      <c r="K327" s="403">
        <v>119.34</v>
      </c>
      <c r="L327" s="403">
        <v>0</v>
      </c>
      <c r="M327" s="405">
        <f t="shared" si="13"/>
        <v>0</v>
      </c>
      <c r="N327" s="420" t="s">
        <v>374</v>
      </c>
      <c r="O327" s="243">
        <f t="shared" si="14"/>
        <v>200</v>
      </c>
    </row>
    <row r="328" spans="1:15" ht="15.75" customHeight="1" x14ac:dyDescent="0.25">
      <c r="A328" s="419" t="s">
        <v>302</v>
      </c>
      <c r="B328" s="814"/>
      <c r="C328" s="814"/>
      <c r="D328" s="814"/>
      <c r="E328" s="814"/>
      <c r="F328" s="814"/>
      <c r="G328" s="814"/>
      <c r="H328" s="402">
        <v>135</v>
      </c>
      <c r="I328" s="411">
        <v>3.4000000000000002E-2</v>
      </c>
      <c r="J328" s="404">
        <f>I328/H328</f>
        <v>2.5185185185185185E-4</v>
      </c>
      <c r="K328" s="403">
        <v>119.34</v>
      </c>
      <c r="L328" s="403">
        <v>0</v>
      </c>
      <c r="M328" s="405">
        <f>L328/K328</f>
        <v>0</v>
      </c>
      <c r="N328" s="421" t="s">
        <v>547</v>
      </c>
      <c r="O328" s="243">
        <f>LEN(N328)</f>
        <v>144</v>
      </c>
    </row>
    <row r="329" spans="1:15" ht="15.75" customHeight="1" x14ac:dyDescent="0.25">
      <c r="A329" s="419" t="s">
        <v>303</v>
      </c>
      <c r="B329" s="814"/>
      <c r="C329" s="814"/>
      <c r="D329" s="814"/>
      <c r="E329" s="814"/>
      <c r="F329" s="814"/>
      <c r="G329" s="814"/>
      <c r="H329" s="402">
        <v>135</v>
      </c>
      <c r="I329" s="411">
        <v>4.51</v>
      </c>
      <c r="J329" s="404">
        <f t="shared" si="12"/>
        <v>3.3407407407407406E-2</v>
      </c>
      <c r="K329" s="403">
        <v>119.34</v>
      </c>
      <c r="L329" s="403">
        <v>0</v>
      </c>
      <c r="M329" s="405">
        <f>L329/K329</f>
        <v>0</v>
      </c>
      <c r="N329" s="420" t="s">
        <v>554</v>
      </c>
      <c r="O329" s="243">
        <f t="shared" si="14"/>
        <v>58</v>
      </c>
    </row>
    <row r="330" spans="1:15" ht="15.75" customHeight="1" x14ac:dyDescent="0.25">
      <c r="A330" s="419" t="s">
        <v>305</v>
      </c>
      <c r="B330" s="814"/>
      <c r="C330" s="814"/>
      <c r="D330" s="814"/>
      <c r="E330" s="814"/>
      <c r="F330" s="814"/>
      <c r="G330" s="814"/>
      <c r="H330" s="402">
        <v>135</v>
      </c>
      <c r="I330" s="403">
        <v>4.57</v>
      </c>
      <c r="J330" s="404">
        <f t="shared" si="12"/>
        <v>3.3851851851851855E-2</v>
      </c>
      <c r="K330" s="403">
        <v>119.34</v>
      </c>
      <c r="L330" s="403">
        <v>0</v>
      </c>
      <c r="M330" s="405">
        <f t="shared" si="13"/>
        <v>0</v>
      </c>
      <c r="N330" s="420" t="s">
        <v>624</v>
      </c>
      <c r="O330" s="243">
        <f t="shared" si="14"/>
        <v>56</v>
      </c>
    </row>
    <row r="331" spans="1:15" ht="15.75" customHeight="1" x14ac:dyDescent="0.25">
      <c r="A331" s="419" t="s">
        <v>306</v>
      </c>
      <c r="B331" s="814"/>
      <c r="C331" s="814"/>
      <c r="D331" s="814"/>
      <c r="E331" s="814"/>
      <c r="F331" s="814"/>
      <c r="G331" s="814"/>
      <c r="H331" s="402">
        <v>135</v>
      </c>
      <c r="I331" s="411">
        <v>5.3</v>
      </c>
      <c r="J331" s="404">
        <f t="shared" si="12"/>
        <v>3.9259259259259258E-2</v>
      </c>
      <c r="K331" s="403">
        <v>119.34</v>
      </c>
      <c r="L331" s="403">
        <v>0</v>
      </c>
      <c r="M331" s="405">
        <f>L331/K331</f>
        <v>0</v>
      </c>
      <c r="N331" s="420" t="s">
        <v>635</v>
      </c>
      <c r="O331" s="243">
        <f t="shared" si="14"/>
        <v>57</v>
      </c>
    </row>
    <row r="332" spans="1:15" ht="15.75" customHeight="1" x14ac:dyDescent="0.25">
      <c r="A332" s="419" t="s">
        <v>272</v>
      </c>
      <c r="B332" s="814"/>
      <c r="C332" s="814"/>
      <c r="D332" s="814"/>
      <c r="E332" s="814"/>
      <c r="F332" s="814"/>
      <c r="G332" s="814"/>
      <c r="H332" s="402">
        <v>135</v>
      </c>
      <c r="I332" s="411">
        <v>5.3</v>
      </c>
      <c r="J332" s="404">
        <f>I332/H332</f>
        <v>3.9259259259259258E-2</v>
      </c>
      <c r="K332" s="403">
        <v>119.34</v>
      </c>
      <c r="L332" s="403">
        <v>0</v>
      </c>
      <c r="M332" s="405">
        <f>L332/K332</f>
        <v>0</v>
      </c>
      <c r="N332" s="420" t="s">
        <v>640</v>
      </c>
      <c r="O332" s="243">
        <f t="shared" si="14"/>
        <v>57</v>
      </c>
    </row>
    <row r="333" spans="1:15" ht="15.75" customHeight="1" x14ac:dyDescent="0.25">
      <c r="A333" s="419" t="s">
        <v>278</v>
      </c>
      <c r="B333" s="814"/>
      <c r="C333" s="814"/>
      <c r="D333" s="814"/>
      <c r="E333" s="814"/>
      <c r="F333" s="814"/>
      <c r="G333" s="814"/>
      <c r="H333" s="402">
        <v>135</v>
      </c>
      <c r="I333" s="403">
        <v>6.27</v>
      </c>
      <c r="J333" s="404">
        <f t="shared" si="12"/>
        <v>4.6444444444444441E-2</v>
      </c>
      <c r="K333" s="403">
        <v>119.34</v>
      </c>
      <c r="L333" s="403">
        <v>0</v>
      </c>
      <c r="M333" s="405">
        <f t="shared" si="13"/>
        <v>0</v>
      </c>
      <c r="N333" s="420" t="s">
        <v>677</v>
      </c>
      <c r="O333" s="243">
        <f t="shared" si="14"/>
        <v>58</v>
      </c>
    </row>
    <row r="334" spans="1:15" ht="15.75" customHeight="1" x14ac:dyDescent="0.25">
      <c r="A334" s="419" t="s">
        <v>279</v>
      </c>
      <c r="B334" s="814"/>
      <c r="C334" s="814"/>
      <c r="D334" s="814"/>
      <c r="E334" s="814"/>
      <c r="F334" s="814"/>
      <c r="G334" s="814"/>
      <c r="H334" s="402">
        <v>135</v>
      </c>
      <c r="I334" s="403">
        <v>6.65</v>
      </c>
      <c r="J334" s="404">
        <f t="shared" si="12"/>
        <v>4.925925925925926E-2</v>
      </c>
      <c r="K334" s="403">
        <v>119.34</v>
      </c>
      <c r="L334" s="403">
        <v>0</v>
      </c>
      <c r="M334" s="405">
        <f t="shared" si="13"/>
        <v>0</v>
      </c>
      <c r="N334" s="420" t="s">
        <v>678</v>
      </c>
      <c r="O334" s="243">
        <f t="shared" si="14"/>
        <v>62</v>
      </c>
    </row>
    <row r="335" spans="1:15" ht="15.75" customHeight="1" x14ac:dyDescent="0.25">
      <c r="A335" s="419" t="s">
        <v>280</v>
      </c>
      <c r="B335" s="814"/>
      <c r="C335" s="814"/>
      <c r="D335" s="814"/>
      <c r="E335" s="814"/>
      <c r="F335" s="814"/>
      <c r="G335" s="814"/>
      <c r="H335" s="402">
        <v>135</v>
      </c>
      <c r="I335" s="403"/>
      <c r="J335" s="404">
        <f t="shared" si="12"/>
        <v>0</v>
      </c>
      <c r="K335" s="403">
        <v>119.34</v>
      </c>
      <c r="L335" s="403"/>
      <c r="M335" s="405">
        <f t="shared" si="13"/>
        <v>0</v>
      </c>
      <c r="N335" s="420"/>
      <c r="O335" s="243">
        <f t="shared" si="14"/>
        <v>0</v>
      </c>
    </row>
    <row r="336" spans="1:15" ht="15.75" customHeight="1" x14ac:dyDescent="0.25">
      <c r="A336" s="419" t="s">
        <v>281</v>
      </c>
      <c r="B336" s="814"/>
      <c r="C336" s="814"/>
      <c r="D336" s="814"/>
      <c r="E336" s="814"/>
      <c r="F336" s="814"/>
      <c r="G336" s="814"/>
      <c r="H336" s="402">
        <v>135</v>
      </c>
      <c r="I336" s="403"/>
      <c r="J336" s="404">
        <f t="shared" si="12"/>
        <v>0</v>
      </c>
      <c r="K336" s="403">
        <v>119.34</v>
      </c>
      <c r="L336" s="403"/>
      <c r="M336" s="405">
        <f t="shared" si="13"/>
        <v>0</v>
      </c>
      <c r="N336" s="420"/>
      <c r="O336" s="243">
        <f t="shared" si="14"/>
        <v>0</v>
      </c>
    </row>
    <row r="337" spans="1:15" ht="15.75" customHeight="1" x14ac:dyDescent="0.25">
      <c r="A337" s="422" t="s">
        <v>282</v>
      </c>
      <c r="B337" s="911"/>
      <c r="C337" s="911"/>
      <c r="D337" s="911"/>
      <c r="E337" s="911"/>
      <c r="F337" s="911"/>
      <c r="G337" s="911"/>
      <c r="H337" s="423">
        <v>135</v>
      </c>
      <c r="I337" s="424"/>
      <c r="J337" s="425">
        <f t="shared" si="12"/>
        <v>0</v>
      </c>
      <c r="K337" s="424">
        <v>119.34</v>
      </c>
      <c r="L337" s="424"/>
      <c r="M337" s="426">
        <f t="shared" si="13"/>
        <v>0</v>
      </c>
      <c r="N337" s="427"/>
      <c r="O337" s="243">
        <f t="shared" si="14"/>
        <v>0</v>
      </c>
    </row>
    <row r="338" spans="1:15" ht="15.75" customHeight="1" x14ac:dyDescent="0.25">
      <c r="O338" s="238"/>
    </row>
    <row r="339" spans="1:15" ht="15.75" customHeight="1" x14ac:dyDescent="0.25">
      <c r="O339" s="238"/>
    </row>
    <row r="340" spans="1:15" ht="42" customHeight="1" x14ac:dyDescent="0.25">
      <c r="A340" s="85" t="s">
        <v>28</v>
      </c>
      <c r="B340" s="86" t="s">
        <v>318</v>
      </c>
      <c r="C340" s="86" t="s">
        <v>319</v>
      </c>
      <c r="D340" s="89" t="s">
        <v>320</v>
      </c>
      <c r="E340" s="90" t="s">
        <v>321</v>
      </c>
      <c r="F340" s="86" t="s">
        <v>367</v>
      </c>
      <c r="G340" s="91" t="s">
        <v>323</v>
      </c>
      <c r="H340" s="86" t="s">
        <v>368</v>
      </c>
      <c r="I340" s="86" t="s">
        <v>369</v>
      </c>
      <c r="J340" s="121" t="s">
        <v>370</v>
      </c>
      <c r="K340" s="91" t="s">
        <v>324</v>
      </c>
      <c r="L340" s="91" t="s">
        <v>325</v>
      </c>
      <c r="M340" s="91" t="s">
        <v>326</v>
      </c>
      <c r="N340" s="93" t="s">
        <v>327</v>
      </c>
      <c r="O340" s="238"/>
    </row>
    <row r="341" spans="1:15" ht="15.75" customHeight="1" x14ac:dyDescent="0.25">
      <c r="A341" s="419" t="s">
        <v>284</v>
      </c>
      <c r="B341" s="988" t="s">
        <v>335</v>
      </c>
      <c r="C341" s="986" t="s">
        <v>336</v>
      </c>
      <c r="D341" s="988" t="s">
        <v>342</v>
      </c>
      <c r="E341" s="986" t="s">
        <v>338</v>
      </c>
      <c r="F341" s="910">
        <v>100</v>
      </c>
      <c r="G341" s="910">
        <v>590</v>
      </c>
      <c r="H341" s="402">
        <v>590</v>
      </c>
      <c r="I341" s="403">
        <v>0</v>
      </c>
      <c r="J341" s="404">
        <f t="shared" ref="J341:J352" si="15">I341/H341</f>
        <v>0</v>
      </c>
      <c r="K341" s="403">
        <v>0</v>
      </c>
      <c r="L341" s="403">
        <v>0</v>
      </c>
      <c r="M341" s="405">
        <v>0</v>
      </c>
      <c r="N341" s="420" t="s">
        <v>375</v>
      </c>
      <c r="O341" s="241">
        <f t="shared" ref="O341:O352" si="16">LEN(N341)</f>
        <v>181</v>
      </c>
    </row>
    <row r="342" spans="1:15" ht="15.75" customHeight="1" x14ac:dyDescent="0.25">
      <c r="A342" s="419" t="s">
        <v>293</v>
      </c>
      <c r="B342" s="989"/>
      <c r="C342" s="811"/>
      <c r="D342" s="989"/>
      <c r="E342" s="811"/>
      <c r="F342" s="814"/>
      <c r="G342" s="814"/>
      <c r="H342" s="402">
        <v>590</v>
      </c>
      <c r="I342" s="403">
        <v>0</v>
      </c>
      <c r="J342" s="404">
        <f t="shared" si="15"/>
        <v>0</v>
      </c>
      <c r="K342" s="403">
        <v>0</v>
      </c>
      <c r="L342" s="403">
        <v>0</v>
      </c>
      <c r="M342" s="405">
        <v>0</v>
      </c>
      <c r="N342" s="420" t="s">
        <v>376</v>
      </c>
      <c r="O342" s="241">
        <f t="shared" si="16"/>
        <v>183</v>
      </c>
    </row>
    <row r="343" spans="1:15" ht="15.75" customHeight="1" x14ac:dyDescent="0.25">
      <c r="A343" s="419" t="s">
        <v>302</v>
      </c>
      <c r="B343" s="989"/>
      <c r="C343" s="811"/>
      <c r="D343" s="989"/>
      <c r="E343" s="811"/>
      <c r="F343" s="814"/>
      <c r="G343" s="814"/>
      <c r="H343" s="402">
        <v>590</v>
      </c>
      <c r="I343" s="403">
        <v>0</v>
      </c>
      <c r="J343" s="404">
        <f>I343/H343</f>
        <v>0</v>
      </c>
      <c r="K343" s="403">
        <v>0</v>
      </c>
      <c r="L343" s="403">
        <v>0</v>
      </c>
      <c r="M343" s="405">
        <v>0</v>
      </c>
      <c r="N343" s="421" t="s">
        <v>542</v>
      </c>
      <c r="O343" s="241">
        <f>LEN(N343)</f>
        <v>178</v>
      </c>
    </row>
    <row r="344" spans="1:15" ht="15.75" customHeight="1" x14ac:dyDescent="0.25">
      <c r="A344" s="419" t="s">
        <v>303</v>
      </c>
      <c r="B344" s="989"/>
      <c r="C344" s="811"/>
      <c r="D344" s="989"/>
      <c r="E344" s="811"/>
      <c r="F344" s="814"/>
      <c r="G344" s="814"/>
      <c r="H344" s="402">
        <v>590</v>
      </c>
      <c r="I344" s="403">
        <v>0</v>
      </c>
      <c r="J344" s="404">
        <f t="shared" si="15"/>
        <v>0</v>
      </c>
      <c r="K344" s="403">
        <v>0</v>
      </c>
      <c r="L344" s="403">
        <v>0</v>
      </c>
      <c r="M344" s="405">
        <v>0</v>
      </c>
      <c r="N344" s="420" t="s">
        <v>625</v>
      </c>
      <c r="O344" s="241">
        <f t="shared" si="16"/>
        <v>178</v>
      </c>
    </row>
    <row r="345" spans="1:15" ht="15.75" customHeight="1" x14ac:dyDescent="0.25">
      <c r="A345" s="419" t="s">
        <v>305</v>
      </c>
      <c r="B345" s="989"/>
      <c r="C345" s="811"/>
      <c r="D345" s="989"/>
      <c r="E345" s="811"/>
      <c r="F345" s="814"/>
      <c r="G345" s="814"/>
      <c r="H345" s="402">
        <v>590</v>
      </c>
      <c r="I345" s="409">
        <v>22.36</v>
      </c>
      <c r="J345" s="410">
        <f t="shared" si="15"/>
        <v>3.7898305084745759E-2</v>
      </c>
      <c r="K345" s="409">
        <v>0</v>
      </c>
      <c r="L345" s="409">
        <v>0</v>
      </c>
      <c r="M345" s="428">
        <v>0</v>
      </c>
      <c r="N345" s="420" t="s">
        <v>626</v>
      </c>
      <c r="O345" s="241">
        <f t="shared" si="16"/>
        <v>85</v>
      </c>
    </row>
    <row r="346" spans="1:15" ht="15.75" customHeight="1" x14ac:dyDescent="0.25">
      <c r="A346" s="419" t="s">
        <v>306</v>
      </c>
      <c r="B346" s="989"/>
      <c r="C346" s="811"/>
      <c r="D346" s="989"/>
      <c r="E346" s="811"/>
      <c r="F346" s="814"/>
      <c r="G346" s="814"/>
      <c r="H346" s="402">
        <v>590</v>
      </c>
      <c r="I346" s="403">
        <v>173.64</v>
      </c>
      <c r="J346" s="404">
        <f t="shared" si="15"/>
        <v>0.29430508474576267</v>
      </c>
      <c r="K346" s="403">
        <v>0</v>
      </c>
      <c r="L346" s="403">
        <v>0</v>
      </c>
      <c r="M346" s="405">
        <v>0</v>
      </c>
      <c r="N346" s="420" t="s">
        <v>638</v>
      </c>
      <c r="O346" s="241">
        <f t="shared" si="16"/>
        <v>87</v>
      </c>
    </row>
    <row r="347" spans="1:15" ht="15.75" customHeight="1" x14ac:dyDescent="0.25">
      <c r="A347" s="419" t="s">
        <v>272</v>
      </c>
      <c r="B347" s="989"/>
      <c r="C347" s="811"/>
      <c r="D347" s="989"/>
      <c r="E347" s="811"/>
      <c r="F347" s="814"/>
      <c r="G347" s="814"/>
      <c r="H347" s="402">
        <v>590</v>
      </c>
      <c r="I347" s="403">
        <v>474.92</v>
      </c>
      <c r="J347" s="404">
        <f t="shared" si="15"/>
        <v>0.80494915254237287</v>
      </c>
      <c r="K347" s="403">
        <v>0</v>
      </c>
      <c r="L347" s="403">
        <v>0</v>
      </c>
      <c r="M347" s="405">
        <v>0</v>
      </c>
      <c r="N347" s="420" t="s">
        <v>641</v>
      </c>
      <c r="O347" s="241">
        <f t="shared" si="16"/>
        <v>87</v>
      </c>
    </row>
    <row r="348" spans="1:15" ht="15.75" customHeight="1" x14ac:dyDescent="0.25">
      <c r="A348" s="419" t="s">
        <v>278</v>
      </c>
      <c r="B348" s="989"/>
      <c r="C348" s="811"/>
      <c r="D348" s="989"/>
      <c r="E348" s="811"/>
      <c r="F348" s="814"/>
      <c r="G348" s="814"/>
      <c r="H348" s="402">
        <v>590</v>
      </c>
      <c r="I348" s="403">
        <v>477.74</v>
      </c>
      <c r="J348" s="404">
        <f t="shared" si="15"/>
        <v>0.80972881355932202</v>
      </c>
      <c r="K348" s="403">
        <v>0</v>
      </c>
      <c r="L348" s="403">
        <v>0</v>
      </c>
      <c r="M348" s="405">
        <v>0</v>
      </c>
      <c r="N348" s="420" t="s">
        <v>679</v>
      </c>
      <c r="O348" s="241">
        <f t="shared" si="16"/>
        <v>87</v>
      </c>
    </row>
    <row r="349" spans="1:15" ht="15.75" customHeight="1" x14ac:dyDescent="0.25">
      <c r="A349" s="419" t="s">
        <v>279</v>
      </c>
      <c r="B349" s="989"/>
      <c r="C349" s="811"/>
      <c r="D349" s="989"/>
      <c r="E349" s="811"/>
      <c r="F349" s="814"/>
      <c r="G349" s="814"/>
      <c r="H349" s="402">
        <v>590</v>
      </c>
      <c r="I349" s="403">
        <v>542.57000000000005</v>
      </c>
      <c r="J349" s="404">
        <f t="shared" si="15"/>
        <v>0.91961016949152552</v>
      </c>
      <c r="K349" s="403">
        <v>0</v>
      </c>
      <c r="L349" s="403">
        <v>0</v>
      </c>
      <c r="M349" s="405">
        <v>0</v>
      </c>
      <c r="N349" s="420" t="s">
        <v>680</v>
      </c>
      <c r="O349" s="241">
        <f t="shared" si="16"/>
        <v>91</v>
      </c>
    </row>
    <row r="350" spans="1:15" ht="15.75" customHeight="1" x14ac:dyDescent="0.25">
      <c r="A350" s="419" t="s">
        <v>280</v>
      </c>
      <c r="B350" s="989"/>
      <c r="C350" s="811"/>
      <c r="D350" s="989"/>
      <c r="E350" s="811"/>
      <c r="F350" s="814"/>
      <c r="G350" s="814"/>
      <c r="H350" s="402">
        <v>590</v>
      </c>
      <c r="I350" s="403"/>
      <c r="J350" s="404">
        <f t="shared" si="15"/>
        <v>0</v>
      </c>
      <c r="K350" s="403">
        <v>0</v>
      </c>
      <c r="L350" s="403">
        <v>0</v>
      </c>
      <c r="M350" s="405">
        <v>0</v>
      </c>
      <c r="N350" s="420"/>
      <c r="O350" s="241">
        <f t="shared" si="16"/>
        <v>0</v>
      </c>
    </row>
    <row r="351" spans="1:15" ht="15.75" customHeight="1" x14ac:dyDescent="0.25">
      <c r="A351" s="419" t="s">
        <v>281</v>
      </c>
      <c r="B351" s="989"/>
      <c r="C351" s="811"/>
      <c r="D351" s="989"/>
      <c r="E351" s="811"/>
      <c r="F351" s="814"/>
      <c r="G351" s="814"/>
      <c r="H351" s="402">
        <v>590</v>
      </c>
      <c r="I351" s="403"/>
      <c r="J351" s="404">
        <f t="shared" si="15"/>
        <v>0</v>
      </c>
      <c r="K351" s="403">
        <v>0</v>
      </c>
      <c r="L351" s="403">
        <v>0</v>
      </c>
      <c r="M351" s="405">
        <v>0</v>
      </c>
      <c r="N351" s="420"/>
      <c r="O351" s="241">
        <f t="shared" si="16"/>
        <v>0</v>
      </c>
    </row>
    <row r="352" spans="1:15" ht="15.75" customHeight="1" x14ac:dyDescent="0.25">
      <c r="A352" s="422" t="s">
        <v>282</v>
      </c>
      <c r="B352" s="990"/>
      <c r="C352" s="987"/>
      <c r="D352" s="990"/>
      <c r="E352" s="987"/>
      <c r="F352" s="911"/>
      <c r="G352" s="911"/>
      <c r="H352" s="423">
        <v>590</v>
      </c>
      <c r="I352" s="424"/>
      <c r="J352" s="425">
        <f t="shared" si="15"/>
        <v>0</v>
      </c>
      <c r="K352" s="424">
        <v>0</v>
      </c>
      <c r="L352" s="424">
        <v>0</v>
      </c>
      <c r="M352" s="426">
        <v>0</v>
      </c>
      <c r="N352" s="427"/>
      <c r="O352" s="241">
        <f t="shared" si="16"/>
        <v>0</v>
      </c>
    </row>
    <row r="353" spans="1:15" ht="15.75" customHeight="1" x14ac:dyDescent="0.25">
      <c r="O353" s="238"/>
    </row>
    <row r="354" spans="1:15" ht="15.75" customHeight="1" x14ac:dyDescent="0.25">
      <c r="O354" s="238"/>
    </row>
    <row r="355" spans="1:15" ht="24.75" customHeight="1" x14ac:dyDescent="0.25">
      <c r="A355" s="85" t="s">
        <v>28</v>
      </c>
      <c r="B355" s="91" t="s">
        <v>318</v>
      </c>
      <c r="C355" s="91" t="s">
        <v>319</v>
      </c>
      <c r="D355" s="108" t="s">
        <v>320</v>
      </c>
      <c r="E355" s="90" t="s">
        <v>321</v>
      </c>
      <c r="F355" s="86" t="s">
        <v>367</v>
      </c>
      <c r="G355" s="91" t="s">
        <v>323</v>
      </c>
      <c r="H355" s="86" t="s">
        <v>368</v>
      </c>
      <c r="I355" s="86" t="s">
        <v>369</v>
      </c>
      <c r="J355" s="121" t="s">
        <v>370</v>
      </c>
      <c r="K355" s="91" t="s">
        <v>324</v>
      </c>
      <c r="L355" s="91" t="s">
        <v>325</v>
      </c>
      <c r="M355" s="91" t="s">
        <v>326</v>
      </c>
      <c r="N355" s="93" t="s">
        <v>327</v>
      </c>
      <c r="O355" s="238"/>
    </row>
    <row r="356" spans="1:15" ht="15.75" customHeight="1" x14ac:dyDescent="0.25">
      <c r="A356" s="419" t="s">
        <v>284</v>
      </c>
      <c r="B356" s="916" t="s">
        <v>346</v>
      </c>
      <c r="C356" s="916" t="s">
        <v>347</v>
      </c>
      <c r="D356" s="988" t="s">
        <v>348</v>
      </c>
      <c r="E356" s="993" t="s">
        <v>331</v>
      </c>
      <c r="F356" s="910">
        <v>100</v>
      </c>
      <c r="G356" s="910">
        <v>4</v>
      </c>
      <c r="H356" s="429">
        <v>1</v>
      </c>
      <c r="I356" s="403">
        <v>0</v>
      </c>
      <c r="J356" s="404">
        <f t="shared" ref="J356:J367" si="17">I356/H356</f>
        <v>0</v>
      </c>
      <c r="K356" s="403">
        <v>0</v>
      </c>
      <c r="L356" s="403">
        <v>0</v>
      </c>
      <c r="M356" s="405">
        <v>0</v>
      </c>
      <c r="N356" s="420" t="s">
        <v>377</v>
      </c>
      <c r="O356" s="241">
        <f t="shared" ref="O356:O367" si="18">LEN(N356)</f>
        <v>197</v>
      </c>
    </row>
    <row r="357" spans="1:15" ht="15.75" customHeight="1" x14ac:dyDescent="0.25">
      <c r="A357" s="419" t="s">
        <v>293</v>
      </c>
      <c r="B357" s="814"/>
      <c r="C357" s="814"/>
      <c r="D357" s="989"/>
      <c r="E357" s="811"/>
      <c r="F357" s="814"/>
      <c r="G357" s="814"/>
      <c r="H357" s="430">
        <v>1</v>
      </c>
      <c r="I357" s="403">
        <v>0.09</v>
      </c>
      <c r="J357" s="404">
        <f t="shared" si="17"/>
        <v>0.09</v>
      </c>
      <c r="K357" s="403">
        <v>0</v>
      </c>
      <c r="L357" s="403">
        <v>0</v>
      </c>
      <c r="M357" s="405">
        <v>0</v>
      </c>
      <c r="N357" s="431" t="s">
        <v>378</v>
      </c>
      <c r="O357" s="241">
        <f t="shared" si="18"/>
        <v>121</v>
      </c>
    </row>
    <row r="358" spans="1:15" ht="15.75" customHeight="1" x14ac:dyDescent="0.25">
      <c r="A358" s="419" t="s">
        <v>302</v>
      </c>
      <c r="B358" s="814"/>
      <c r="C358" s="814"/>
      <c r="D358" s="989"/>
      <c r="E358" s="811"/>
      <c r="F358" s="814"/>
      <c r="G358" s="814"/>
      <c r="H358" s="429">
        <v>1</v>
      </c>
      <c r="I358" s="403">
        <v>0.18</v>
      </c>
      <c r="J358" s="404">
        <f>I358/H358</f>
        <v>0.18</v>
      </c>
      <c r="K358" s="403">
        <v>0</v>
      </c>
      <c r="L358" s="403">
        <v>0</v>
      </c>
      <c r="M358" s="405">
        <v>0</v>
      </c>
      <c r="N358" s="432" t="s">
        <v>543</v>
      </c>
      <c r="O358" s="241">
        <f>LEN(N358)</f>
        <v>122</v>
      </c>
    </row>
    <row r="359" spans="1:15" ht="15.75" customHeight="1" x14ac:dyDescent="0.25">
      <c r="A359" s="419" t="s">
        <v>303</v>
      </c>
      <c r="B359" s="814"/>
      <c r="C359" s="814"/>
      <c r="D359" s="989"/>
      <c r="E359" s="811"/>
      <c r="F359" s="814"/>
      <c r="G359" s="814"/>
      <c r="H359" s="429">
        <v>1</v>
      </c>
      <c r="I359" s="403">
        <v>0.27</v>
      </c>
      <c r="J359" s="404">
        <f t="shared" si="17"/>
        <v>0.27</v>
      </c>
      <c r="K359" s="403">
        <v>0</v>
      </c>
      <c r="L359" s="403">
        <v>0</v>
      </c>
      <c r="M359" s="405">
        <v>0</v>
      </c>
      <c r="N359" s="433" t="s">
        <v>543</v>
      </c>
      <c r="O359" s="241">
        <f t="shared" si="18"/>
        <v>122</v>
      </c>
    </row>
    <row r="360" spans="1:15" ht="15.75" customHeight="1" x14ac:dyDescent="0.25">
      <c r="A360" s="419" t="s">
        <v>305</v>
      </c>
      <c r="B360" s="814"/>
      <c r="C360" s="814"/>
      <c r="D360" s="989"/>
      <c r="E360" s="811"/>
      <c r="F360" s="814"/>
      <c r="G360" s="814"/>
      <c r="H360" s="429">
        <v>1</v>
      </c>
      <c r="I360" s="409">
        <v>0.36</v>
      </c>
      <c r="J360" s="410">
        <f t="shared" si="17"/>
        <v>0.36</v>
      </c>
      <c r="K360" s="409">
        <v>0</v>
      </c>
      <c r="L360" s="409">
        <v>0</v>
      </c>
      <c r="M360" s="428">
        <v>0</v>
      </c>
      <c r="N360" s="433" t="s">
        <v>543</v>
      </c>
      <c r="O360" s="241">
        <f t="shared" si="18"/>
        <v>122</v>
      </c>
    </row>
    <row r="361" spans="1:15" ht="15.75" customHeight="1" x14ac:dyDescent="0.25">
      <c r="A361" s="419" t="s">
        <v>306</v>
      </c>
      <c r="B361" s="814"/>
      <c r="C361" s="814"/>
      <c r="D361" s="989"/>
      <c r="E361" s="811"/>
      <c r="F361" s="814"/>
      <c r="G361" s="814"/>
      <c r="H361" s="429">
        <v>1</v>
      </c>
      <c r="I361" s="403">
        <v>0.45</v>
      </c>
      <c r="J361" s="404">
        <f t="shared" si="17"/>
        <v>0.45</v>
      </c>
      <c r="K361" s="403">
        <v>0</v>
      </c>
      <c r="L361" s="403">
        <v>0</v>
      </c>
      <c r="M361" s="405">
        <v>0</v>
      </c>
      <c r="N361" s="433" t="s">
        <v>543</v>
      </c>
      <c r="O361" s="241">
        <f t="shared" si="18"/>
        <v>122</v>
      </c>
    </row>
    <row r="362" spans="1:15" ht="15.75" customHeight="1" x14ac:dyDescent="0.25">
      <c r="A362" s="419" t="s">
        <v>272</v>
      </c>
      <c r="B362" s="814"/>
      <c r="C362" s="814"/>
      <c r="D362" s="989"/>
      <c r="E362" s="811"/>
      <c r="F362" s="814"/>
      <c r="G362" s="814"/>
      <c r="H362" s="429">
        <v>1</v>
      </c>
      <c r="I362" s="403">
        <v>0.54</v>
      </c>
      <c r="J362" s="404">
        <f>I362/H362</f>
        <v>0.54</v>
      </c>
      <c r="K362" s="403">
        <v>0</v>
      </c>
      <c r="L362" s="403">
        <v>0</v>
      </c>
      <c r="M362" s="405">
        <v>0</v>
      </c>
      <c r="N362" s="433" t="s">
        <v>543</v>
      </c>
      <c r="O362" s="241">
        <f t="shared" si="18"/>
        <v>122</v>
      </c>
    </row>
    <row r="363" spans="1:15" ht="15.75" customHeight="1" x14ac:dyDescent="0.25">
      <c r="A363" s="419" t="s">
        <v>278</v>
      </c>
      <c r="B363" s="814"/>
      <c r="C363" s="814"/>
      <c r="D363" s="989"/>
      <c r="E363" s="811"/>
      <c r="F363" s="814"/>
      <c r="G363" s="814"/>
      <c r="H363" s="429">
        <v>1</v>
      </c>
      <c r="I363" s="403">
        <v>0.63</v>
      </c>
      <c r="J363" s="404">
        <f t="shared" si="17"/>
        <v>0.63</v>
      </c>
      <c r="K363" s="403">
        <v>0</v>
      </c>
      <c r="L363" s="403">
        <v>0</v>
      </c>
      <c r="M363" s="405">
        <v>0</v>
      </c>
      <c r="N363" s="433" t="s">
        <v>543</v>
      </c>
      <c r="O363" s="241">
        <f t="shared" si="18"/>
        <v>122</v>
      </c>
    </row>
    <row r="364" spans="1:15" ht="15.75" customHeight="1" x14ac:dyDescent="0.25">
      <c r="A364" s="419" t="s">
        <v>279</v>
      </c>
      <c r="B364" s="814"/>
      <c r="C364" s="814"/>
      <c r="D364" s="989"/>
      <c r="E364" s="811"/>
      <c r="F364" s="814"/>
      <c r="G364" s="814"/>
      <c r="H364" s="429">
        <v>1</v>
      </c>
      <c r="I364" s="403">
        <v>0.72</v>
      </c>
      <c r="J364" s="404">
        <f t="shared" si="17"/>
        <v>0.72</v>
      </c>
      <c r="K364" s="403">
        <v>0</v>
      </c>
      <c r="L364" s="403">
        <v>0</v>
      </c>
      <c r="M364" s="405">
        <v>0</v>
      </c>
      <c r="N364" s="433" t="s">
        <v>543</v>
      </c>
      <c r="O364" s="241">
        <f t="shared" si="18"/>
        <v>122</v>
      </c>
    </row>
    <row r="365" spans="1:15" ht="15.75" customHeight="1" x14ac:dyDescent="0.25">
      <c r="A365" s="419" t="s">
        <v>280</v>
      </c>
      <c r="B365" s="814"/>
      <c r="C365" s="814"/>
      <c r="D365" s="989"/>
      <c r="E365" s="811"/>
      <c r="F365" s="814"/>
      <c r="G365" s="814"/>
      <c r="H365" s="429">
        <v>1</v>
      </c>
      <c r="I365" s="403"/>
      <c r="J365" s="404">
        <f t="shared" si="17"/>
        <v>0</v>
      </c>
      <c r="K365" s="403">
        <v>0</v>
      </c>
      <c r="L365" s="403">
        <v>0</v>
      </c>
      <c r="M365" s="405">
        <v>0</v>
      </c>
      <c r="N365" s="431"/>
      <c r="O365" s="241">
        <f t="shared" si="18"/>
        <v>0</v>
      </c>
    </row>
    <row r="366" spans="1:15" ht="15.75" customHeight="1" x14ac:dyDescent="0.25">
      <c r="A366" s="419" t="s">
        <v>281</v>
      </c>
      <c r="B366" s="814"/>
      <c r="C366" s="814"/>
      <c r="D366" s="989"/>
      <c r="E366" s="811"/>
      <c r="F366" s="814"/>
      <c r="G366" s="814"/>
      <c r="H366" s="429">
        <v>1</v>
      </c>
      <c r="I366" s="411"/>
      <c r="J366" s="404">
        <f t="shared" si="17"/>
        <v>0</v>
      </c>
      <c r="K366" s="403">
        <v>0</v>
      </c>
      <c r="L366" s="403">
        <v>0</v>
      </c>
      <c r="M366" s="405">
        <v>0</v>
      </c>
      <c r="N366" s="431"/>
      <c r="O366" s="241">
        <f t="shared" si="18"/>
        <v>0</v>
      </c>
    </row>
    <row r="367" spans="1:15" ht="15.75" customHeight="1" thickBot="1" x14ac:dyDescent="0.3">
      <c r="A367" s="422" t="s">
        <v>282</v>
      </c>
      <c r="B367" s="911"/>
      <c r="C367" s="911"/>
      <c r="D367" s="990"/>
      <c r="E367" s="987"/>
      <c r="F367" s="911"/>
      <c r="G367" s="911"/>
      <c r="H367" s="423">
        <v>1</v>
      </c>
      <c r="I367" s="434"/>
      <c r="J367" s="425">
        <f t="shared" si="17"/>
        <v>0</v>
      </c>
      <c r="K367" s="424">
        <v>0</v>
      </c>
      <c r="L367" s="424">
        <v>0</v>
      </c>
      <c r="M367" s="426">
        <v>0</v>
      </c>
      <c r="N367" s="435"/>
      <c r="O367" s="241">
        <f t="shared" si="18"/>
        <v>0</v>
      </c>
    </row>
    <row r="368" spans="1:15" ht="15.75" customHeight="1" x14ac:dyDescent="0.25">
      <c r="O368" s="238"/>
    </row>
    <row r="369" spans="1:16" ht="15.75" customHeight="1" x14ac:dyDescent="0.25">
      <c r="O369" s="238"/>
    </row>
    <row r="370" spans="1:16" ht="20.25" hidden="1" customHeight="1" x14ac:dyDescent="0.25">
      <c r="A370" s="944" t="s">
        <v>379</v>
      </c>
      <c r="B370" s="688"/>
      <c r="C370" s="688"/>
      <c r="D370" s="688"/>
      <c r="E370" s="688"/>
      <c r="F370" s="688"/>
      <c r="G370" s="688"/>
      <c r="H370" s="688"/>
      <c r="I370" s="688"/>
      <c r="J370" s="688"/>
      <c r="K370" s="688"/>
      <c r="L370" s="688"/>
      <c r="M370" s="688"/>
      <c r="N370" s="766"/>
      <c r="O370" s="238"/>
    </row>
    <row r="371" spans="1:16" ht="15.75" hidden="1" customHeight="1" x14ac:dyDescent="0.25">
      <c r="A371" s="85" t="s">
        <v>27</v>
      </c>
      <c r="B371" s="86" t="s">
        <v>318</v>
      </c>
      <c r="C371" s="86" t="s">
        <v>319</v>
      </c>
      <c r="D371" s="86" t="s">
        <v>320</v>
      </c>
      <c r="E371" s="86" t="s">
        <v>321</v>
      </c>
      <c r="F371" s="86" t="s">
        <v>380</v>
      </c>
      <c r="G371" s="86" t="s">
        <v>323</v>
      </c>
      <c r="H371" s="86" t="s">
        <v>381</v>
      </c>
      <c r="I371" s="86" t="s">
        <v>382</v>
      </c>
      <c r="J371" s="121" t="s">
        <v>383</v>
      </c>
      <c r="K371" s="86" t="s">
        <v>324</v>
      </c>
      <c r="L371" s="86" t="s">
        <v>325</v>
      </c>
      <c r="M371" s="86" t="s">
        <v>326</v>
      </c>
      <c r="N371" s="87" t="s">
        <v>327</v>
      </c>
      <c r="O371" s="238"/>
    </row>
    <row r="372" spans="1:16" ht="15.75" hidden="1" customHeight="1" x14ac:dyDescent="0.25">
      <c r="A372" s="81" t="s">
        <v>284</v>
      </c>
      <c r="B372" s="930" t="s">
        <v>328</v>
      </c>
      <c r="C372" s="985" t="s">
        <v>329</v>
      </c>
      <c r="D372" s="933" t="s">
        <v>330</v>
      </c>
      <c r="E372" s="912" t="s">
        <v>331</v>
      </c>
      <c r="F372" s="913">
        <v>100</v>
      </c>
      <c r="G372" s="913">
        <v>8</v>
      </c>
      <c r="H372" s="15"/>
      <c r="I372" s="96"/>
      <c r="J372" s="122"/>
      <c r="K372" s="96"/>
      <c r="L372" s="96"/>
      <c r="M372" s="120"/>
      <c r="N372" s="123"/>
      <c r="O372" s="241">
        <f t="shared" ref="O372:O383" si="19">LEN(N372)</f>
        <v>0</v>
      </c>
    </row>
    <row r="373" spans="1:16" ht="15.75" hidden="1" customHeight="1" x14ac:dyDescent="0.25">
      <c r="A373" s="81" t="s">
        <v>293</v>
      </c>
      <c r="B373" s="749"/>
      <c r="C373" s="756"/>
      <c r="D373" s="752"/>
      <c r="E373" s="752"/>
      <c r="F373" s="752"/>
      <c r="G373" s="752"/>
      <c r="H373" s="15"/>
      <c r="I373" s="96"/>
      <c r="J373" s="122"/>
      <c r="K373" s="96"/>
      <c r="L373" s="96"/>
      <c r="M373" s="120"/>
      <c r="N373" s="88"/>
      <c r="O373" s="241">
        <f t="shared" si="19"/>
        <v>0</v>
      </c>
    </row>
    <row r="374" spans="1:16" ht="15.75" hidden="1" customHeight="1" x14ac:dyDescent="0.25">
      <c r="A374" s="81" t="s">
        <v>302</v>
      </c>
      <c r="B374" s="749"/>
      <c r="C374" s="756"/>
      <c r="D374" s="752"/>
      <c r="E374" s="752"/>
      <c r="F374" s="752"/>
      <c r="G374" s="752"/>
      <c r="H374" s="15"/>
      <c r="I374" s="96"/>
      <c r="J374" s="122"/>
      <c r="K374" s="96"/>
      <c r="L374" s="96"/>
      <c r="M374" s="120"/>
      <c r="N374" s="88"/>
      <c r="O374" s="241">
        <f t="shared" si="19"/>
        <v>0</v>
      </c>
    </row>
    <row r="375" spans="1:16" ht="15.75" hidden="1" customHeight="1" x14ac:dyDescent="0.25">
      <c r="A375" s="81" t="s">
        <v>303</v>
      </c>
      <c r="B375" s="749"/>
      <c r="C375" s="756"/>
      <c r="D375" s="752"/>
      <c r="E375" s="752"/>
      <c r="F375" s="752"/>
      <c r="G375" s="752"/>
      <c r="H375" s="15"/>
      <c r="I375" s="96"/>
      <c r="J375" s="122"/>
      <c r="K375" s="96"/>
      <c r="L375" s="96"/>
      <c r="M375" s="120"/>
      <c r="N375" s="88"/>
      <c r="O375" s="241">
        <f t="shared" si="19"/>
        <v>0</v>
      </c>
    </row>
    <row r="376" spans="1:16" ht="15.75" hidden="1" customHeight="1" x14ac:dyDescent="0.25">
      <c r="A376" s="81" t="s">
        <v>305</v>
      </c>
      <c r="B376" s="749"/>
      <c r="C376" s="756"/>
      <c r="D376" s="752"/>
      <c r="E376" s="752"/>
      <c r="F376" s="752"/>
      <c r="G376" s="752"/>
      <c r="H376" s="15"/>
      <c r="I376" s="96"/>
      <c r="J376" s="122"/>
      <c r="K376" s="96"/>
      <c r="L376" s="96"/>
      <c r="M376" s="120"/>
      <c r="N376" s="88"/>
      <c r="O376" s="241">
        <f t="shared" si="19"/>
        <v>0</v>
      </c>
    </row>
    <row r="377" spans="1:16" ht="15.75" hidden="1" customHeight="1" x14ac:dyDescent="0.25">
      <c r="A377" s="81" t="s">
        <v>306</v>
      </c>
      <c r="B377" s="749"/>
      <c r="C377" s="756"/>
      <c r="D377" s="752"/>
      <c r="E377" s="752"/>
      <c r="F377" s="752"/>
      <c r="G377" s="752"/>
      <c r="H377" s="15"/>
      <c r="I377" s="119"/>
      <c r="J377" s="122"/>
      <c r="K377" s="96"/>
      <c r="L377" s="96"/>
      <c r="M377" s="120"/>
      <c r="N377" s="88"/>
      <c r="O377" s="241">
        <f t="shared" si="19"/>
        <v>0</v>
      </c>
    </row>
    <row r="378" spans="1:16" ht="15.75" hidden="1" customHeight="1" x14ac:dyDescent="0.25">
      <c r="A378" s="81" t="s">
        <v>272</v>
      </c>
      <c r="B378" s="749"/>
      <c r="C378" s="756"/>
      <c r="D378" s="752"/>
      <c r="E378" s="752"/>
      <c r="F378" s="752"/>
      <c r="G378" s="752"/>
      <c r="H378" s="15"/>
      <c r="I378" s="96"/>
      <c r="J378" s="122"/>
      <c r="K378" s="96"/>
      <c r="L378" s="96"/>
      <c r="M378" s="120"/>
      <c r="N378" s="88"/>
      <c r="O378" s="241">
        <f t="shared" si="19"/>
        <v>0</v>
      </c>
    </row>
    <row r="379" spans="1:16" ht="15.75" hidden="1" customHeight="1" x14ac:dyDescent="0.25">
      <c r="A379" s="81" t="s">
        <v>278</v>
      </c>
      <c r="B379" s="749"/>
      <c r="C379" s="756"/>
      <c r="D379" s="752"/>
      <c r="E379" s="752"/>
      <c r="F379" s="752"/>
      <c r="G379" s="752"/>
      <c r="H379" s="15"/>
      <c r="I379" s="96"/>
      <c r="J379" s="122"/>
      <c r="K379" s="96"/>
      <c r="L379" s="96"/>
      <c r="M379" s="120"/>
      <c r="N379" s="88"/>
      <c r="O379" s="241">
        <f t="shared" si="19"/>
        <v>0</v>
      </c>
    </row>
    <row r="380" spans="1:16" ht="15.75" hidden="1" customHeight="1" x14ac:dyDescent="0.25">
      <c r="A380" s="81" t="s">
        <v>279</v>
      </c>
      <c r="B380" s="749"/>
      <c r="C380" s="756"/>
      <c r="D380" s="752"/>
      <c r="E380" s="752"/>
      <c r="F380" s="752"/>
      <c r="G380" s="752"/>
      <c r="H380" s="15"/>
      <c r="I380" s="119"/>
      <c r="J380" s="122"/>
      <c r="K380" s="96"/>
      <c r="L380" s="96"/>
      <c r="M380" s="120"/>
      <c r="N380" s="88"/>
      <c r="O380" s="241">
        <f t="shared" si="19"/>
        <v>0</v>
      </c>
      <c r="P380" s="14"/>
    </row>
    <row r="381" spans="1:16" ht="15.75" hidden="1" customHeight="1" x14ac:dyDescent="0.25">
      <c r="A381" s="81" t="s">
        <v>280</v>
      </c>
      <c r="B381" s="749"/>
      <c r="C381" s="756"/>
      <c r="D381" s="752"/>
      <c r="E381" s="752"/>
      <c r="F381" s="752"/>
      <c r="G381" s="752"/>
      <c r="H381" s="15"/>
      <c r="I381" s="96"/>
      <c r="J381" s="122"/>
      <c r="K381" s="96"/>
      <c r="L381" s="96"/>
      <c r="M381" s="120"/>
      <c r="N381" s="88"/>
      <c r="O381" s="241">
        <f t="shared" si="19"/>
        <v>0</v>
      </c>
    </row>
    <row r="382" spans="1:16" ht="15.75" hidden="1" customHeight="1" x14ac:dyDescent="0.25">
      <c r="A382" s="81" t="s">
        <v>281</v>
      </c>
      <c r="B382" s="749"/>
      <c r="C382" s="756"/>
      <c r="D382" s="752"/>
      <c r="E382" s="752"/>
      <c r="F382" s="752"/>
      <c r="G382" s="752"/>
      <c r="H382" s="15"/>
      <c r="I382" s="96"/>
      <c r="J382" s="122"/>
      <c r="K382" s="96"/>
      <c r="L382" s="96"/>
      <c r="M382" s="120"/>
      <c r="N382" s="88"/>
      <c r="O382" s="241">
        <f t="shared" si="19"/>
        <v>0</v>
      </c>
    </row>
    <row r="383" spans="1:16" ht="15.75" hidden="1" customHeight="1" thickBot="1" x14ac:dyDescent="0.3">
      <c r="A383" s="82" t="s">
        <v>282</v>
      </c>
      <c r="B383" s="760"/>
      <c r="C383" s="757"/>
      <c r="D383" s="753"/>
      <c r="E383" s="753"/>
      <c r="F383" s="753"/>
      <c r="G383" s="753"/>
      <c r="H383" s="113"/>
      <c r="I383" s="124"/>
      <c r="J383" s="122"/>
      <c r="K383" s="96"/>
      <c r="L383" s="96"/>
      <c r="M383" s="120"/>
      <c r="N383" s="88"/>
      <c r="O383" s="241">
        <f t="shared" si="19"/>
        <v>0</v>
      </c>
    </row>
    <row r="384" spans="1:16" ht="15.75" hidden="1" customHeight="1" x14ac:dyDescent="0.25">
      <c r="O384" s="238"/>
    </row>
    <row r="385" spans="1:15" ht="15.75" hidden="1" customHeight="1" thickBot="1" x14ac:dyDescent="0.3">
      <c r="O385" s="238"/>
    </row>
    <row r="386" spans="1:15" ht="15.75" hidden="1" customHeight="1" x14ac:dyDescent="0.25">
      <c r="A386" s="107" t="s">
        <v>27</v>
      </c>
      <c r="B386" s="91" t="s">
        <v>318</v>
      </c>
      <c r="C386" s="91" t="s">
        <v>319</v>
      </c>
      <c r="D386" s="108" t="s">
        <v>320</v>
      </c>
      <c r="E386" s="90" t="s">
        <v>321</v>
      </c>
      <c r="F386" s="91" t="s">
        <v>380</v>
      </c>
      <c r="G386" s="91" t="s">
        <v>323</v>
      </c>
      <c r="H386" s="91" t="s">
        <v>381</v>
      </c>
      <c r="I386" s="91" t="s">
        <v>382</v>
      </c>
      <c r="J386" s="92" t="s">
        <v>383</v>
      </c>
      <c r="K386" s="91" t="s">
        <v>324</v>
      </c>
      <c r="L386" s="91" t="s">
        <v>325</v>
      </c>
      <c r="M386" s="91" t="s">
        <v>326</v>
      </c>
      <c r="N386" s="93" t="s">
        <v>327</v>
      </c>
      <c r="O386" s="238"/>
    </row>
    <row r="387" spans="1:15" ht="15" hidden="1" customHeight="1" x14ac:dyDescent="0.25">
      <c r="A387" s="81" t="s">
        <v>284</v>
      </c>
      <c r="B387" s="912" t="s">
        <v>335</v>
      </c>
      <c r="C387" s="912" t="s">
        <v>336</v>
      </c>
      <c r="D387" s="930" t="s">
        <v>337</v>
      </c>
      <c r="E387" s="931" t="s">
        <v>338</v>
      </c>
      <c r="F387" s="913">
        <v>100</v>
      </c>
      <c r="G387" s="913">
        <v>370</v>
      </c>
      <c r="H387" s="15"/>
      <c r="I387" s="96"/>
      <c r="J387" s="122"/>
      <c r="K387" s="96"/>
      <c r="L387" s="96"/>
      <c r="M387" s="120"/>
      <c r="N387" s="88"/>
      <c r="O387" s="243">
        <f t="shared" ref="O387:O398" si="20">LEN(N387)</f>
        <v>0</v>
      </c>
    </row>
    <row r="388" spans="1:15" ht="15.75" hidden="1" customHeight="1" x14ac:dyDescent="0.25">
      <c r="A388" s="81" t="s">
        <v>293</v>
      </c>
      <c r="B388" s="752"/>
      <c r="C388" s="752"/>
      <c r="D388" s="749"/>
      <c r="E388" s="756"/>
      <c r="F388" s="752"/>
      <c r="G388" s="752"/>
      <c r="H388" s="15"/>
      <c r="I388" s="96"/>
      <c r="J388" s="122"/>
      <c r="K388" s="96"/>
      <c r="L388" s="96"/>
      <c r="M388" s="120"/>
      <c r="N388" s="88"/>
      <c r="O388" s="243">
        <f t="shared" si="20"/>
        <v>0</v>
      </c>
    </row>
    <row r="389" spans="1:15" ht="15.75" hidden="1" customHeight="1" x14ac:dyDescent="0.25">
      <c r="A389" s="81" t="s">
        <v>302</v>
      </c>
      <c r="B389" s="752"/>
      <c r="C389" s="752"/>
      <c r="D389" s="749"/>
      <c r="E389" s="756"/>
      <c r="F389" s="752"/>
      <c r="G389" s="752"/>
      <c r="H389" s="15"/>
      <c r="I389" s="119"/>
      <c r="J389" s="122"/>
      <c r="K389" s="96"/>
      <c r="L389" s="96"/>
      <c r="M389" s="120"/>
      <c r="N389" s="88"/>
      <c r="O389" s="243">
        <f t="shared" si="20"/>
        <v>0</v>
      </c>
    </row>
    <row r="390" spans="1:15" ht="15.75" hidden="1" customHeight="1" x14ac:dyDescent="0.25">
      <c r="A390" s="81" t="s">
        <v>303</v>
      </c>
      <c r="B390" s="752"/>
      <c r="C390" s="752"/>
      <c r="D390" s="749"/>
      <c r="E390" s="756"/>
      <c r="F390" s="752"/>
      <c r="G390" s="752"/>
      <c r="H390" s="15"/>
      <c r="I390" s="119"/>
      <c r="J390" s="122"/>
      <c r="K390" s="96"/>
      <c r="L390" s="96"/>
      <c r="M390" s="120"/>
      <c r="N390" s="88"/>
      <c r="O390" s="243">
        <f t="shared" si="20"/>
        <v>0</v>
      </c>
    </row>
    <row r="391" spans="1:15" ht="15.75" hidden="1" customHeight="1" x14ac:dyDescent="0.25">
      <c r="A391" s="81" t="s">
        <v>305</v>
      </c>
      <c r="B391" s="752"/>
      <c r="C391" s="752"/>
      <c r="D391" s="749"/>
      <c r="E391" s="756"/>
      <c r="F391" s="752"/>
      <c r="G391" s="752"/>
      <c r="H391" s="15"/>
      <c r="I391" s="96"/>
      <c r="J391" s="122"/>
      <c r="K391" s="96"/>
      <c r="L391" s="96"/>
      <c r="M391" s="120"/>
      <c r="N391" s="88"/>
      <c r="O391" s="243">
        <f t="shared" si="20"/>
        <v>0</v>
      </c>
    </row>
    <row r="392" spans="1:15" ht="15.75" hidden="1" customHeight="1" x14ac:dyDescent="0.25">
      <c r="A392" s="81" t="s">
        <v>306</v>
      </c>
      <c r="B392" s="752"/>
      <c r="C392" s="752"/>
      <c r="D392" s="749"/>
      <c r="E392" s="756"/>
      <c r="F392" s="752"/>
      <c r="G392" s="752"/>
      <c r="H392" s="15"/>
      <c r="I392" s="96"/>
      <c r="J392" s="122"/>
      <c r="K392" s="96"/>
      <c r="L392" s="96"/>
      <c r="M392" s="120"/>
      <c r="N392" s="88"/>
      <c r="O392" s="243">
        <f t="shared" si="20"/>
        <v>0</v>
      </c>
    </row>
    <row r="393" spans="1:15" ht="15.75" hidden="1" customHeight="1" x14ac:dyDescent="0.25">
      <c r="A393" s="81" t="s">
        <v>272</v>
      </c>
      <c r="B393" s="752"/>
      <c r="C393" s="752"/>
      <c r="D393" s="749"/>
      <c r="E393" s="756"/>
      <c r="F393" s="752"/>
      <c r="G393" s="752"/>
      <c r="H393" s="15"/>
      <c r="I393" s="96"/>
      <c r="J393" s="122"/>
      <c r="K393" s="96"/>
      <c r="L393" s="96"/>
      <c r="M393" s="120"/>
      <c r="N393" s="88"/>
      <c r="O393" s="243">
        <f t="shared" si="20"/>
        <v>0</v>
      </c>
    </row>
    <row r="394" spans="1:15" ht="15.75" hidden="1" customHeight="1" x14ac:dyDescent="0.25">
      <c r="A394" s="81" t="s">
        <v>278</v>
      </c>
      <c r="B394" s="752"/>
      <c r="C394" s="752"/>
      <c r="D394" s="749"/>
      <c r="E394" s="756"/>
      <c r="F394" s="752"/>
      <c r="G394" s="752"/>
      <c r="H394" s="15"/>
      <c r="I394" s="96"/>
      <c r="J394" s="122"/>
      <c r="K394" s="96"/>
      <c r="L394" s="96"/>
      <c r="M394" s="120"/>
      <c r="N394" s="88"/>
      <c r="O394" s="243">
        <f t="shared" si="20"/>
        <v>0</v>
      </c>
    </row>
    <row r="395" spans="1:15" ht="15.75" hidden="1" customHeight="1" x14ac:dyDescent="0.25">
      <c r="A395" s="81" t="s">
        <v>279</v>
      </c>
      <c r="B395" s="752"/>
      <c r="C395" s="752"/>
      <c r="D395" s="749"/>
      <c r="E395" s="756"/>
      <c r="F395" s="752"/>
      <c r="G395" s="752"/>
      <c r="H395" s="15"/>
      <c r="I395" s="96"/>
      <c r="J395" s="122"/>
      <c r="K395" s="96"/>
      <c r="L395" s="96"/>
      <c r="M395" s="120"/>
      <c r="N395" s="88"/>
      <c r="O395" s="243">
        <f t="shared" si="20"/>
        <v>0</v>
      </c>
    </row>
    <row r="396" spans="1:15" ht="15.75" hidden="1" customHeight="1" x14ac:dyDescent="0.25">
      <c r="A396" s="81" t="s">
        <v>280</v>
      </c>
      <c r="B396" s="752"/>
      <c r="C396" s="752"/>
      <c r="D396" s="749"/>
      <c r="E396" s="756"/>
      <c r="F396" s="752"/>
      <c r="G396" s="752"/>
      <c r="H396" s="15"/>
      <c r="I396" s="96"/>
      <c r="J396" s="122"/>
      <c r="K396" s="96"/>
      <c r="L396" s="96"/>
      <c r="M396" s="120"/>
      <c r="N396" s="88"/>
      <c r="O396" s="243">
        <f t="shared" si="20"/>
        <v>0</v>
      </c>
    </row>
    <row r="397" spans="1:15" ht="15.75" hidden="1" customHeight="1" x14ac:dyDescent="0.25">
      <c r="A397" s="81" t="s">
        <v>281</v>
      </c>
      <c r="B397" s="752"/>
      <c r="C397" s="752"/>
      <c r="D397" s="749"/>
      <c r="E397" s="756"/>
      <c r="F397" s="752"/>
      <c r="G397" s="752"/>
      <c r="H397" s="15"/>
      <c r="I397" s="96"/>
      <c r="J397" s="122"/>
      <c r="K397" s="96"/>
      <c r="L397" s="96"/>
      <c r="M397" s="120"/>
      <c r="N397" s="88"/>
      <c r="O397" s="243">
        <f t="shared" si="20"/>
        <v>0</v>
      </c>
    </row>
    <row r="398" spans="1:15" ht="15.75" hidden="1" customHeight="1" thickBot="1" x14ac:dyDescent="0.3">
      <c r="A398" s="82" t="s">
        <v>282</v>
      </c>
      <c r="B398" s="753"/>
      <c r="C398" s="753"/>
      <c r="D398" s="760"/>
      <c r="E398" s="757"/>
      <c r="F398" s="753"/>
      <c r="G398" s="753"/>
      <c r="H398" s="113"/>
      <c r="I398" s="116"/>
      <c r="J398" s="125"/>
      <c r="K398" s="116"/>
      <c r="L398" s="116"/>
      <c r="M398" s="126"/>
      <c r="N398" s="127"/>
      <c r="O398" s="243">
        <f t="shared" si="20"/>
        <v>0</v>
      </c>
    </row>
    <row r="399" spans="1:15" ht="15.75" hidden="1" customHeight="1" x14ac:dyDescent="0.25">
      <c r="O399" s="238"/>
    </row>
    <row r="400" spans="1:15" ht="15.75" hidden="1" customHeight="1" thickBot="1" x14ac:dyDescent="0.3">
      <c r="O400" s="238"/>
    </row>
    <row r="401" spans="1:15" ht="15.75" hidden="1" customHeight="1" x14ac:dyDescent="0.25">
      <c r="A401" s="85" t="s">
        <v>27</v>
      </c>
      <c r="B401" s="86" t="s">
        <v>318</v>
      </c>
      <c r="C401" s="86" t="s">
        <v>319</v>
      </c>
      <c r="D401" s="89" t="s">
        <v>320</v>
      </c>
      <c r="E401" s="90" t="s">
        <v>321</v>
      </c>
      <c r="F401" s="91" t="s">
        <v>380</v>
      </c>
      <c r="G401" s="91" t="s">
        <v>323</v>
      </c>
      <c r="H401" s="91" t="s">
        <v>381</v>
      </c>
      <c r="I401" s="91" t="s">
        <v>382</v>
      </c>
      <c r="J401" s="92" t="s">
        <v>383</v>
      </c>
      <c r="K401" s="91" t="s">
        <v>324</v>
      </c>
      <c r="L401" s="91" t="s">
        <v>325</v>
      </c>
      <c r="M401" s="91" t="s">
        <v>326</v>
      </c>
      <c r="N401" s="93" t="s">
        <v>327</v>
      </c>
      <c r="O401" s="238"/>
    </row>
    <row r="402" spans="1:15" ht="15.75" hidden="1" customHeight="1" x14ac:dyDescent="0.25">
      <c r="A402" s="81" t="s">
        <v>284</v>
      </c>
      <c r="B402" s="930" t="s">
        <v>335</v>
      </c>
      <c r="C402" s="931" t="s">
        <v>336</v>
      </c>
      <c r="D402" s="930" t="s">
        <v>342</v>
      </c>
      <c r="E402" s="931" t="s">
        <v>338</v>
      </c>
      <c r="F402" s="913">
        <v>100</v>
      </c>
      <c r="G402" s="913">
        <v>590</v>
      </c>
      <c r="H402" s="15"/>
      <c r="I402" s="96"/>
      <c r="J402" s="122"/>
      <c r="K402" s="96"/>
      <c r="L402" s="96"/>
      <c r="M402" s="120"/>
      <c r="N402" s="88"/>
      <c r="O402" s="241">
        <f t="shared" ref="O402:O413" si="21">LEN(N402)</f>
        <v>0</v>
      </c>
    </row>
    <row r="403" spans="1:15" ht="15.75" hidden="1" customHeight="1" x14ac:dyDescent="0.25">
      <c r="A403" s="81" t="s">
        <v>293</v>
      </c>
      <c r="B403" s="749"/>
      <c r="C403" s="756"/>
      <c r="D403" s="749"/>
      <c r="E403" s="756"/>
      <c r="F403" s="752"/>
      <c r="G403" s="752"/>
      <c r="H403" s="15"/>
      <c r="I403" s="96"/>
      <c r="J403" s="122"/>
      <c r="K403" s="96"/>
      <c r="L403" s="96"/>
      <c r="M403" s="120"/>
      <c r="N403" s="88"/>
      <c r="O403" s="241">
        <f t="shared" si="21"/>
        <v>0</v>
      </c>
    </row>
    <row r="404" spans="1:15" ht="15.75" hidden="1" customHeight="1" x14ac:dyDescent="0.25">
      <c r="A404" s="81" t="s">
        <v>302</v>
      </c>
      <c r="B404" s="749"/>
      <c r="C404" s="756"/>
      <c r="D404" s="749"/>
      <c r="E404" s="756"/>
      <c r="F404" s="752"/>
      <c r="G404" s="752"/>
      <c r="H404" s="15"/>
      <c r="I404" s="96"/>
      <c r="J404" s="122"/>
      <c r="K404" s="96"/>
      <c r="L404" s="96"/>
      <c r="M404" s="120"/>
      <c r="N404" s="88"/>
      <c r="O404" s="241">
        <f t="shared" si="21"/>
        <v>0</v>
      </c>
    </row>
    <row r="405" spans="1:15" ht="15.75" hidden="1" customHeight="1" x14ac:dyDescent="0.25">
      <c r="A405" s="81" t="s">
        <v>303</v>
      </c>
      <c r="B405" s="749"/>
      <c r="C405" s="756"/>
      <c r="D405" s="749"/>
      <c r="E405" s="756"/>
      <c r="F405" s="752"/>
      <c r="G405" s="752"/>
      <c r="H405" s="15"/>
      <c r="I405" s="96"/>
      <c r="J405" s="122"/>
      <c r="K405" s="96"/>
      <c r="L405" s="96"/>
      <c r="M405" s="120"/>
      <c r="N405" s="88"/>
      <c r="O405" s="241">
        <f t="shared" si="21"/>
        <v>0</v>
      </c>
    </row>
    <row r="406" spans="1:15" ht="15.75" hidden="1" customHeight="1" x14ac:dyDescent="0.25">
      <c r="A406" s="81" t="s">
        <v>305</v>
      </c>
      <c r="B406" s="749"/>
      <c r="C406" s="756"/>
      <c r="D406" s="749"/>
      <c r="E406" s="756"/>
      <c r="F406" s="752"/>
      <c r="G406" s="752"/>
      <c r="H406" s="15"/>
      <c r="I406" s="96"/>
      <c r="J406" s="122"/>
      <c r="K406" s="96"/>
      <c r="L406" s="96"/>
      <c r="M406" s="120"/>
      <c r="N406" s="88"/>
      <c r="O406" s="241">
        <f t="shared" si="21"/>
        <v>0</v>
      </c>
    </row>
    <row r="407" spans="1:15" ht="15.75" hidden="1" customHeight="1" x14ac:dyDescent="0.25">
      <c r="A407" s="81" t="s">
        <v>306</v>
      </c>
      <c r="B407" s="749"/>
      <c r="C407" s="756"/>
      <c r="D407" s="749"/>
      <c r="E407" s="756"/>
      <c r="F407" s="752"/>
      <c r="G407" s="752"/>
      <c r="H407" s="15"/>
      <c r="I407" s="96"/>
      <c r="J407" s="122"/>
      <c r="K407" s="96"/>
      <c r="L407" s="96"/>
      <c r="M407" s="120"/>
      <c r="N407" s="88"/>
      <c r="O407" s="241">
        <f t="shared" si="21"/>
        <v>0</v>
      </c>
    </row>
    <row r="408" spans="1:15" ht="15.75" hidden="1" customHeight="1" x14ac:dyDescent="0.25">
      <c r="A408" s="81" t="s">
        <v>272</v>
      </c>
      <c r="B408" s="749"/>
      <c r="C408" s="756"/>
      <c r="D408" s="749"/>
      <c r="E408" s="756"/>
      <c r="F408" s="752"/>
      <c r="G408" s="752"/>
      <c r="H408" s="15"/>
      <c r="I408" s="96"/>
      <c r="J408" s="122"/>
      <c r="K408" s="96"/>
      <c r="L408" s="96"/>
      <c r="M408" s="120"/>
      <c r="N408" s="88"/>
      <c r="O408" s="241">
        <f t="shared" si="21"/>
        <v>0</v>
      </c>
    </row>
    <row r="409" spans="1:15" ht="15.75" hidden="1" customHeight="1" x14ac:dyDescent="0.25">
      <c r="A409" s="81" t="s">
        <v>278</v>
      </c>
      <c r="B409" s="749"/>
      <c r="C409" s="756"/>
      <c r="D409" s="749"/>
      <c r="E409" s="756"/>
      <c r="F409" s="752"/>
      <c r="G409" s="752"/>
      <c r="H409" s="15"/>
      <c r="I409" s="96"/>
      <c r="J409" s="122"/>
      <c r="K409" s="96"/>
      <c r="L409" s="96"/>
      <c r="M409" s="120"/>
      <c r="N409" s="88"/>
      <c r="O409" s="241">
        <f t="shared" si="21"/>
        <v>0</v>
      </c>
    </row>
    <row r="410" spans="1:15" ht="15.75" hidden="1" customHeight="1" x14ac:dyDescent="0.25">
      <c r="A410" s="81" t="s">
        <v>279</v>
      </c>
      <c r="B410" s="749"/>
      <c r="C410" s="756"/>
      <c r="D410" s="749"/>
      <c r="E410" s="756"/>
      <c r="F410" s="752"/>
      <c r="G410" s="752"/>
      <c r="H410" s="15"/>
      <c r="I410" s="96"/>
      <c r="J410" s="122"/>
      <c r="K410" s="96"/>
      <c r="L410" s="96"/>
      <c r="M410" s="120"/>
      <c r="N410" s="88"/>
      <c r="O410" s="241">
        <f t="shared" si="21"/>
        <v>0</v>
      </c>
    </row>
    <row r="411" spans="1:15" ht="15.75" hidden="1" customHeight="1" x14ac:dyDescent="0.25">
      <c r="A411" s="81" t="s">
        <v>280</v>
      </c>
      <c r="B411" s="749"/>
      <c r="C411" s="756"/>
      <c r="D411" s="749"/>
      <c r="E411" s="756"/>
      <c r="F411" s="752"/>
      <c r="G411" s="752"/>
      <c r="H411" s="15"/>
      <c r="I411" s="96"/>
      <c r="J411" s="122"/>
      <c r="K411" s="96"/>
      <c r="L411" s="96"/>
      <c r="M411" s="120"/>
      <c r="N411" s="88"/>
      <c r="O411" s="241">
        <f t="shared" si="21"/>
        <v>0</v>
      </c>
    </row>
    <row r="412" spans="1:15" ht="15.75" hidden="1" customHeight="1" x14ac:dyDescent="0.25">
      <c r="A412" s="81" t="s">
        <v>281</v>
      </c>
      <c r="B412" s="749"/>
      <c r="C412" s="756"/>
      <c r="D412" s="749"/>
      <c r="E412" s="756"/>
      <c r="F412" s="752"/>
      <c r="G412" s="752"/>
      <c r="H412" s="15"/>
      <c r="I412" s="96"/>
      <c r="J412" s="122"/>
      <c r="K412" s="96"/>
      <c r="L412" s="96"/>
      <c r="M412" s="120"/>
      <c r="N412" s="88"/>
      <c r="O412" s="241">
        <f t="shared" si="21"/>
        <v>0</v>
      </c>
    </row>
    <row r="413" spans="1:15" ht="15.75" hidden="1" customHeight="1" thickBot="1" x14ac:dyDescent="0.3">
      <c r="A413" s="82" t="s">
        <v>282</v>
      </c>
      <c r="B413" s="760"/>
      <c r="C413" s="757"/>
      <c r="D413" s="760"/>
      <c r="E413" s="757"/>
      <c r="F413" s="753"/>
      <c r="G413" s="753"/>
      <c r="H413" s="113"/>
      <c r="I413" s="116"/>
      <c r="J413" s="125"/>
      <c r="K413" s="116"/>
      <c r="L413" s="116"/>
      <c r="M413" s="126"/>
      <c r="N413" s="127"/>
      <c r="O413" s="241">
        <f t="shared" si="21"/>
        <v>0</v>
      </c>
    </row>
    <row r="414" spans="1:15" ht="15.75" hidden="1" customHeight="1" x14ac:dyDescent="0.25">
      <c r="O414" s="238"/>
    </row>
    <row r="415" spans="1:15" ht="15.75" hidden="1" customHeight="1" thickBot="1" x14ac:dyDescent="0.3">
      <c r="O415" s="238"/>
    </row>
    <row r="416" spans="1:15" ht="15.75" hidden="1" customHeight="1" x14ac:dyDescent="0.25">
      <c r="A416" s="107" t="s">
        <v>27</v>
      </c>
      <c r="B416" s="91" t="s">
        <v>318</v>
      </c>
      <c r="C416" s="91" t="s">
        <v>319</v>
      </c>
      <c r="D416" s="108" t="s">
        <v>320</v>
      </c>
      <c r="E416" s="90" t="s">
        <v>321</v>
      </c>
      <c r="F416" s="91" t="s">
        <v>380</v>
      </c>
      <c r="G416" s="91" t="s">
        <v>323</v>
      </c>
      <c r="H416" s="91" t="s">
        <v>381</v>
      </c>
      <c r="I416" s="91" t="s">
        <v>382</v>
      </c>
      <c r="J416" s="92" t="s">
        <v>383</v>
      </c>
      <c r="K416" s="91" t="s">
        <v>324</v>
      </c>
      <c r="L416" s="91" t="s">
        <v>325</v>
      </c>
      <c r="M416" s="91" t="s">
        <v>326</v>
      </c>
      <c r="N416" s="93" t="s">
        <v>327</v>
      </c>
      <c r="O416" s="238"/>
    </row>
    <row r="417" spans="1:15" ht="15.75" hidden="1" customHeight="1" x14ac:dyDescent="0.25">
      <c r="A417" s="81" t="s">
        <v>284</v>
      </c>
      <c r="B417" s="912" t="s">
        <v>346</v>
      </c>
      <c r="C417" s="912" t="s">
        <v>347</v>
      </c>
      <c r="D417" s="930" t="s">
        <v>348</v>
      </c>
      <c r="E417" s="943" t="s">
        <v>331</v>
      </c>
      <c r="F417" s="913">
        <v>100</v>
      </c>
      <c r="G417" s="913">
        <v>4</v>
      </c>
      <c r="H417" s="95"/>
      <c r="I417" s="96"/>
      <c r="J417" s="122"/>
      <c r="K417" s="96"/>
      <c r="L417" s="96"/>
      <c r="M417" s="120"/>
      <c r="N417" s="88"/>
      <c r="O417" s="241">
        <f t="shared" ref="O417:O428" si="22">LEN(N417)</f>
        <v>0</v>
      </c>
    </row>
    <row r="418" spans="1:15" ht="15.75" hidden="1" customHeight="1" x14ac:dyDescent="0.25">
      <c r="A418" s="81" t="s">
        <v>293</v>
      </c>
      <c r="B418" s="752"/>
      <c r="C418" s="752"/>
      <c r="D418" s="749"/>
      <c r="E418" s="756"/>
      <c r="F418" s="752"/>
      <c r="G418" s="752"/>
      <c r="H418" s="95"/>
      <c r="I418" s="96"/>
      <c r="J418" s="122"/>
      <c r="K418" s="96"/>
      <c r="L418" s="96"/>
      <c r="M418" s="120"/>
      <c r="N418" s="129"/>
      <c r="O418" s="241">
        <f t="shared" si="22"/>
        <v>0</v>
      </c>
    </row>
    <row r="419" spans="1:15" ht="15.75" hidden="1" customHeight="1" x14ac:dyDescent="0.25">
      <c r="A419" s="81" t="s">
        <v>302</v>
      </c>
      <c r="B419" s="752"/>
      <c r="C419" s="752"/>
      <c r="D419" s="749"/>
      <c r="E419" s="756"/>
      <c r="F419" s="752"/>
      <c r="G419" s="752"/>
      <c r="H419" s="95"/>
      <c r="I419" s="96"/>
      <c r="J419" s="122"/>
      <c r="K419" s="96"/>
      <c r="L419" s="96"/>
      <c r="M419" s="120"/>
      <c r="N419" s="129"/>
      <c r="O419" s="241">
        <f t="shared" si="22"/>
        <v>0</v>
      </c>
    </row>
    <row r="420" spans="1:15" ht="15.75" hidden="1" customHeight="1" x14ac:dyDescent="0.25">
      <c r="A420" s="81" t="s">
        <v>303</v>
      </c>
      <c r="B420" s="752"/>
      <c r="C420" s="752"/>
      <c r="D420" s="749"/>
      <c r="E420" s="756"/>
      <c r="F420" s="752"/>
      <c r="G420" s="752"/>
      <c r="H420" s="95"/>
      <c r="I420" s="96"/>
      <c r="J420" s="122"/>
      <c r="K420" s="96"/>
      <c r="L420" s="96"/>
      <c r="M420" s="120"/>
      <c r="N420" s="129"/>
      <c r="O420" s="241">
        <f t="shared" si="22"/>
        <v>0</v>
      </c>
    </row>
    <row r="421" spans="1:15" ht="15.75" hidden="1" customHeight="1" x14ac:dyDescent="0.25">
      <c r="A421" s="81" t="s">
        <v>305</v>
      </c>
      <c r="B421" s="752"/>
      <c r="C421" s="752"/>
      <c r="D421" s="749"/>
      <c r="E421" s="756"/>
      <c r="F421" s="752"/>
      <c r="G421" s="752"/>
      <c r="H421" s="95"/>
      <c r="I421" s="96"/>
      <c r="J421" s="122"/>
      <c r="K421" s="96"/>
      <c r="L421" s="96"/>
      <c r="M421" s="120"/>
      <c r="N421" s="129"/>
      <c r="O421" s="241">
        <f t="shared" si="22"/>
        <v>0</v>
      </c>
    </row>
    <row r="422" spans="1:15" ht="15.75" hidden="1" customHeight="1" x14ac:dyDescent="0.25">
      <c r="A422" s="81" t="s">
        <v>306</v>
      </c>
      <c r="B422" s="752"/>
      <c r="C422" s="752"/>
      <c r="D422" s="749"/>
      <c r="E422" s="756"/>
      <c r="F422" s="752"/>
      <c r="G422" s="752"/>
      <c r="H422" s="95"/>
      <c r="I422" s="96"/>
      <c r="J422" s="122"/>
      <c r="K422" s="96"/>
      <c r="L422" s="96"/>
      <c r="M422" s="120"/>
      <c r="N422" s="129"/>
      <c r="O422" s="241">
        <f t="shared" si="22"/>
        <v>0</v>
      </c>
    </row>
    <row r="423" spans="1:15" ht="15.75" hidden="1" customHeight="1" x14ac:dyDescent="0.25">
      <c r="A423" s="81" t="s">
        <v>272</v>
      </c>
      <c r="B423" s="752"/>
      <c r="C423" s="752"/>
      <c r="D423" s="749"/>
      <c r="E423" s="756"/>
      <c r="F423" s="752"/>
      <c r="G423" s="752"/>
      <c r="H423" s="95"/>
      <c r="I423" s="96"/>
      <c r="J423" s="122"/>
      <c r="K423" s="96"/>
      <c r="L423" s="96"/>
      <c r="M423" s="120"/>
      <c r="N423" s="129"/>
      <c r="O423" s="241">
        <f t="shared" si="22"/>
        <v>0</v>
      </c>
    </row>
    <row r="424" spans="1:15" ht="15.75" hidden="1" customHeight="1" x14ac:dyDescent="0.25">
      <c r="A424" s="81" t="s">
        <v>278</v>
      </c>
      <c r="B424" s="752"/>
      <c r="C424" s="752"/>
      <c r="D424" s="749"/>
      <c r="E424" s="756"/>
      <c r="F424" s="752"/>
      <c r="G424" s="752"/>
      <c r="H424" s="95"/>
      <c r="I424" s="96"/>
      <c r="J424" s="122"/>
      <c r="K424" s="96"/>
      <c r="L424" s="96"/>
      <c r="M424" s="120"/>
      <c r="N424" s="129"/>
      <c r="O424" s="241">
        <f t="shared" si="22"/>
        <v>0</v>
      </c>
    </row>
    <row r="425" spans="1:15" ht="15.75" hidden="1" customHeight="1" x14ac:dyDescent="0.25">
      <c r="A425" s="81" t="s">
        <v>279</v>
      </c>
      <c r="B425" s="752"/>
      <c r="C425" s="752"/>
      <c r="D425" s="749"/>
      <c r="E425" s="756"/>
      <c r="F425" s="752"/>
      <c r="G425" s="752"/>
      <c r="H425" s="95"/>
      <c r="I425" s="96"/>
      <c r="J425" s="122"/>
      <c r="K425" s="96"/>
      <c r="L425" s="96"/>
      <c r="M425" s="120"/>
      <c r="N425" s="129"/>
      <c r="O425" s="241">
        <f t="shared" si="22"/>
        <v>0</v>
      </c>
    </row>
    <row r="426" spans="1:15" ht="15.75" hidden="1" customHeight="1" x14ac:dyDescent="0.25">
      <c r="A426" s="81" t="s">
        <v>280</v>
      </c>
      <c r="B426" s="752"/>
      <c r="C426" s="752"/>
      <c r="D426" s="749"/>
      <c r="E426" s="756"/>
      <c r="F426" s="752"/>
      <c r="G426" s="752"/>
      <c r="H426" s="95"/>
      <c r="I426" s="96"/>
      <c r="J426" s="122"/>
      <c r="K426" s="96"/>
      <c r="L426" s="96"/>
      <c r="M426" s="120"/>
      <c r="N426" s="129"/>
      <c r="O426" s="241">
        <f t="shared" si="22"/>
        <v>0</v>
      </c>
    </row>
    <row r="427" spans="1:15" ht="15.75" hidden="1" customHeight="1" x14ac:dyDescent="0.25">
      <c r="A427" s="81" t="s">
        <v>281</v>
      </c>
      <c r="B427" s="752"/>
      <c r="C427" s="752"/>
      <c r="D427" s="749"/>
      <c r="E427" s="756"/>
      <c r="F427" s="752"/>
      <c r="G427" s="752"/>
      <c r="H427" s="95"/>
      <c r="I427" s="119"/>
      <c r="J427" s="122"/>
      <c r="K427" s="96"/>
      <c r="L427" s="96"/>
      <c r="M427" s="120"/>
      <c r="N427" s="129"/>
      <c r="O427" s="241">
        <f t="shared" si="22"/>
        <v>0</v>
      </c>
    </row>
    <row r="428" spans="1:15" ht="15.75" hidden="1" customHeight="1" thickBot="1" x14ac:dyDescent="0.3">
      <c r="A428" s="82" t="s">
        <v>282</v>
      </c>
      <c r="B428" s="753"/>
      <c r="C428" s="753"/>
      <c r="D428" s="760"/>
      <c r="E428" s="757"/>
      <c r="F428" s="753"/>
      <c r="G428" s="753"/>
      <c r="H428" s="113"/>
      <c r="I428" s="124"/>
      <c r="J428" s="125"/>
      <c r="K428" s="116"/>
      <c r="L428" s="116"/>
      <c r="M428" s="126"/>
      <c r="N428" s="130"/>
      <c r="O428" s="241">
        <f t="shared" si="22"/>
        <v>0</v>
      </c>
    </row>
    <row r="429" spans="1:15" ht="15.75" hidden="1" customHeight="1" x14ac:dyDescent="0.3">
      <c r="A429" s="918" t="s">
        <v>384</v>
      </c>
      <c r="B429" s="688"/>
      <c r="C429" s="688"/>
      <c r="D429" s="688"/>
      <c r="E429" s="688"/>
      <c r="F429" s="688"/>
      <c r="G429" s="766"/>
      <c r="O429" s="238"/>
    </row>
    <row r="430" spans="1:15" ht="15.75" hidden="1" customHeight="1" thickBot="1" x14ac:dyDescent="0.3">
      <c r="A430" s="85" t="s">
        <v>25</v>
      </c>
      <c r="B430" s="131" t="s">
        <v>318</v>
      </c>
      <c r="C430" s="131" t="s">
        <v>319</v>
      </c>
      <c r="D430" s="131" t="s">
        <v>385</v>
      </c>
      <c r="E430" s="131" t="s">
        <v>386</v>
      </c>
      <c r="F430" s="131" t="s">
        <v>387</v>
      </c>
      <c r="G430" s="132" t="s">
        <v>388</v>
      </c>
      <c r="H430" s="239"/>
      <c r="I430" s="239"/>
      <c r="O430" s="238"/>
    </row>
    <row r="431" spans="1:15" ht="15.75" hidden="1" customHeight="1" x14ac:dyDescent="0.25">
      <c r="A431" s="133" t="s">
        <v>272</v>
      </c>
      <c r="B431" s="912" t="s">
        <v>328</v>
      </c>
      <c r="C431" s="932" t="s">
        <v>389</v>
      </c>
      <c r="D431" s="926" t="s">
        <v>390</v>
      </c>
      <c r="E431" s="257">
        <v>2239274028</v>
      </c>
      <c r="F431" s="257">
        <v>15250000</v>
      </c>
      <c r="G431" s="134" t="s">
        <v>391</v>
      </c>
      <c r="H431" s="238">
        <f t="shared" ref="H431:H436" si="23">LEN(G431)</f>
        <v>27</v>
      </c>
      <c r="I431" s="239"/>
      <c r="N431" s="135"/>
      <c r="O431" s="238"/>
    </row>
    <row r="432" spans="1:15" ht="15.75" hidden="1" customHeight="1" x14ac:dyDescent="0.25">
      <c r="A432" s="94" t="s">
        <v>278</v>
      </c>
      <c r="B432" s="752"/>
      <c r="C432" s="752"/>
      <c r="D432" s="752"/>
      <c r="E432" s="258">
        <v>2239274028</v>
      </c>
      <c r="F432" s="258">
        <v>186734000</v>
      </c>
      <c r="G432" s="88"/>
      <c r="H432" s="238">
        <f t="shared" si="23"/>
        <v>0</v>
      </c>
      <c r="I432" s="239"/>
      <c r="O432" s="238"/>
    </row>
    <row r="433" spans="1:15" ht="15.75" hidden="1" customHeight="1" x14ac:dyDescent="0.25">
      <c r="A433" s="94" t="s">
        <v>279</v>
      </c>
      <c r="B433" s="752"/>
      <c r="C433" s="752"/>
      <c r="D433" s="752"/>
      <c r="E433" s="258">
        <v>2239274028</v>
      </c>
      <c r="F433" s="258">
        <v>208535000</v>
      </c>
      <c r="G433" s="88"/>
      <c r="H433" s="238">
        <f t="shared" si="23"/>
        <v>0</v>
      </c>
      <c r="I433" s="239"/>
      <c r="O433" s="238"/>
    </row>
    <row r="434" spans="1:15" ht="15.75" hidden="1" customHeight="1" x14ac:dyDescent="0.25">
      <c r="A434" s="97" t="s">
        <v>280</v>
      </c>
      <c r="B434" s="752"/>
      <c r="C434" s="752"/>
      <c r="D434" s="752"/>
      <c r="E434" s="259">
        <v>2239274028</v>
      </c>
      <c r="F434" s="259" t="e">
        <v>#REF!</v>
      </c>
      <c r="G434" s="100" t="s">
        <v>392</v>
      </c>
      <c r="H434" s="238">
        <f t="shared" si="23"/>
        <v>69</v>
      </c>
      <c r="I434" s="239"/>
      <c r="O434" s="238"/>
    </row>
    <row r="435" spans="1:15" ht="15.75" hidden="1" customHeight="1" x14ac:dyDescent="0.25">
      <c r="A435" s="260" t="s">
        <v>281</v>
      </c>
      <c r="B435" s="752"/>
      <c r="C435" s="752"/>
      <c r="D435" s="752"/>
      <c r="E435" s="259" t="e">
        <v>#REF!</v>
      </c>
      <c r="F435" s="259" t="e">
        <v>#REF!</v>
      </c>
      <c r="G435" s="100" t="s">
        <v>393</v>
      </c>
      <c r="H435" s="238">
        <f t="shared" si="23"/>
        <v>107</v>
      </c>
      <c r="I435" s="239"/>
      <c r="O435" s="238"/>
    </row>
    <row r="436" spans="1:15" ht="15.75" hidden="1" customHeight="1" thickBot="1" x14ac:dyDescent="0.3">
      <c r="A436" s="112" t="s">
        <v>282</v>
      </c>
      <c r="B436" s="753"/>
      <c r="C436" s="753"/>
      <c r="D436" s="753"/>
      <c r="E436" s="264" t="e">
        <v>#REF!</v>
      </c>
      <c r="F436" s="264" t="e">
        <v>#REF!</v>
      </c>
      <c r="G436" s="130" t="s">
        <v>394</v>
      </c>
      <c r="H436" s="238">
        <f t="shared" si="23"/>
        <v>222</v>
      </c>
      <c r="I436" s="239"/>
      <c r="O436" s="238"/>
    </row>
    <row r="437" spans="1:15" ht="15.75" hidden="1" customHeight="1" x14ac:dyDescent="0.25">
      <c r="A437" s="105"/>
      <c r="B437" s="105"/>
      <c r="C437" s="105"/>
      <c r="D437" s="105"/>
      <c r="E437" s="105"/>
      <c r="F437" s="105"/>
      <c r="G437" s="105"/>
      <c r="H437" s="239"/>
      <c r="I437" s="239"/>
      <c r="O437" s="238"/>
    </row>
    <row r="438" spans="1:15" ht="15.75" hidden="1" customHeight="1" x14ac:dyDescent="0.25">
      <c r="A438" s="105"/>
      <c r="B438" s="105"/>
      <c r="C438" s="105"/>
      <c r="D438" s="105"/>
      <c r="E438" s="105"/>
      <c r="F438" s="105"/>
      <c r="G438" s="105"/>
      <c r="H438" s="239"/>
      <c r="I438" s="239"/>
      <c r="O438" s="238"/>
    </row>
    <row r="439" spans="1:15" ht="15.75" hidden="1" customHeight="1" thickBot="1" x14ac:dyDescent="0.3">
      <c r="A439" s="85" t="s">
        <v>25</v>
      </c>
      <c r="B439" s="131" t="s">
        <v>318</v>
      </c>
      <c r="C439" s="131" t="s">
        <v>319</v>
      </c>
      <c r="D439" s="131" t="s">
        <v>385</v>
      </c>
      <c r="E439" s="29" t="s">
        <v>386</v>
      </c>
      <c r="F439" s="29" t="s">
        <v>387</v>
      </c>
      <c r="G439" s="30" t="s">
        <v>388</v>
      </c>
      <c r="H439" s="239"/>
      <c r="I439" s="239"/>
      <c r="O439" s="238"/>
    </row>
    <row r="440" spans="1:15" ht="15.75" hidden="1" customHeight="1" x14ac:dyDescent="0.25">
      <c r="A440" s="133" t="s">
        <v>272</v>
      </c>
      <c r="B440" s="912" t="s">
        <v>335</v>
      </c>
      <c r="C440" s="912" t="s">
        <v>336</v>
      </c>
      <c r="D440" s="934" t="s">
        <v>395</v>
      </c>
      <c r="E440" s="258">
        <v>632180000</v>
      </c>
      <c r="F440" s="258">
        <v>0</v>
      </c>
      <c r="G440" s="40" t="s">
        <v>396</v>
      </c>
      <c r="H440" s="238">
        <f t="shared" ref="H440:H445" si="24">LEN(G440)</f>
        <v>30</v>
      </c>
      <c r="I440" s="239"/>
      <c r="O440" s="238"/>
    </row>
    <row r="441" spans="1:15" ht="15.75" hidden="1" customHeight="1" x14ac:dyDescent="0.25">
      <c r="A441" s="94" t="s">
        <v>278</v>
      </c>
      <c r="B441" s="752"/>
      <c r="C441" s="752"/>
      <c r="D441" s="752"/>
      <c r="E441" s="258">
        <v>632180000</v>
      </c>
      <c r="F441" s="258">
        <v>183792000</v>
      </c>
      <c r="G441" s="40"/>
      <c r="H441" s="238">
        <f t="shared" si="24"/>
        <v>0</v>
      </c>
      <c r="I441" s="239"/>
      <c r="O441" s="238"/>
    </row>
    <row r="442" spans="1:15" ht="15.75" hidden="1" customHeight="1" x14ac:dyDescent="0.25">
      <c r="A442" s="94" t="s">
        <v>279</v>
      </c>
      <c r="B442" s="752"/>
      <c r="C442" s="752"/>
      <c r="D442" s="752"/>
      <c r="E442" s="258">
        <v>632180000</v>
      </c>
      <c r="F442" s="258">
        <v>190062000</v>
      </c>
      <c r="G442" s="40"/>
      <c r="H442" s="238">
        <f t="shared" si="24"/>
        <v>0</v>
      </c>
      <c r="I442" s="239"/>
      <c r="O442" s="238"/>
    </row>
    <row r="443" spans="1:15" ht="15.75" hidden="1" customHeight="1" x14ac:dyDescent="0.25">
      <c r="A443" s="97" t="s">
        <v>280</v>
      </c>
      <c r="B443" s="752"/>
      <c r="C443" s="752"/>
      <c r="D443" s="752"/>
      <c r="E443" s="259">
        <v>632180000</v>
      </c>
      <c r="F443" s="259" t="e">
        <v>#REF!</v>
      </c>
      <c r="G443" s="98" t="s">
        <v>397</v>
      </c>
      <c r="H443" s="238">
        <f t="shared" si="24"/>
        <v>48</v>
      </c>
      <c r="I443" s="239"/>
      <c r="O443" s="238"/>
    </row>
    <row r="444" spans="1:15" ht="15.75" hidden="1" customHeight="1" x14ac:dyDescent="0.25">
      <c r="A444" s="97" t="s">
        <v>281</v>
      </c>
      <c r="B444" s="752"/>
      <c r="C444" s="752"/>
      <c r="D444" s="752"/>
      <c r="E444" s="259" t="e">
        <v>#REF!</v>
      </c>
      <c r="F444" s="259" t="e">
        <v>#REF!</v>
      </c>
      <c r="G444" s="98" t="s">
        <v>398</v>
      </c>
      <c r="H444" s="238">
        <f t="shared" si="24"/>
        <v>87</v>
      </c>
      <c r="I444" s="239"/>
      <c r="N444" s="135"/>
      <c r="O444" s="238"/>
    </row>
    <row r="445" spans="1:15" ht="15.75" hidden="1" customHeight="1" thickBot="1" x14ac:dyDescent="0.3">
      <c r="A445" s="112" t="s">
        <v>282</v>
      </c>
      <c r="B445" s="753"/>
      <c r="C445" s="753"/>
      <c r="D445" s="753"/>
      <c r="E445" s="264" t="e">
        <v>#REF!</v>
      </c>
      <c r="F445" s="264" t="e">
        <v>#REF!</v>
      </c>
      <c r="G445" s="98" t="s">
        <v>399</v>
      </c>
      <c r="H445" s="238">
        <f t="shared" si="24"/>
        <v>139</v>
      </c>
      <c r="I445" s="239"/>
      <c r="N445" s="135"/>
      <c r="O445" s="238"/>
    </row>
    <row r="446" spans="1:15" ht="15.75" hidden="1" customHeight="1" x14ac:dyDescent="0.25">
      <c r="A446" s="105"/>
      <c r="B446" s="105"/>
      <c r="C446" s="105"/>
      <c r="D446" s="105"/>
      <c r="E446" s="105"/>
      <c r="F446" s="105"/>
      <c r="G446" s="105"/>
      <c r="H446" s="239"/>
      <c r="I446" s="239"/>
      <c r="O446" s="238"/>
    </row>
    <row r="447" spans="1:15" ht="15.75" hidden="1" customHeight="1" x14ac:dyDescent="0.25">
      <c r="A447" s="105"/>
      <c r="B447" s="105"/>
      <c r="C447" s="105"/>
      <c r="D447" s="105"/>
      <c r="E447" s="105"/>
      <c r="F447" s="105"/>
      <c r="G447" s="105"/>
      <c r="H447" s="239"/>
      <c r="I447" s="239"/>
      <c r="O447" s="238"/>
    </row>
    <row r="448" spans="1:15" ht="15.75" hidden="1" customHeight="1" thickBot="1" x14ac:dyDescent="0.3">
      <c r="A448" s="85" t="s">
        <v>25</v>
      </c>
      <c r="B448" s="131" t="s">
        <v>318</v>
      </c>
      <c r="C448" s="131" t="s">
        <v>319</v>
      </c>
      <c r="D448" s="131" t="s">
        <v>385</v>
      </c>
      <c r="E448" s="29" t="s">
        <v>386</v>
      </c>
      <c r="F448" s="29" t="s">
        <v>387</v>
      </c>
      <c r="G448" s="30" t="s">
        <v>388</v>
      </c>
      <c r="H448" s="239"/>
      <c r="I448" s="239"/>
      <c r="O448" s="238"/>
    </row>
    <row r="449" spans="1:15" ht="15.75" hidden="1" customHeight="1" x14ac:dyDescent="0.25">
      <c r="A449" s="133" t="s">
        <v>272</v>
      </c>
      <c r="B449" s="912" t="s">
        <v>335</v>
      </c>
      <c r="C449" s="912" t="s">
        <v>336</v>
      </c>
      <c r="D449" s="926" t="s">
        <v>400</v>
      </c>
      <c r="E449" s="258">
        <v>846820000</v>
      </c>
      <c r="F449" s="258">
        <v>0</v>
      </c>
      <c r="G449" s="40" t="s">
        <v>396</v>
      </c>
      <c r="H449" s="238">
        <f t="shared" ref="H449:H454" si="25">LEN(G449)</f>
        <v>30</v>
      </c>
      <c r="I449" s="239"/>
      <c r="O449" s="238"/>
    </row>
    <row r="450" spans="1:15" ht="15.75" hidden="1" customHeight="1" x14ac:dyDescent="0.25">
      <c r="A450" s="94" t="s">
        <v>278</v>
      </c>
      <c r="B450" s="752"/>
      <c r="C450" s="752"/>
      <c r="D450" s="752"/>
      <c r="E450" s="258">
        <v>846820000</v>
      </c>
      <c r="F450" s="258">
        <v>298980000</v>
      </c>
      <c r="G450" s="40"/>
      <c r="H450" s="238">
        <f t="shared" si="25"/>
        <v>0</v>
      </c>
      <c r="I450" s="239"/>
      <c r="O450" s="238"/>
    </row>
    <row r="451" spans="1:15" ht="15.75" hidden="1" customHeight="1" x14ac:dyDescent="0.25">
      <c r="A451" s="94" t="s">
        <v>279</v>
      </c>
      <c r="B451" s="752"/>
      <c r="C451" s="752"/>
      <c r="D451" s="752"/>
      <c r="E451" s="258">
        <v>846820000</v>
      </c>
      <c r="F451" s="258">
        <v>316529347</v>
      </c>
      <c r="G451" s="40"/>
      <c r="H451" s="238">
        <f t="shared" si="25"/>
        <v>0</v>
      </c>
      <c r="I451" s="239"/>
      <c r="O451" s="238"/>
    </row>
    <row r="452" spans="1:15" ht="15.75" hidden="1" customHeight="1" x14ac:dyDescent="0.25">
      <c r="A452" s="97" t="s">
        <v>280</v>
      </c>
      <c r="B452" s="752"/>
      <c r="C452" s="752"/>
      <c r="D452" s="752"/>
      <c r="E452" s="259">
        <v>846820000</v>
      </c>
      <c r="F452" s="259" t="e">
        <v>#REF!</v>
      </c>
      <c r="G452" s="98" t="s">
        <v>401</v>
      </c>
      <c r="H452" s="238">
        <f t="shared" si="25"/>
        <v>72</v>
      </c>
      <c r="I452" s="239"/>
      <c r="O452" s="238"/>
    </row>
    <row r="453" spans="1:15" ht="15.75" hidden="1" customHeight="1" x14ac:dyDescent="0.25">
      <c r="A453" s="260" t="s">
        <v>281</v>
      </c>
      <c r="B453" s="752"/>
      <c r="C453" s="752"/>
      <c r="D453" s="752"/>
      <c r="E453" s="259" t="e">
        <v>#REF!</v>
      </c>
      <c r="F453" s="259" t="e">
        <v>#REF!</v>
      </c>
      <c r="G453" s="98" t="s">
        <v>402</v>
      </c>
      <c r="H453" s="238">
        <f t="shared" si="25"/>
        <v>111</v>
      </c>
      <c r="I453" s="239"/>
      <c r="O453" s="238"/>
    </row>
    <row r="454" spans="1:15" ht="15.75" hidden="1" customHeight="1" thickBot="1" x14ac:dyDescent="0.3">
      <c r="A454" s="112" t="s">
        <v>282</v>
      </c>
      <c r="B454" s="753"/>
      <c r="C454" s="753"/>
      <c r="D454" s="753"/>
      <c r="E454" s="258" t="e">
        <v>#REF!</v>
      </c>
      <c r="F454" s="258" t="e">
        <v>#REF!</v>
      </c>
      <c r="G454" s="98" t="s">
        <v>403</v>
      </c>
      <c r="H454" s="238">
        <f t="shared" si="25"/>
        <v>223</v>
      </c>
      <c r="I454" s="239"/>
      <c r="O454" s="238"/>
    </row>
    <row r="455" spans="1:15" ht="15.75" hidden="1" customHeight="1" x14ac:dyDescent="0.25">
      <c r="A455" s="105"/>
      <c r="B455" s="105"/>
      <c r="C455" s="105"/>
      <c r="D455" s="105"/>
      <c r="E455" s="105"/>
      <c r="F455" s="105"/>
      <c r="G455" s="105"/>
      <c r="H455" s="239"/>
      <c r="I455" s="239"/>
      <c r="O455" s="238"/>
    </row>
    <row r="456" spans="1:15" ht="15.75" hidden="1" customHeight="1" x14ac:dyDescent="0.25">
      <c r="A456" s="105"/>
      <c r="B456" s="105"/>
      <c r="C456" s="105"/>
      <c r="D456" s="105"/>
      <c r="E456" s="105"/>
      <c r="F456" s="105"/>
      <c r="G456" s="105"/>
      <c r="H456" s="239"/>
      <c r="I456" s="239"/>
      <c r="O456" s="238"/>
    </row>
    <row r="457" spans="1:15" ht="15.75" hidden="1" customHeight="1" thickBot="1" x14ac:dyDescent="0.3">
      <c r="A457" s="85" t="s">
        <v>25</v>
      </c>
      <c r="B457" s="131" t="s">
        <v>318</v>
      </c>
      <c r="C457" s="131" t="s">
        <v>319</v>
      </c>
      <c r="D457" s="131" t="s">
        <v>385</v>
      </c>
      <c r="E457" s="29" t="s">
        <v>386</v>
      </c>
      <c r="F457" s="29" t="s">
        <v>387</v>
      </c>
      <c r="G457" s="30" t="s">
        <v>388</v>
      </c>
      <c r="H457" s="239"/>
      <c r="I457" s="239"/>
      <c r="O457" s="238"/>
    </row>
    <row r="458" spans="1:15" ht="15.75" hidden="1" customHeight="1" x14ac:dyDescent="0.25">
      <c r="A458" s="133" t="s">
        <v>272</v>
      </c>
      <c r="B458" s="912" t="s">
        <v>346</v>
      </c>
      <c r="C458" s="912" t="s">
        <v>347</v>
      </c>
      <c r="D458" s="926" t="s">
        <v>404</v>
      </c>
      <c r="E458" s="258">
        <v>201000000</v>
      </c>
      <c r="F458" s="258">
        <v>0</v>
      </c>
      <c r="G458" s="40" t="s">
        <v>396</v>
      </c>
      <c r="H458" s="238">
        <f t="shared" ref="H458:H463" si="26">LEN(G458)</f>
        <v>30</v>
      </c>
      <c r="I458" s="239"/>
      <c r="O458" s="238"/>
    </row>
    <row r="459" spans="1:15" ht="15.75" hidden="1" customHeight="1" x14ac:dyDescent="0.25">
      <c r="A459" s="94" t="s">
        <v>278</v>
      </c>
      <c r="B459" s="752"/>
      <c r="C459" s="752"/>
      <c r="D459" s="752"/>
      <c r="E459" s="258">
        <v>201000000</v>
      </c>
      <c r="F459" s="258">
        <v>71564000</v>
      </c>
      <c r="G459" s="40"/>
      <c r="H459" s="238">
        <f t="shared" si="26"/>
        <v>0</v>
      </c>
      <c r="I459" s="239"/>
      <c r="O459" s="238"/>
    </row>
    <row r="460" spans="1:15" ht="15.75" hidden="1" customHeight="1" x14ac:dyDescent="0.25">
      <c r="A460" s="94" t="s">
        <v>279</v>
      </c>
      <c r="B460" s="752"/>
      <c r="C460" s="752"/>
      <c r="D460" s="752"/>
      <c r="E460" s="258">
        <v>201000000</v>
      </c>
      <c r="F460" s="258">
        <v>71564000</v>
      </c>
      <c r="G460" s="40"/>
      <c r="H460" s="238">
        <f t="shared" si="26"/>
        <v>0</v>
      </c>
      <c r="I460" s="239"/>
      <c r="O460" s="238"/>
    </row>
    <row r="461" spans="1:15" ht="15.75" hidden="1" customHeight="1" x14ac:dyDescent="0.25">
      <c r="A461" s="97" t="s">
        <v>280</v>
      </c>
      <c r="B461" s="752"/>
      <c r="C461" s="752"/>
      <c r="D461" s="752"/>
      <c r="E461" s="259">
        <v>201000000</v>
      </c>
      <c r="F461" s="259" t="e">
        <v>#REF!</v>
      </c>
      <c r="G461" s="98" t="s">
        <v>405</v>
      </c>
      <c r="H461" s="238">
        <f t="shared" si="26"/>
        <v>48</v>
      </c>
      <c r="I461" s="239"/>
      <c r="O461" s="238"/>
    </row>
    <row r="462" spans="1:15" ht="15.75" hidden="1" customHeight="1" x14ac:dyDescent="0.25">
      <c r="A462" s="97" t="s">
        <v>281</v>
      </c>
      <c r="B462" s="752"/>
      <c r="C462" s="752"/>
      <c r="D462" s="752"/>
      <c r="E462" s="259" t="e">
        <v>#REF!</v>
      </c>
      <c r="F462" s="259" t="e">
        <v>#REF!</v>
      </c>
      <c r="G462" s="98" t="s">
        <v>406</v>
      </c>
      <c r="H462" s="238">
        <f t="shared" si="26"/>
        <v>88</v>
      </c>
      <c r="I462" s="239"/>
      <c r="O462" s="238"/>
    </row>
    <row r="463" spans="1:15" ht="15.75" hidden="1" customHeight="1" thickBot="1" x14ac:dyDescent="0.3">
      <c r="A463" s="112" t="s">
        <v>282</v>
      </c>
      <c r="B463" s="753"/>
      <c r="C463" s="753"/>
      <c r="D463" s="753"/>
      <c r="E463" s="264" t="e">
        <v>#REF!</v>
      </c>
      <c r="F463" s="264" t="e">
        <v>#REF!</v>
      </c>
      <c r="G463" s="98" t="s">
        <v>407</v>
      </c>
      <c r="H463" s="238">
        <f t="shared" si="26"/>
        <v>157</v>
      </c>
      <c r="I463" s="239"/>
      <c r="O463" s="238"/>
    </row>
    <row r="464" spans="1:15" ht="15.75" hidden="1" customHeight="1" thickBot="1" x14ac:dyDescent="0.3">
      <c r="A464" s="105"/>
      <c r="B464" s="106"/>
      <c r="C464" s="106"/>
      <c r="D464" s="137"/>
      <c r="E464" s="135"/>
      <c r="F464" s="135"/>
      <c r="G464" s="101"/>
      <c r="H464" s="238"/>
      <c r="I464" s="239"/>
      <c r="O464" s="238"/>
    </row>
    <row r="465" spans="1:15" ht="15.75" hidden="1" customHeight="1" x14ac:dyDescent="0.3">
      <c r="A465" s="918" t="s">
        <v>408</v>
      </c>
      <c r="B465" s="688"/>
      <c r="C465" s="688"/>
      <c r="D465" s="688"/>
      <c r="E465" s="688"/>
      <c r="F465" s="688"/>
      <c r="G465" s="766"/>
      <c r="H465" s="239"/>
      <c r="I465" s="239"/>
      <c r="O465" s="238"/>
    </row>
    <row r="466" spans="1:15" ht="15.75" hidden="1" customHeight="1" thickBot="1" x14ac:dyDescent="0.3">
      <c r="A466" s="85" t="s">
        <v>26</v>
      </c>
      <c r="B466" s="131" t="s">
        <v>318</v>
      </c>
      <c r="C466" s="131" t="s">
        <v>319</v>
      </c>
      <c r="D466" s="131" t="s">
        <v>385</v>
      </c>
      <c r="E466" s="131" t="s">
        <v>409</v>
      </c>
      <c r="F466" s="131" t="s">
        <v>410</v>
      </c>
      <c r="G466" s="132" t="s">
        <v>388</v>
      </c>
      <c r="H466" s="239"/>
      <c r="I466" s="239"/>
      <c r="O466" s="238"/>
    </row>
    <row r="467" spans="1:15" ht="15.75" hidden="1" customHeight="1" x14ac:dyDescent="0.25">
      <c r="A467" s="133" t="s">
        <v>284</v>
      </c>
      <c r="B467" s="912" t="s">
        <v>328</v>
      </c>
      <c r="C467" s="932" t="s">
        <v>389</v>
      </c>
      <c r="D467" s="926" t="s">
        <v>390</v>
      </c>
      <c r="E467" s="265">
        <v>11297816000</v>
      </c>
      <c r="F467" s="265">
        <v>0</v>
      </c>
      <c r="G467" s="134" t="s">
        <v>411</v>
      </c>
      <c r="H467" s="238">
        <f t="shared" ref="H467:H478" si="27">LEN(G467)</f>
        <v>69</v>
      </c>
      <c r="I467" s="239"/>
      <c r="N467" s="135"/>
      <c r="O467" s="238"/>
    </row>
    <row r="468" spans="1:15" ht="15.75" hidden="1" customHeight="1" x14ac:dyDescent="0.25">
      <c r="A468" s="133" t="s">
        <v>293</v>
      </c>
      <c r="B468" s="752"/>
      <c r="C468" s="752"/>
      <c r="D468" s="752"/>
      <c r="E468" s="265">
        <v>11617816000</v>
      </c>
      <c r="F468" s="266">
        <v>252325000</v>
      </c>
      <c r="G468" s="134" t="s">
        <v>412</v>
      </c>
      <c r="H468" s="238">
        <f t="shared" si="27"/>
        <v>74</v>
      </c>
      <c r="I468" s="239"/>
      <c r="N468" s="135"/>
      <c r="O468" s="238"/>
    </row>
    <row r="469" spans="1:15" ht="15.75" hidden="1" customHeight="1" x14ac:dyDescent="0.25">
      <c r="A469" s="133" t="s">
        <v>302</v>
      </c>
      <c r="B469" s="752"/>
      <c r="C469" s="752"/>
      <c r="D469" s="752"/>
      <c r="E469" s="266">
        <v>11617816000</v>
      </c>
      <c r="F469" s="266">
        <v>574453000</v>
      </c>
      <c r="G469" s="134" t="s">
        <v>412</v>
      </c>
      <c r="H469" s="238">
        <f t="shared" si="27"/>
        <v>74</v>
      </c>
      <c r="I469" s="239"/>
      <c r="N469" s="135"/>
      <c r="O469" s="238"/>
    </row>
    <row r="470" spans="1:15" ht="15.75" hidden="1" customHeight="1" x14ac:dyDescent="0.25">
      <c r="A470" s="133" t="s">
        <v>303</v>
      </c>
      <c r="B470" s="752"/>
      <c r="C470" s="752"/>
      <c r="D470" s="752"/>
      <c r="E470" s="267">
        <v>11364428500</v>
      </c>
      <c r="F470" s="267">
        <v>574453000</v>
      </c>
      <c r="G470" s="134" t="s">
        <v>412</v>
      </c>
      <c r="H470" s="238">
        <f t="shared" si="27"/>
        <v>74</v>
      </c>
      <c r="I470" s="239"/>
      <c r="N470" s="135"/>
      <c r="O470" s="238"/>
    </row>
    <row r="471" spans="1:15" ht="15.75" hidden="1" customHeight="1" x14ac:dyDescent="0.25">
      <c r="A471" s="133" t="s">
        <v>305</v>
      </c>
      <c r="B471" s="752"/>
      <c r="C471" s="752"/>
      <c r="D471" s="752"/>
      <c r="E471" s="267">
        <v>11364428500</v>
      </c>
      <c r="F471" s="267">
        <v>574453000</v>
      </c>
      <c r="G471" s="134" t="s">
        <v>412</v>
      </c>
      <c r="H471" s="238">
        <f t="shared" si="27"/>
        <v>74</v>
      </c>
      <c r="I471" s="239"/>
      <c r="N471" s="135"/>
      <c r="O471" s="238"/>
    </row>
    <row r="472" spans="1:15" ht="15.75" hidden="1" customHeight="1" x14ac:dyDescent="0.25">
      <c r="A472" s="133" t="s">
        <v>306</v>
      </c>
      <c r="B472" s="752"/>
      <c r="C472" s="752"/>
      <c r="D472" s="752"/>
      <c r="E472" s="267">
        <v>11364428500</v>
      </c>
      <c r="F472" s="267">
        <v>752099000</v>
      </c>
      <c r="G472" s="134" t="s">
        <v>413</v>
      </c>
      <c r="H472" s="238">
        <f t="shared" si="27"/>
        <v>84</v>
      </c>
      <c r="I472" s="239"/>
      <c r="N472" s="135"/>
      <c r="O472" s="238"/>
    </row>
    <row r="473" spans="1:15" ht="15.75" hidden="1" customHeight="1" x14ac:dyDescent="0.25">
      <c r="A473" s="133" t="s">
        <v>272</v>
      </c>
      <c r="B473" s="752"/>
      <c r="C473" s="752"/>
      <c r="D473" s="752"/>
      <c r="E473" s="267">
        <v>11364428500</v>
      </c>
      <c r="F473" s="267">
        <v>752099000</v>
      </c>
      <c r="G473" s="134" t="s">
        <v>413</v>
      </c>
      <c r="H473" s="238">
        <f t="shared" si="27"/>
        <v>84</v>
      </c>
      <c r="I473" s="239"/>
      <c r="N473" s="135"/>
      <c r="O473" s="238"/>
    </row>
    <row r="474" spans="1:15" ht="15.75" hidden="1" customHeight="1" x14ac:dyDescent="0.25">
      <c r="A474" s="94" t="s">
        <v>278</v>
      </c>
      <c r="B474" s="752"/>
      <c r="C474" s="752"/>
      <c r="D474" s="752"/>
      <c r="E474" s="227">
        <v>9975981143</v>
      </c>
      <c r="F474" s="267">
        <v>752099000</v>
      </c>
      <c r="G474" s="134" t="s">
        <v>413</v>
      </c>
      <c r="H474" s="238">
        <f t="shared" si="27"/>
        <v>84</v>
      </c>
      <c r="I474" s="239"/>
      <c r="O474" s="238"/>
    </row>
    <row r="475" spans="1:15" ht="15.75" hidden="1" customHeight="1" x14ac:dyDescent="0.25">
      <c r="A475" s="94" t="s">
        <v>279</v>
      </c>
      <c r="B475" s="752"/>
      <c r="C475" s="752"/>
      <c r="D475" s="752"/>
      <c r="E475" s="227">
        <v>9975981143</v>
      </c>
      <c r="F475" s="227">
        <v>770188500</v>
      </c>
      <c r="G475" s="134" t="s">
        <v>414</v>
      </c>
      <c r="H475" s="238">
        <f t="shared" si="27"/>
        <v>108</v>
      </c>
      <c r="I475" s="239"/>
      <c r="O475" s="238"/>
    </row>
    <row r="476" spans="1:15" ht="15.75" hidden="1" customHeight="1" x14ac:dyDescent="0.25">
      <c r="A476" s="97" t="s">
        <v>280</v>
      </c>
      <c r="B476" s="752"/>
      <c r="C476" s="752"/>
      <c r="D476" s="752"/>
      <c r="E476" s="227">
        <v>9975981143</v>
      </c>
      <c r="F476" s="268">
        <v>1020443291</v>
      </c>
      <c r="G476" s="134" t="s">
        <v>415</v>
      </c>
      <c r="H476" s="238">
        <f t="shared" si="27"/>
        <v>124</v>
      </c>
      <c r="I476" s="239"/>
      <c r="O476" s="238"/>
    </row>
    <row r="477" spans="1:15" ht="15.75" hidden="1" customHeight="1" x14ac:dyDescent="0.25">
      <c r="A477" s="260" t="s">
        <v>281</v>
      </c>
      <c r="B477" s="752"/>
      <c r="C477" s="752"/>
      <c r="D477" s="752"/>
      <c r="E477" s="227">
        <v>9945577030</v>
      </c>
      <c r="F477" s="268">
        <v>1299419291</v>
      </c>
      <c r="G477" s="88" t="s">
        <v>416</v>
      </c>
      <c r="H477" s="238">
        <f t="shared" si="27"/>
        <v>164</v>
      </c>
      <c r="I477" s="239"/>
      <c r="O477" s="238"/>
    </row>
    <row r="478" spans="1:15" ht="15.75" hidden="1" customHeight="1" thickBot="1" x14ac:dyDescent="0.3">
      <c r="A478" s="112" t="s">
        <v>282</v>
      </c>
      <c r="B478" s="753"/>
      <c r="C478" s="753"/>
      <c r="D478" s="753"/>
      <c r="E478" s="236">
        <v>9845577030</v>
      </c>
      <c r="F478" s="236">
        <v>3983407535</v>
      </c>
      <c r="G478" s="127" t="s">
        <v>417</v>
      </c>
      <c r="H478" s="238">
        <f t="shared" si="27"/>
        <v>269</v>
      </c>
      <c r="I478" s="239"/>
      <c r="O478" s="238"/>
    </row>
    <row r="479" spans="1:15" ht="15.75" hidden="1" customHeight="1" x14ac:dyDescent="0.25">
      <c r="A479" s="105"/>
      <c r="B479" s="105"/>
      <c r="C479" s="105"/>
      <c r="D479" s="105"/>
      <c r="E479" s="105"/>
      <c r="F479" s="105"/>
      <c r="G479" s="105"/>
      <c r="H479" s="239"/>
      <c r="I479" s="239"/>
      <c r="O479" s="238"/>
    </row>
    <row r="480" spans="1:15" ht="15.75" hidden="1" customHeight="1" thickBot="1" x14ac:dyDescent="0.3">
      <c r="A480" s="105"/>
      <c r="B480" s="105"/>
      <c r="C480" s="105"/>
      <c r="D480" s="105"/>
      <c r="E480" s="105"/>
      <c r="F480" s="105"/>
      <c r="G480" s="105"/>
      <c r="H480" s="239"/>
      <c r="I480" s="239"/>
      <c r="O480" s="238"/>
    </row>
    <row r="481" spans="1:15" ht="15.75" hidden="1" customHeight="1" thickBot="1" x14ac:dyDescent="0.3">
      <c r="A481" s="107" t="s">
        <v>26</v>
      </c>
      <c r="B481" s="138" t="s">
        <v>318</v>
      </c>
      <c r="C481" s="138" t="s">
        <v>319</v>
      </c>
      <c r="D481" s="138" t="s">
        <v>385</v>
      </c>
      <c r="E481" s="138" t="s">
        <v>409</v>
      </c>
      <c r="F481" s="138" t="s">
        <v>410</v>
      </c>
      <c r="G481" s="56" t="s">
        <v>388</v>
      </c>
      <c r="H481" s="239"/>
      <c r="I481" s="239"/>
      <c r="O481" s="238"/>
    </row>
    <row r="482" spans="1:15" ht="15.75" hidden="1" customHeight="1" x14ac:dyDescent="0.25">
      <c r="A482" s="133" t="s">
        <v>284</v>
      </c>
      <c r="B482" s="912" t="s">
        <v>335</v>
      </c>
      <c r="C482" s="912" t="s">
        <v>336</v>
      </c>
      <c r="D482" s="926" t="s">
        <v>395</v>
      </c>
      <c r="E482" s="269">
        <v>5009181000</v>
      </c>
      <c r="F482" s="269">
        <v>0</v>
      </c>
      <c r="G482" s="134" t="s">
        <v>411</v>
      </c>
      <c r="H482" s="238">
        <f t="shared" ref="H482:H493" si="28">LEN(G482)</f>
        <v>69</v>
      </c>
      <c r="I482" s="239"/>
      <c r="O482" s="238"/>
    </row>
    <row r="483" spans="1:15" ht="15.75" hidden="1" customHeight="1" x14ac:dyDescent="0.25">
      <c r="A483" s="133" t="s">
        <v>293</v>
      </c>
      <c r="B483" s="752"/>
      <c r="C483" s="752"/>
      <c r="D483" s="752"/>
      <c r="E483" s="270">
        <v>4689181000</v>
      </c>
      <c r="F483" s="269">
        <v>0</v>
      </c>
      <c r="G483" s="134" t="s">
        <v>411</v>
      </c>
      <c r="H483" s="238">
        <f t="shared" si="28"/>
        <v>69</v>
      </c>
      <c r="I483" s="239"/>
      <c r="O483" s="238"/>
    </row>
    <row r="484" spans="1:15" ht="15.75" hidden="1" customHeight="1" x14ac:dyDescent="0.25">
      <c r="A484" s="133" t="s">
        <v>302</v>
      </c>
      <c r="B484" s="752"/>
      <c r="C484" s="752"/>
      <c r="D484" s="752"/>
      <c r="E484" s="270">
        <v>4689181000</v>
      </c>
      <c r="F484" s="266">
        <v>226464000</v>
      </c>
      <c r="G484" s="134" t="s">
        <v>418</v>
      </c>
      <c r="H484" s="238">
        <f t="shared" si="28"/>
        <v>38</v>
      </c>
      <c r="I484" s="239"/>
      <c r="O484" s="238"/>
    </row>
    <row r="485" spans="1:15" ht="15.75" hidden="1" customHeight="1" x14ac:dyDescent="0.25">
      <c r="A485" s="133" t="s">
        <v>303</v>
      </c>
      <c r="B485" s="752"/>
      <c r="C485" s="752"/>
      <c r="D485" s="752"/>
      <c r="E485" s="227">
        <v>4312793857</v>
      </c>
      <c r="F485" s="227">
        <v>440096000</v>
      </c>
      <c r="G485" s="134" t="s">
        <v>418</v>
      </c>
      <c r="H485" s="238">
        <f t="shared" si="28"/>
        <v>38</v>
      </c>
      <c r="I485" s="239"/>
      <c r="O485" s="238"/>
    </row>
    <row r="486" spans="1:15" ht="15.75" hidden="1" customHeight="1" x14ac:dyDescent="0.25">
      <c r="A486" s="133" t="s">
        <v>305</v>
      </c>
      <c r="B486" s="752"/>
      <c r="C486" s="752"/>
      <c r="D486" s="752"/>
      <c r="E486" s="227">
        <v>4312793857</v>
      </c>
      <c r="F486" s="227">
        <v>440096000</v>
      </c>
      <c r="G486" s="134" t="s">
        <v>418</v>
      </c>
      <c r="H486" s="238">
        <f t="shared" si="28"/>
        <v>38</v>
      </c>
      <c r="I486" s="239"/>
      <c r="O486" s="238"/>
    </row>
    <row r="487" spans="1:15" ht="15.75" hidden="1" customHeight="1" x14ac:dyDescent="0.25">
      <c r="A487" s="133" t="s">
        <v>306</v>
      </c>
      <c r="B487" s="752"/>
      <c r="C487" s="752"/>
      <c r="D487" s="752"/>
      <c r="E487" s="227">
        <v>4244239942</v>
      </c>
      <c r="F487" s="227">
        <v>508419000</v>
      </c>
      <c r="G487" s="134" t="s">
        <v>419</v>
      </c>
      <c r="H487" s="238">
        <f t="shared" si="28"/>
        <v>66</v>
      </c>
      <c r="I487" s="239"/>
      <c r="O487" s="238"/>
    </row>
    <row r="488" spans="1:15" ht="15.75" hidden="1" customHeight="1" x14ac:dyDescent="0.25">
      <c r="A488" s="133" t="s">
        <v>272</v>
      </c>
      <c r="B488" s="752"/>
      <c r="C488" s="752"/>
      <c r="D488" s="752"/>
      <c r="E488" s="227">
        <v>4244239942</v>
      </c>
      <c r="F488" s="227">
        <v>508419000</v>
      </c>
      <c r="G488" s="134" t="s">
        <v>419</v>
      </c>
      <c r="H488" s="238">
        <f t="shared" si="28"/>
        <v>66</v>
      </c>
      <c r="I488" s="239"/>
      <c r="O488" s="238"/>
    </row>
    <row r="489" spans="1:15" ht="15.75" hidden="1" customHeight="1" x14ac:dyDescent="0.25">
      <c r="A489" s="94" t="s">
        <v>278</v>
      </c>
      <c r="B489" s="752"/>
      <c r="C489" s="752"/>
      <c r="D489" s="752"/>
      <c r="E489" s="227">
        <v>4177645269</v>
      </c>
      <c r="F489" s="227">
        <v>508419000</v>
      </c>
      <c r="G489" s="134" t="s">
        <v>419</v>
      </c>
      <c r="H489" s="238">
        <f t="shared" si="28"/>
        <v>66</v>
      </c>
      <c r="I489" s="239"/>
      <c r="O489" s="238"/>
    </row>
    <row r="490" spans="1:15" ht="15.75" hidden="1" customHeight="1" x14ac:dyDescent="0.25">
      <c r="A490" s="94" t="s">
        <v>279</v>
      </c>
      <c r="B490" s="752"/>
      <c r="C490" s="752"/>
      <c r="D490" s="752"/>
      <c r="E490" s="227">
        <v>4177645269</v>
      </c>
      <c r="F490" s="227">
        <v>511919000</v>
      </c>
      <c r="G490" s="134" t="s">
        <v>420</v>
      </c>
      <c r="H490" s="238">
        <f t="shared" si="28"/>
        <v>96</v>
      </c>
      <c r="I490" s="239"/>
      <c r="O490" s="238"/>
    </row>
    <row r="491" spans="1:15" ht="15.75" hidden="1" customHeight="1" x14ac:dyDescent="0.25">
      <c r="A491" s="97" t="s">
        <v>280</v>
      </c>
      <c r="B491" s="752"/>
      <c r="C491" s="752"/>
      <c r="D491" s="752"/>
      <c r="E491" s="227">
        <v>4177645269</v>
      </c>
      <c r="F491" s="227">
        <v>915890071</v>
      </c>
      <c r="G491" s="134" t="s">
        <v>421</v>
      </c>
      <c r="H491" s="238">
        <f t="shared" si="28"/>
        <v>105</v>
      </c>
      <c r="I491" s="239"/>
      <c r="O491" s="238"/>
    </row>
    <row r="492" spans="1:15" ht="15.75" hidden="1" customHeight="1" x14ac:dyDescent="0.25">
      <c r="A492" s="260" t="s">
        <v>281</v>
      </c>
      <c r="B492" s="752"/>
      <c r="C492" s="752"/>
      <c r="D492" s="752"/>
      <c r="E492" s="227">
        <v>4190304269</v>
      </c>
      <c r="F492" s="227">
        <v>915890071</v>
      </c>
      <c r="G492" s="134" t="s">
        <v>421</v>
      </c>
      <c r="H492" s="238">
        <f t="shared" si="28"/>
        <v>105</v>
      </c>
      <c r="I492" s="239"/>
      <c r="O492" s="238"/>
    </row>
    <row r="493" spans="1:15" ht="15.75" hidden="1" customHeight="1" thickBot="1" x14ac:dyDescent="0.3">
      <c r="A493" s="112" t="s">
        <v>282</v>
      </c>
      <c r="B493" s="753"/>
      <c r="C493" s="753"/>
      <c r="D493" s="753"/>
      <c r="E493" s="236">
        <v>4132147982</v>
      </c>
      <c r="F493" s="236">
        <v>3521604494</v>
      </c>
      <c r="G493" s="271" t="s">
        <v>422</v>
      </c>
      <c r="H493" s="238">
        <f t="shared" si="28"/>
        <v>119</v>
      </c>
      <c r="I493" s="239"/>
      <c r="N493" s="135"/>
      <c r="O493" s="238"/>
    </row>
    <row r="494" spans="1:15" ht="15.75" hidden="1" customHeight="1" x14ac:dyDescent="0.25">
      <c r="A494" s="105"/>
      <c r="B494" s="105"/>
      <c r="C494" s="105"/>
      <c r="D494" s="105"/>
      <c r="E494" s="105"/>
      <c r="F494" s="105"/>
      <c r="G494" s="105"/>
      <c r="H494" s="239"/>
      <c r="I494" s="239"/>
      <c r="O494" s="238"/>
    </row>
    <row r="495" spans="1:15" ht="15.75" hidden="1" customHeight="1" thickBot="1" x14ac:dyDescent="0.3">
      <c r="A495" s="105"/>
      <c r="B495" s="105"/>
      <c r="C495" s="105"/>
      <c r="D495" s="105"/>
      <c r="E495" s="105"/>
      <c r="F495" s="105"/>
      <c r="G495" s="105"/>
      <c r="H495" s="239"/>
      <c r="I495" s="239"/>
      <c r="O495" s="238"/>
    </row>
    <row r="496" spans="1:15" ht="15.75" hidden="1" customHeight="1" thickBot="1" x14ac:dyDescent="0.3">
      <c r="A496" s="107" t="s">
        <v>26</v>
      </c>
      <c r="B496" s="138" t="s">
        <v>318</v>
      </c>
      <c r="C496" s="138" t="s">
        <v>319</v>
      </c>
      <c r="D496" s="138" t="s">
        <v>385</v>
      </c>
      <c r="E496" s="138" t="s">
        <v>409</v>
      </c>
      <c r="F496" s="138" t="s">
        <v>410</v>
      </c>
      <c r="G496" s="56" t="s">
        <v>388</v>
      </c>
      <c r="H496" s="239"/>
      <c r="I496" s="239"/>
      <c r="O496" s="238"/>
    </row>
    <row r="497" spans="1:15" ht="15.75" hidden="1" customHeight="1" x14ac:dyDescent="0.25">
      <c r="A497" s="133" t="s">
        <v>284</v>
      </c>
      <c r="B497" s="912" t="s">
        <v>335</v>
      </c>
      <c r="C497" s="912" t="s">
        <v>336</v>
      </c>
      <c r="D497" s="926" t="s">
        <v>400</v>
      </c>
      <c r="E497" s="269">
        <v>8798867000</v>
      </c>
      <c r="F497" s="269">
        <v>0</v>
      </c>
      <c r="G497" s="134" t="s">
        <v>411</v>
      </c>
      <c r="H497" s="238">
        <f t="shared" ref="H497:H508" si="29">LEN(G497)</f>
        <v>69</v>
      </c>
      <c r="I497" s="239"/>
      <c r="O497" s="238"/>
    </row>
    <row r="498" spans="1:15" ht="15.75" hidden="1" customHeight="1" x14ac:dyDescent="0.25">
      <c r="A498" s="133" t="s">
        <v>293</v>
      </c>
      <c r="B498" s="752"/>
      <c r="C498" s="752"/>
      <c r="D498" s="752"/>
      <c r="E498" s="269">
        <v>8798867000</v>
      </c>
      <c r="F498" s="266">
        <v>10695000</v>
      </c>
      <c r="G498" s="134" t="s">
        <v>412</v>
      </c>
      <c r="H498" s="238">
        <f t="shared" si="29"/>
        <v>74</v>
      </c>
      <c r="I498" s="239"/>
      <c r="O498" s="238"/>
    </row>
    <row r="499" spans="1:15" ht="15.75" hidden="1" customHeight="1" x14ac:dyDescent="0.25">
      <c r="A499" s="133" t="s">
        <v>302</v>
      </c>
      <c r="B499" s="752"/>
      <c r="C499" s="752"/>
      <c r="D499" s="752"/>
      <c r="E499" s="269">
        <v>8798867000</v>
      </c>
      <c r="F499" s="266">
        <v>309783000</v>
      </c>
      <c r="G499" s="134" t="s">
        <v>412</v>
      </c>
      <c r="H499" s="238">
        <f t="shared" si="29"/>
        <v>74</v>
      </c>
      <c r="I499" s="239"/>
      <c r="O499" s="238"/>
    </row>
    <row r="500" spans="1:15" ht="15.75" hidden="1" customHeight="1" x14ac:dyDescent="0.25">
      <c r="A500" s="133" t="s">
        <v>303</v>
      </c>
      <c r="B500" s="752"/>
      <c r="C500" s="752"/>
      <c r="D500" s="752"/>
      <c r="E500" s="227">
        <v>8530667000</v>
      </c>
      <c r="F500" s="227">
        <v>598735996</v>
      </c>
      <c r="G500" s="134" t="s">
        <v>412</v>
      </c>
      <c r="H500" s="238">
        <f t="shared" si="29"/>
        <v>74</v>
      </c>
      <c r="I500" s="239"/>
      <c r="O500" s="238"/>
    </row>
    <row r="501" spans="1:15" ht="15.75" hidden="1" customHeight="1" x14ac:dyDescent="0.25">
      <c r="A501" s="133" t="s">
        <v>305</v>
      </c>
      <c r="B501" s="752"/>
      <c r="C501" s="752"/>
      <c r="D501" s="752"/>
      <c r="E501" s="227">
        <v>8530667000</v>
      </c>
      <c r="F501" s="227">
        <v>600182874</v>
      </c>
      <c r="G501" s="134" t="s">
        <v>423</v>
      </c>
      <c r="H501" s="238">
        <f t="shared" si="29"/>
        <v>102</v>
      </c>
      <c r="I501" s="239"/>
      <c r="O501" s="238"/>
    </row>
    <row r="502" spans="1:15" ht="15.75" hidden="1" customHeight="1" x14ac:dyDescent="0.25">
      <c r="A502" s="133" t="s">
        <v>306</v>
      </c>
      <c r="B502" s="752"/>
      <c r="C502" s="752"/>
      <c r="D502" s="752"/>
      <c r="E502" s="227">
        <v>8599220915</v>
      </c>
      <c r="F502" s="227">
        <v>776147471</v>
      </c>
      <c r="G502" s="134" t="s">
        <v>424</v>
      </c>
      <c r="H502" s="238">
        <f t="shared" si="29"/>
        <v>125</v>
      </c>
      <c r="I502" s="239"/>
      <c r="O502" s="238"/>
    </row>
    <row r="503" spans="1:15" ht="15.75" hidden="1" customHeight="1" x14ac:dyDescent="0.25">
      <c r="A503" s="133" t="s">
        <v>272</v>
      </c>
      <c r="B503" s="752"/>
      <c r="C503" s="752"/>
      <c r="D503" s="752"/>
      <c r="E503" s="227">
        <v>8599220915</v>
      </c>
      <c r="F503" s="227">
        <v>776147471</v>
      </c>
      <c r="G503" s="134" t="s">
        <v>424</v>
      </c>
      <c r="H503" s="238">
        <f t="shared" si="29"/>
        <v>125</v>
      </c>
      <c r="I503" s="239"/>
      <c r="O503" s="238"/>
    </row>
    <row r="504" spans="1:15" ht="15.75" hidden="1" customHeight="1" x14ac:dyDescent="0.25">
      <c r="A504" s="94" t="s">
        <v>278</v>
      </c>
      <c r="B504" s="752"/>
      <c r="C504" s="752"/>
      <c r="D504" s="752"/>
      <c r="E504" s="227">
        <v>7265572915</v>
      </c>
      <c r="F504" s="227">
        <v>776147471</v>
      </c>
      <c r="G504" s="134" t="s">
        <v>424</v>
      </c>
      <c r="H504" s="238">
        <f t="shared" si="29"/>
        <v>125</v>
      </c>
      <c r="I504" s="239"/>
      <c r="O504" s="238"/>
    </row>
    <row r="505" spans="1:15" ht="15.75" hidden="1" customHeight="1" x14ac:dyDescent="0.25">
      <c r="A505" s="94" t="s">
        <v>279</v>
      </c>
      <c r="B505" s="752"/>
      <c r="C505" s="752"/>
      <c r="D505" s="752"/>
      <c r="E505" s="227">
        <v>7265572915</v>
      </c>
      <c r="F505" s="227">
        <v>779647471</v>
      </c>
      <c r="G505" s="134" t="s">
        <v>425</v>
      </c>
      <c r="H505" s="238">
        <f t="shared" si="29"/>
        <v>151</v>
      </c>
      <c r="I505" s="239"/>
      <c r="O505" s="238"/>
    </row>
    <row r="506" spans="1:15" ht="15.75" hidden="1" customHeight="1" x14ac:dyDescent="0.25">
      <c r="A506" s="97" t="s">
        <v>280</v>
      </c>
      <c r="B506" s="752"/>
      <c r="C506" s="752"/>
      <c r="D506" s="752"/>
      <c r="E506" s="268">
        <v>7265572915</v>
      </c>
      <c r="F506" s="268">
        <v>3779647471</v>
      </c>
      <c r="G506" s="134" t="s">
        <v>426</v>
      </c>
      <c r="H506" s="238">
        <f t="shared" si="29"/>
        <v>191</v>
      </c>
      <c r="I506" s="239"/>
      <c r="O506" s="238"/>
    </row>
    <row r="507" spans="1:15" ht="15.75" hidden="1" customHeight="1" x14ac:dyDescent="0.25">
      <c r="A507" s="260" t="s">
        <v>281</v>
      </c>
      <c r="B507" s="752"/>
      <c r="C507" s="752"/>
      <c r="D507" s="752"/>
      <c r="E507" s="268">
        <v>7328093261</v>
      </c>
      <c r="F507" s="268">
        <v>7100671285</v>
      </c>
      <c r="G507" s="134" t="s">
        <v>427</v>
      </c>
      <c r="H507" s="238">
        <f t="shared" si="29"/>
        <v>215</v>
      </c>
      <c r="I507" s="239"/>
      <c r="O507" s="238"/>
    </row>
    <row r="508" spans="1:15" ht="15.75" hidden="1" customHeight="1" thickBot="1" x14ac:dyDescent="0.3">
      <c r="A508" s="112" t="s">
        <v>282</v>
      </c>
      <c r="B508" s="753"/>
      <c r="C508" s="753"/>
      <c r="D508" s="753"/>
      <c r="E508" s="272">
        <v>7311780179</v>
      </c>
      <c r="F508" s="264">
        <v>7181707363</v>
      </c>
      <c r="G508" s="271" t="s">
        <v>427</v>
      </c>
      <c r="H508" s="238">
        <f t="shared" si="29"/>
        <v>215</v>
      </c>
      <c r="I508" s="239"/>
      <c r="J508" s="20"/>
      <c r="O508" s="238"/>
    </row>
    <row r="509" spans="1:15" ht="15.75" hidden="1" customHeight="1" x14ac:dyDescent="0.25">
      <c r="A509" s="105"/>
      <c r="B509" s="105"/>
      <c r="C509" s="105"/>
      <c r="D509" s="105"/>
      <c r="E509" s="105"/>
      <c r="F509" s="105"/>
      <c r="G509" s="105"/>
      <c r="H509" s="239"/>
      <c r="I509" s="239"/>
      <c r="O509" s="238"/>
    </row>
    <row r="510" spans="1:15" ht="15.75" hidden="1" customHeight="1" thickBot="1" x14ac:dyDescent="0.3">
      <c r="A510" s="105"/>
      <c r="B510" s="105"/>
      <c r="C510" s="105"/>
      <c r="D510" s="105"/>
      <c r="E510" s="105"/>
      <c r="F510" s="105"/>
      <c r="G510" s="105"/>
      <c r="H510" s="239"/>
      <c r="I510" s="239"/>
      <c r="O510" s="238"/>
    </row>
    <row r="511" spans="1:15" ht="15.75" hidden="1" customHeight="1" thickBot="1" x14ac:dyDescent="0.3">
      <c r="A511" s="107" t="s">
        <v>26</v>
      </c>
      <c r="B511" s="138" t="s">
        <v>318</v>
      </c>
      <c r="C511" s="138" t="s">
        <v>319</v>
      </c>
      <c r="D511" s="138" t="s">
        <v>385</v>
      </c>
      <c r="E511" s="138" t="s">
        <v>409</v>
      </c>
      <c r="F511" s="138" t="s">
        <v>410</v>
      </c>
      <c r="G511" s="56" t="s">
        <v>388</v>
      </c>
      <c r="H511" s="239"/>
      <c r="I511" s="239"/>
      <c r="O511" s="238"/>
    </row>
    <row r="512" spans="1:15" ht="15.75" hidden="1" customHeight="1" x14ac:dyDescent="0.25">
      <c r="A512" s="133" t="s">
        <v>284</v>
      </c>
      <c r="B512" s="912" t="s">
        <v>346</v>
      </c>
      <c r="C512" s="912" t="s">
        <v>347</v>
      </c>
      <c r="D512" s="926" t="s">
        <v>404</v>
      </c>
      <c r="E512" s="227">
        <v>251240000</v>
      </c>
      <c r="F512" s="227">
        <v>0</v>
      </c>
      <c r="G512" s="134" t="s">
        <v>411</v>
      </c>
      <c r="H512" s="238">
        <f t="shared" ref="H512:H523" si="30">LEN(G512)</f>
        <v>69</v>
      </c>
      <c r="I512" s="239"/>
      <c r="O512" s="238"/>
    </row>
    <row r="513" spans="1:15" ht="15.75" hidden="1" customHeight="1" x14ac:dyDescent="0.25">
      <c r="A513" s="133" t="s">
        <v>293</v>
      </c>
      <c r="B513" s="752"/>
      <c r="C513" s="752"/>
      <c r="D513" s="752"/>
      <c r="E513" s="227">
        <v>251240000</v>
      </c>
      <c r="F513" s="227">
        <v>0</v>
      </c>
      <c r="G513" s="134" t="s">
        <v>418</v>
      </c>
      <c r="H513" s="238">
        <f t="shared" si="30"/>
        <v>38</v>
      </c>
      <c r="I513" s="239"/>
      <c r="O513" s="238"/>
    </row>
    <row r="514" spans="1:15" ht="15.75" hidden="1" customHeight="1" x14ac:dyDescent="0.25">
      <c r="A514" s="133" t="s">
        <v>302</v>
      </c>
      <c r="B514" s="752"/>
      <c r="C514" s="752"/>
      <c r="D514" s="752"/>
      <c r="E514" s="227">
        <v>251240000</v>
      </c>
      <c r="F514" s="227">
        <v>133938000</v>
      </c>
      <c r="G514" s="134" t="s">
        <v>418</v>
      </c>
      <c r="H514" s="238">
        <f t="shared" si="30"/>
        <v>38</v>
      </c>
      <c r="I514" s="239"/>
      <c r="O514" s="238"/>
    </row>
    <row r="515" spans="1:15" ht="15.75" hidden="1" customHeight="1" x14ac:dyDescent="0.25">
      <c r="A515" s="133" t="s">
        <v>303</v>
      </c>
      <c r="B515" s="752"/>
      <c r="C515" s="752"/>
      <c r="D515" s="752"/>
      <c r="E515" s="266">
        <v>221204000</v>
      </c>
      <c r="F515" s="269">
        <v>190224000</v>
      </c>
      <c r="G515" s="273" t="s">
        <v>418</v>
      </c>
      <c r="H515" s="238">
        <f t="shared" si="30"/>
        <v>38</v>
      </c>
      <c r="I515" s="239"/>
      <c r="O515" s="238"/>
    </row>
    <row r="516" spans="1:15" ht="15.75" hidden="1" customHeight="1" x14ac:dyDescent="0.25">
      <c r="A516" s="133" t="s">
        <v>305</v>
      </c>
      <c r="B516" s="752"/>
      <c r="C516" s="752"/>
      <c r="D516" s="752"/>
      <c r="E516" s="266">
        <v>221204000</v>
      </c>
      <c r="F516" s="269">
        <v>190224000</v>
      </c>
      <c r="G516" s="273" t="s">
        <v>418</v>
      </c>
      <c r="H516" s="238">
        <f t="shared" si="30"/>
        <v>38</v>
      </c>
      <c r="I516" s="239"/>
      <c r="O516" s="238"/>
    </row>
    <row r="517" spans="1:15" ht="15.75" hidden="1" customHeight="1" x14ac:dyDescent="0.25">
      <c r="A517" s="133" t="s">
        <v>306</v>
      </c>
      <c r="B517" s="752"/>
      <c r="C517" s="752"/>
      <c r="D517" s="752"/>
      <c r="E517" s="227">
        <v>221204000</v>
      </c>
      <c r="F517" s="227">
        <v>200724000</v>
      </c>
      <c r="G517" s="273" t="s">
        <v>418</v>
      </c>
      <c r="H517" s="238">
        <f t="shared" si="30"/>
        <v>38</v>
      </c>
      <c r="I517" s="239"/>
      <c r="O517" s="238"/>
    </row>
    <row r="518" spans="1:15" ht="15.75" hidden="1" customHeight="1" x14ac:dyDescent="0.25">
      <c r="A518" s="133" t="s">
        <v>272</v>
      </c>
      <c r="B518" s="752"/>
      <c r="C518" s="752"/>
      <c r="D518" s="752"/>
      <c r="E518" s="227">
        <v>221204000</v>
      </c>
      <c r="F518" s="227">
        <v>200724000</v>
      </c>
      <c r="G518" s="273" t="s">
        <v>418</v>
      </c>
      <c r="H518" s="238">
        <f t="shared" si="30"/>
        <v>38</v>
      </c>
      <c r="I518" s="239"/>
      <c r="O518" s="238"/>
    </row>
    <row r="519" spans="1:15" ht="15.75" hidden="1" customHeight="1" x14ac:dyDescent="0.25">
      <c r="A519" s="94" t="s">
        <v>278</v>
      </c>
      <c r="B519" s="752"/>
      <c r="C519" s="752"/>
      <c r="D519" s="752"/>
      <c r="E519" s="227">
        <v>221204000</v>
      </c>
      <c r="F519" s="227">
        <v>200724000</v>
      </c>
      <c r="G519" s="273" t="s">
        <v>418</v>
      </c>
      <c r="H519" s="238">
        <f t="shared" si="30"/>
        <v>38</v>
      </c>
      <c r="I519" s="239"/>
      <c r="O519" s="238"/>
    </row>
    <row r="520" spans="1:15" ht="15.75" hidden="1" customHeight="1" x14ac:dyDescent="0.25">
      <c r="A520" s="94" t="s">
        <v>279</v>
      </c>
      <c r="B520" s="752"/>
      <c r="C520" s="752"/>
      <c r="D520" s="752"/>
      <c r="E520" s="227">
        <v>221204000</v>
      </c>
      <c r="F520" s="227">
        <v>200724000</v>
      </c>
      <c r="G520" s="273" t="s">
        <v>418</v>
      </c>
      <c r="H520" s="238">
        <f t="shared" si="30"/>
        <v>38</v>
      </c>
      <c r="I520" s="239"/>
      <c r="O520" s="238"/>
    </row>
    <row r="521" spans="1:15" ht="15.75" hidden="1" customHeight="1" x14ac:dyDescent="0.25">
      <c r="A521" s="97" t="s">
        <v>280</v>
      </c>
      <c r="B521" s="752"/>
      <c r="C521" s="752"/>
      <c r="D521" s="752"/>
      <c r="E521" s="268">
        <v>251204000</v>
      </c>
      <c r="F521" s="268">
        <v>200724000</v>
      </c>
      <c r="G521" s="273" t="s">
        <v>418</v>
      </c>
      <c r="H521" s="238">
        <f t="shared" si="30"/>
        <v>38</v>
      </c>
      <c r="I521" s="239"/>
      <c r="O521" s="238"/>
    </row>
    <row r="522" spans="1:15" ht="15.75" hidden="1" customHeight="1" x14ac:dyDescent="0.25">
      <c r="A522" s="97" t="s">
        <v>281</v>
      </c>
      <c r="B522" s="752"/>
      <c r="C522" s="752"/>
      <c r="D522" s="752"/>
      <c r="E522" s="268">
        <v>206428767</v>
      </c>
      <c r="F522" s="268">
        <v>200724000</v>
      </c>
      <c r="G522" s="273" t="s">
        <v>418</v>
      </c>
      <c r="H522" s="238">
        <f t="shared" si="30"/>
        <v>38</v>
      </c>
      <c r="I522" s="239"/>
      <c r="O522" s="238"/>
    </row>
    <row r="523" spans="1:15" ht="15.75" hidden="1" customHeight="1" thickBot="1" x14ac:dyDescent="0.3">
      <c r="A523" s="112" t="s">
        <v>282</v>
      </c>
      <c r="B523" s="753"/>
      <c r="C523" s="753"/>
      <c r="D523" s="753"/>
      <c r="E523" s="272">
        <v>206428767</v>
      </c>
      <c r="F523" s="272">
        <v>206428767</v>
      </c>
      <c r="G523" s="274" t="s">
        <v>418</v>
      </c>
      <c r="H523" s="238">
        <f t="shared" si="30"/>
        <v>38</v>
      </c>
      <c r="I523" s="239"/>
      <c r="O523" s="238"/>
    </row>
    <row r="524" spans="1:15" ht="15.75" hidden="1" customHeight="1" x14ac:dyDescent="0.25">
      <c r="A524" s="105"/>
      <c r="B524" s="106"/>
      <c r="C524" s="106"/>
      <c r="D524" s="137"/>
      <c r="E524" s="135"/>
      <c r="F524" s="135"/>
      <c r="G524" s="101"/>
      <c r="H524" s="238"/>
      <c r="I524" s="239"/>
      <c r="O524" s="238"/>
    </row>
    <row r="525" spans="1:15" ht="15.75" hidden="1" customHeight="1" thickBot="1" x14ac:dyDescent="0.3">
      <c r="A525" s="51"/>
      <c r="G525" s="139"/>
      <c r="H525" s="239"/>
      <c r="I525" s="239"/>
      <c r="O525" s="238"/>
    </row>
    <row r="526" spans="1:15" ht="15.75" hidden="1" customHeight="1" x14ac:dyDescent="0.3">
      <c r="A526" s="918" t="s">
        <v>428</v>
      </c>
      <c r="B526" s="688"/>
      <c r="C526" s="688"/>
      <c r="D526" s="688"/>
      <c r="E526" s="688"/>
      <c r="F526" s="688"/>
      <c r="G526" s="766"/>
      <c r="H526" s="239"/>
      <c r="I526" s="239"/>
      <c r="O526" s="238"/>
    </row>
    <row r="527" spans="1:15" ht="15.75" hidden="1" customHeight="1" thickBot="1" x14ac:dyDescent="0.3">
      <c r="A527" s="85" t="s">
        <v>27</v>
      </c>
      <c r="B527" s="131" t="s">
        <v>318</v>
      </c>
      <c r="C527" s="131" t="s">
        <v>319</v>
      </c>
      <c r="D527" s="131" t="s">
        <v>385</v>
      </c>
      <c r="E527" s="131" t="s">
        <v>429</v>
      </c>
      <c r="F527" s="131" t="s">
        <v>430</v>
      </c>
      <c r="G527" s="132" t="s">
        <v>388</v>
      </c>
      <c r="H527" s="239"/>
      <c r="I527" s="239"/>
      <c r="J527" s="140" t="s">
        <v>431</v>
      </c>
      <c r="O527" s="238"/>
    </row>
    <row r="528" spans="1:15" ht="15.75" hidden="1" customHeight="1" x14ac:dyDescent="0.25">
      <c r="A528" s="81" t="s">
        <v>284</v>
      </c>
      <c r="B528" s="912" t="s">
        <v>328</v>
      </c>
      <c r="C528" s="932" t="s">
        <v>389</v>
      </c>
      <c r="D528" s="926" t="s">
        <v>390</v>
      </c>
      <c r="E528" s="59">
        <v>8723281000</v>
      </c>
      <c r="F528" s="59">
        <v>1023165000</v>
      </c>
      <c r="G528" s="134" t="s">
        <v>432</v>
      </c>
      <c r="H528" s="238">
        <f t="shared" ref="H528:H539" si="31">LEN(G528)</f>
        <v>62</v>
      </c>
      <c r="I528" s="239"/>
      <c r="O528" s="238"/>
    </row>
    <row r="529" spans="1:15" ht="15.75" hidden="1" customHeight="1" x14ac:dyDescent="0.25">
      <c r="A529" s="81" t="s">
        <v>293</v>
      </c>
      <c r="B529" s="752"/>
      <c r="C529" s="752"/>
      <c r="D529" s="752"/>
      <c r="E529" s="59">
        <v>8723281000</v>
      </c>
      <c r="F529" s="59">
        <v>1023165000</v>
      </c>
      <c r="G529" s="134" t="s">
        <v>432</v>
      </c>
      <c r="H529" s="238">
        <f t="shared" si="31"/>
        <v>62</v>
      </c>
      <c r="I529" s="239"/>
      <c r="O529" s="238"/>
    </row>
    <row r="530" spans="1:15" ht="15.75" hidden="1" customHeight="1" x14ac:dyDescent="0.25">
      <c r="A530" s="81" t="s">
        <v>302</v>
      </c>
      <c r="B530" s="752"/>
      <c r="C530" s="752"/>
      <c r="D530" s="752"/>
      <c r="E530" s="59">
        <v>8723281000</v>
      </c>
      <c r="F530" s="59">
        <v>1023165000</v>
      </c>
      <c r="G530" s="134" t="s">
        <v>432</v>
      </c>
      <c r="H530" s="238">
        <f t="shared" si="31"/>
        <v>62</v>
      </c>
      <c r="I530" s="239"/>
      <c r="O530" s="238"/>
    </row>
    <row r="531" spans="1:15" ht="15.75" hidden="1" customHeight="1" x14ac:dyDescent="0.25">
      <c r="A531" s="81" t="s">
        <v>303</v>
      </c>
      <c r="B531" s="752"/>
      <c r="C531" s="752"/>
      <c r="D531" s="752"/>
      <c r="E531" s="59">
        <v>8723281000</v>
      </c>
      <c r="F531" s="59">
        <v>1023165000</v>
      </c>
      <c r="G531" s="134" t="s">
        <v>432</v>
      </c>
      <c r="H531" s="238">
        <f t="shared" si="31"/>
        <v>62</v>
      </c>
      <c r="I531" s="239"/>
      <c r="O531" s="238"/>
    </row>
    <row r="532" spans="1:15" ht="15.75" hidden="1" customHeight="1" x14ac:dyDescent="0.25">
      <c r="A532" s="81" t="s">
        <v>305</v>
      </c>
      <c r="B532" s="752"/>
      <c r="C532" s="752"/>
      <c r="D532" s="752"/>
      <c r="E532" s="59">
        <v>8723281000</v>
      </c>
      <c r="F532" s="59">
        <v>1023165000</v>
      </c>
      <c r="G532" s="134" t="s">
        <v>432</v>
      </c>
      <c r="H532" s="238">
        <f t="shared" si="31"/>
        <v>62</v>
      </c>
      <c r="I532" s="239"/>
      <c r="O532" s="238"/>
    </row>
    <row r="533" spans="1:15" ht="15.75" hidden="1" customHeight="1" x14ac:dyDescent="0.25">
      <c r="A533" s="81" t="s">
        <v>306</v>
      </c>
      <c r="B533" s="752"/>
      <c r="C533" s="752"/>
      <c r="D533" s="752"/>
      <c r="E533" s="59">
        <v>8961092887</v>
      </c>
      <c r="F533" s="59">
        <v>1053165000</v>
      </c>
      <c r="G533" s="134" t="s">
        <v>432</v>
      </c>
      <c r="H533" s="238">
        <f t="shared" si="31"/>
        <v>62</v>
      </c>
      <c r="I533" s="239"/>
      <c r="O533" s="238"/>
    </row>
    <row r="534" spans="1:15" ht="15.75" hidden="1" customHeight="1" x14ac:dyDescent="0.25">
      <c r="A534" s="79" t="s">
        <v>272</v>
      </c>
      <c r="B534" s="752"/>
      <c r="C534" s="752"/>
      <c r="D534" s="752"/>
      <c r="E534" s="59">
        <v>8961092887</v>
      </c>
      <c r="F534" s="59">
        <v>1058251900</v>
      </c>
      <c r="G534" s="134" t="s">
        <v>432</v>
      </c>
      <c r="H534" s="238">
        <f t="shared" si="31"/>
        <v>62</v>
      </c>
      <c r="I534" s="239"/>
      <c r="O534" s="238"/>
    </row>
    <row r="535" spans="1:15" ht="15.75" hidden="1" customHeight="1" x14ac:dyDescent="0.25">
      <c r="A535" s="81" t="s">
        <v>278</v>
      </c>
      <c r="B535" s="752"/>
      <c r="C535" s="752"/>
      <c r="D535" s="752"/>
      <c r="E535" s="59">
        <v>8948462887</v>
      </c>
      <c r="F535" s="59">
        <v>1058251900</v>
      </c>
      <c r="G535" s="134" t="s">
        <v>432</v>
      </c>
      <c r="H535" s="238">
        <f t="shared" si="31"/>
        <v>62</v>
      </c>
      <c r="I535" s="239"/>
      <c r="O535" s="238"/>
    </row>
    <row r="536" spans="1:15" ht="15.75" hidden="1" customHeight="1" x14ac:dyDescent="0.25">
      <c r="A536" s="81" t="s">
        <v>279</v>
      </c>
      <c r="B536" s="752"/>
      <c r="C536" s="752"/>
      <c r="D536" s="752"/>
      <c r="E536" s="59">
        <v>8932432887</v>
      </c>
      <c r="F536" s="59">
        <v>1058251901</v>
      </c>
      <c r="G536" s="134" t="s">
        <v>432</v>
      </c>
      <c r="H536" s="238">
        <f t="shared" si="31"/>
        <v>62</v>
      </c>
      <c r="I536" s="239"/>
      <c r="O536" s="238"/>
    </row>
    <row r="537" spans="1:15" ht="15.75" hidden="1" customHeight="1" x14ac:dyDescent="0.25">
      <c r="A537" s="81" t="s">
        <v>280</v>
      </c>
      <c r="B537" s="752"/>
      <c r="C537" s="752"/>
      <c r="D537" s="752"/>
      <c r="E537" s="59">
        <v>8978041287</v>
      </c>
      <c r="F537" s="59">
        <v>1058251900</v>
      </c>
      <c r="G537" s="134" t="s">
        <v>432</v>
      </c>
      <c r="H537" s="238">
        <f t="shared" si="31"/>
        <v>62</v>
      </c>
      <c r="I537" s="239"/>
      <c r="O537" s="238"/>
    </row>
    <row r="538" spans="1:15" ht="15.75" hidden="1" customHeight="1" x14ac:dyDescent="0.25">
      <c r="A538" s="81" t="s">
        <v>281</v>
      </c>
      <c r="B538" s="752"/>
      <c r="C538" s="752"/>
      <c r="D538" s="752"/>
      <c r="E538" s="59">
        <v>8982847287</v>
      </c>
      <c r="F538" s="59">
        <v>6893238033</v>
      </c>
      <c r="G538" s="134" t="s">
        <v>433</v>
      </c>
      <c r="H538" s="238">
        <f t="shared" si="31"/>
        <v>69</v>
      </c>
      <c r="I538" s="239"/>
      <c r="O538" s="238"/>
    </row>
    <row r="539" spans="1:15" ht="15.75" hidden="1" customHeight="1" thickBot="1" x14ac:dyDescent="0.3">
      <c r="A539" s="82" t="s">
        <v>282</v>
      </c>
      <c r="B539" s="753"/>
      <c r="C539" s="753"/>
      <c r="D539" s="753"/>
      <c r="E539" s="60">
        <v>8982847287</v>
      </c>
      <c r="F539" s="60">
        <v>8455144600</v>
      </c>
      <c r="G539" s="141" t="s">
        <v>434</v>
      </c>
      <c r="H539" s="238">
        <f t="shared" si="31"/>
        <v>87</v>
      </c>
      <c r="I539" s="239"/>
      <c r="O539" s="238"/>
    </row>
    <row r="540" spans="1:15" ht="15.75" hidden="1" customHeight="1" x14ac:dyDescent="0.25">
      <c r="A540" s="51"/>
      <c r="G540" s="139"/>
      <c r="H540" s="239"/>
      <c r="I540" s="239"/>
      <c r="O540" s="238"/>
    </row>
    <row r="541" spans="1:15" ht="15.75" hidden="1" customHeight="1" thickBot="1" x14ac:dyDescent="0.3">
      <c r="A541" s="51"/>
      <c r="G541" s="139"/>
      <c r="H541" s="239"/>
      <c r="I541" s="239"/>
      <c r="O541" s="238"/>
    </row>
    <row r="542" spans="1:15" ht="15.75" hidden="1" customHeight="1" thickBot="1" x14ac:dyDescent="0.3">
      <c r="A542" s="107" t="s">
        <v>27</v>
      </c>
      <c r="B542" s="138" t="s">
        <v>318</v>
      </c>
      <c r="C542" s="138" t="s">
        <v>319</v>
      </c>
      <c r="D542" s="138" t="s">
        <v>385</v>
      </c>
      <c r="E542" s="138" t="s">
        <v>429</v>
      </c>
      <c r="F542" s="138" t="s">
        <v>430</v>
      </c>
      <c r="G542" s="142" t="s">
        <v>388</v>
      </c>
      <c r="H542" s="239"/>
      <c r="I542" s="239"/>
      <c r="O542" s="238"/>
    </row>
    <row r="543" spans="1:15" ht="15.75" hidden="1" customHeight="1" x14ac:dyDescent="0.25">
      <c r="A543" s="81" t="s">
        <v>284</v>
      </c>
      <c r="B543" s="912" t="s">
        <v>335</v>
      </c>
      <c r="C543" s="912" t="s">
        <v>336</v>
      </c>
      <c r="D543" s="926" t="s">
        <v>395</v>
      </c>
      <c r="E543" s="59">
        <v>7818660000</v>
      </c>
      <c r="F543" s="59">
        <v>840161000</v>
      </c>
      <c r="G543" s="134" t="s">
        <v>432</v>
      </c>
      <c r="H543" s="238">
        <f t="shared" ref="H543:H554" si="32">LEN(G543)</f>
        <v>62</v>
      </c>
      <c r="I543" s="239"/>
      <c r="O543" s="238"/>
    </row>
    <row r="544" spans="1:15" ht="15.75" hidden="1" customHeight="1" x14ac:dyDescent="0.25">
      <c r="A544" s="81" t="s">
        <v>293</v>
      </c>
      <c r="B544" s="752"/>
      <c r="C544" s="752"/>
      <c r="D544" s="752"/>
      <c r="E544" s="59">
        <v>7818660000</v>
      </c>
      <c r="F544" s="59">
        <v>840161000</v>
      </c>
      <c r="G544" s="134" t="s">
        <v>432</v>
      </c>
      <c r="H544" s="238">
        <f t="shared" si="32"/>
        <v>62</v>
      </c>
      <c r="I544" s="239"/>
      <c r="O544" s="238"/>
    </row>
    <row r="545" spans="1:15" ht="15.75" hidden="1" customHeight="1" x14ac:dyDescent="0.25">
      <c r="A545" s="81" t="s">
        <v>302</v>
      </c>
      <c r="B545" s="752"/>
      <c r="C545" s="752"/>
      <c r="D545" s="752"/>
      <c r="E545" s="59">
        <v>7818660000</v>
      </c>
      <c r="F545" s="59">
        <v>840161000</v>
      </c>
      <c r="G545" s="134" t="s">
        <v>432</v>
      </c>
      <c r="H545" s="238">
        <f t="shared" si="32"/>
        <v>62</v>
      </c>
      <c r="I545" s="239"/>
      <c r="O545" s="238"/>
    </row>
    <row r="546" spans="1:15" ht="15.75" hidden="1" customHeight="1" x14ac:dyDescent="0.25">
      <c r="A546" s="81" t="s">
        <v>303</v>
      </c>
      <c r="B546" s="752"/>
      <c r="C546" s="752"/>
      <c r="D546" s="752"/>
      <c r="E546" s="59">
        <v>7818660000</v>
      </c>
      <c r="F546" s="59">
        <v>1160759750</v>
      </c>
      <c r="G546" s="134" t="s">
        <v>435</v>
      </c>
      <c r="H546" s="238">
        <f t="shared" si="32"/>
        <v>94</v>
      </c>
      <c r="I546" s="239"/>
      <c r="O546" s="238"/>
    </row>
    <row r="547" spans="1:15" ht="15.75" hidden="1" customHeight="1" x14ac:dyDescent="0.25">
      <c r="A547" s="81" t="s">
        <v>305</v>
      </c>
      <c r="B547" s="752"/>
      <c r="C547" s="752"/>
      <c r="D547" s="752"/>
      <c r="E547" s="59">
        <v>7818660000</v>
      </c>
      <c r="F547" s="59">
        <v>1160759750</v>
      </c>
      <c r="G547" s="134" t="s">
        <v>435</v>
      </c>
      <c r="H547" s="238">
        <f t="shared" si="32"/>
        <v>94</v>
      </c>
      <c r="I547" s="239"/>
      <c r="O547" s="238"/>
    </row>
    <row r="548" spans="1:15" ht="15.75" hidden="1" customHeight="1" x14ac:dyDescent="0.25">
      <c r="A548" s="81" t="s">
        <v>306</v>
      </c>
      <c r="B548" s="752"/>
      <c r="C548" s="752"/>
      <c r="D548" s="752"/>
      <c r="E548" s="59">
        <v>7809322000</v>
      </c>
      <c r="F548" s="59">
        <v>1160759750</v>
      </c>
      <c r="G548" s="134" t="s">
        <v>435</v>
      </c>
      <c r="H548" s="238">
        <f t="shared" si="32"/>
        <v>94</v>
      </c>
      <c r="I548" s="239"/>
      <c r="O548" s="238"/>
    </row>
    <row r="549" spans="1:15" ht="15.75" hidden="1" customHeight="1" x14ac:dyDescent="0.25">
      <c r="A549" s="79" t="s">
        <v>272</v>
      </c>
      <c r="B549" s="752"/>
      <c r="C549" s="752"/>
      <c r="D549" s="752"/>
      <c r="E549" s="59">
        <v>7809322000</v>
      </c>
      <c r="F549" s="59">
        <v>1160759750</v>
      </c>
      <c r="G549" s="134" t="s">
        <v>435</v>
      </c>
      <c r="H549" s="238">
        <f t="shared" si="32"/>
        <v>94</v>
      </c>
      <c r="I549" s="239"/>
      <c r="O549" s="238"/>
    </row>
    <row r="550" spans="1:15" ht="15.75" hidden="1" customHeight="1" x14ac:dyDescent="0.25">
      <c r="A550" s="81" t="s">
        <v>278</v>
      </c>
      <c r="B550" s="752"/>
      <c r="C550" s="752"/>
      <c r="D550" s="752"/>
      <c r="E550" s="59">
        <v>7821952000</v>
      </c>
      <c r="F550" s="59">
        <v>1180873764</v>
      </c>
      <c r="G550" s="134" t="s">
        <v>435</v>
      </c>
      <c r="H550" s="238">
        <f t="shared" si="32"/>
        <v>94</v>
      </c>
      <c r="I550" s="239"/>
      <c r="O550" s="238"/>
    </row>
    <row r="551" spans="1:15" ht="15.75" hidden="1" customHeight="1" x14ac:dyDescent="0.25">
      <c r="A551" s="81" t="s">
        <v>279</v>
      </c>
      <c r="B551" s="752"/>
      <c r="C551" s="752"/>
      <c r="D551" s="752"/>
      <c r="E551" s="59">
        <v>7837982000</v>
      </c>
      <c r="F551" s="59">
        <v>1196903701</v>
      </c>
      <c r="G551" s="134" t="s">
        <v>435</v>
      </c>
      <c r="H551" s="238">
        <f t="shared" si="32"/>
        <v>94</v>
      </c>
      <c r="I551" s="239"/>
      <c r="O551" s="238"/>
    </row>
    <row r="552" spans="1:15" ht="15.75" hidden="1" customHeight="1" x14ac:dyDescent="0.25">
      <c r="A552" s="81" t="s">
        <v>280</v>
      </c>
      <c r="B552" s="752"/>
      <c r="C552" s="752"/>
      <c r="D552" s="752"/>
      <c r="E552" s="59">
        <v>7891967500</v>
      </c>
      <c r="F552" s="59">
        <v>1196903701</v>
      </c>
      <c r="G552" s="134" t="s">
        <v>435</v>
      </c>
      <c r="H552" s="238">
        <f t="shared" si="32"/>
        <v>94</v>
      </c>
      <c r="I552" s="239"/>
      <c r="O552" s="238"/>
    </row>
    <row r="553" spans="1:15" ht="15.75" hidden="1" customHeight="1" x14ac:dyDescent="0.25">
      <c r="A553" s="81" t="s">
        <v>281</v>
      </c>
      <c r="B553" s="752"/>
      <c r="C553" s="752"/>
      <c r="D553" s="752"/>
      <c r="E553" s="59">
        <v>7881343527</v>
      </c>
      <c r="F553" s="59">
        <v>1212035101</v>
      </c>
      <c r="G553" s="134" t="s">
        <v>435</v>
      </c>
      <c r="H553" s="238">
        <f t="shared" si="32"/>
        <v>94</v>
      </c>
      <c r="I553" s="239"/>
      <c r="O553" s="238"/>
    </row>
    <row r="554" spans="1:15" ht="15.75" hidden="1" customHeight="1" thickBot="1" x14ac:dyDescent="0.3">
      <c r="A554" s="82" t="s">
        <v>282</v>
      </c>
      <c r="B554" s="753"/>
      <c r="C554" s="753"/>
      <c r="D554" s="753"/>
      <c r="E554" s="60">
        <v>7881343527</v>
      </c>
      <c r="F554" s="60">
        <v>7878840335</v>
      </c>
      <c r="G554" s="141" t="s">
        <v>436</v>
      </c>
      <c r="H554" s="238">
        <f t="shared" si="32"/>
        <v>148</v>
      </c>
      <c r="I554" s="239"/>
      <c r="O554" s="238"/>
    </row>
    <row r="555" spans="1:15" ht="15.75" hidden="1" customHeight="1" x14ac:dyDescent="0.25">
      <c r="A555" s="51"/>
      <c r="G555" s="139"/>
      <c r="H555" s="239"/>
      <c r="I555" s="239"/>
      <c r="O555" s="238"/>
    </row>
    <row r="556" spans="1:15" ht="15.75" hidden="1" customHeight="1" thickBot="1" x14ac:dyDescent="0.3">
      <c r="A556" s="51"/>
      <c r="G556" s="139"/>
      <c r="H556" s="239"/>
      <c r="I556" s="239"/>
      <c r="O556" s="238"/>
    </row>
    <row r="557" spans="1:15" ht="15.75" hidden="1" customHeight="1" thickBot="1" x14ac:dyDescent="0.3">
      <c r="A557" s="107" t="s">
        <v>27</v>
      </c>
      <c r="B557" s="138" t="s">
        <v>318</v>
      </c>
      <c r="C557" s="138" t="s">
        <v>319</v>
      </c>
      <c r="D557" s="138" t="s">
        <v>385</v>
      </c>
      <c r="E557" s="138" t="s">
        <v>429</v>
      </c>
      <c r="F557" s="138" t="s">
        <v>430</v>
      </c>
      <c r="G557" s="142" t="s">
        <v>388</v>
      </c>
      <c r="H557" s="239"/>
      <c r="I557" s="239"/>
      <c r="O557" s="238"/>
    </row>
    <row r="558" spans="1:15" ht="15.75" hidden="1" customHeight="1" x14ac:dyDescent="0.25">
      <c r="A558" s="81" t="s">
        <v>284</v>
      </c>
      <c r="B558" s="912" t="s">
        <v>335</v>
      </c>
      <c r="C558" s="912" t="s">
        <v>336</v>
      </c>
      <c r="D558" s="926" t="s">
        <v>400</v>
      </c>
      <c r="E558" s="59">
        <v>9719572000</v>
      </c>
      <c r="F558" s="59">
        <v>1127853000</v>
      </c>
      <c r="G558" s="134" t="s">
        <v>432</v>
      </c>
      <c r="H558" s="238">
        <f t="shared" ref="H558:H569" si="33">LEN(G558)</f>
        <v>62</v>
      </c>
      <c r="I558" s="239"/>
      <c r="O558" s="238"/>
    </row>
    <row r="559" spans="1:15" ht="15.75" hidden="1" customHeight="1" x14ac:dyDescent="0.25">
      <c r="A559" s="81" t="s">
        <v>293</v>
      </c>
      <c r="B559" s="752"/>
      <c r="C559" s="752"/>
      <c r="D559" s="752"/>
      <c r="E559" s="59">
        <v>9719572000</v>
      </c>
      <c r="F559" s="59">
        <v>1127853000</v>
      </c>
      <c r="G559" s="134" t="s">
        <v>432</v>
      </c>
      <c r="H559" s="238">
        <f t="shared" si="33"/>
        <v>62</v>
      </c>
      <c r="I559" s="239"/>
      <c r="O559" s="238"/>
    </row>
    <row r="560" spans="1:15" ht="15.75" hidden="1" customHeight="1" x14ac:dyDescent="0.25">
      <c r="A560" s="81" t="s">
        <v>302</v>
      </c>
      <c r="B560" s="752"/>
      <c r="C560" s="752"/>
      <c r="D560" s="752"/>
      <c r="E560" s="59">
        <v>9719572000</v>
      </c>
      <c r="F560" s="59">
        <v>1127853000</v>
      </c>
      <c r="G560" s="134" t="s">
        <v>432</v>
      </c>
      <c r="H560" s="238">
        <f t="shared" si="33"/>
        <v>62</v>
      </c>
      <c r="I560" s="239"/>
      <c r="O560" s="238"/>
    </row>
    <row r="561" spans="1:15" ht="15.75" hidden="1" customHeight="1" x14ac:dyDescent="0.25">
      <c r="A561" s="81" t="s">
        <v>303</v>
      </c>
      <c r="B561" s="752"/>
      <c r="C561" s="752"/>
      <c r="D561" s="752"/>
      <c r="E561" s="59">
        <v>9719572000</v>
      </c>
      <c r="F561" s="59">
        <v>1377514839</v>
      </c>
      <c r="G561" s="134" t="s">
        <v>437</v>
      </c>
      <c r="H561" s="238">
        <f t="shared" si="33"/>
        <v>133</v>
      </c>
      <c r="I561" s="239"/>
      <c r="O561" s="238"/>
    </row>
    <row r="562" spans="1:15" ht="15.75" hidden="1" customHeight="1" x14ac:dyDescent="0.25">
      <c r="A562" s="81" t="s">
        <v>305</v>
      </c>
      <c r="B562" s="752"/>
      <c r="C562" s="752"/>
      <c r="D562" s="752"/>
      <c r="E562" s="143">
        <v>9769649079</v>
      </c>
      <c r="F562" s="144">
        <v>1440569539</v>
      </c>
      <c r="G562" s="134" t="s">
        <v>437</v>
      </c>
      <c r="H562" s="238">
        <f t="shared" si="33"/>
        <v>133</v>
      </c>
      <c r="I562" s="239"/>
      <c r="O562" s="238"/>
    </row>
    <row r="563" spans="1:15" ht="15.75" hidden="1" customHeight="1" x14ac:dyDescent="0.25">
      <c r="A563" s="81" t="s">
        <v>306</v>
      </c>
      <c r="B563" s="752"/>
      <c r="C563" s="752"/>
      <c r="D563" s="752"/>
      <c r="E563" s="59">
        <v>9769649079</v>
      </c>
      <c r="F563" s="59">
        <v>1440569539</v>
      </c>
      <c r="G563" s="134" t="s">
        <v>437</v>
      </c>
      <c r="H563" s="238">
        <f t="shared" si="33"/>
        <v>133</v>
      </c>
      <c r="I563" s="239"/>
      <c r="O563" s="238"/>
    </row>
    <row r="564" spans="1:15" ht="15.75" hidden="1" customHeight="1" x14ac:dyDescent="0.25">
      <c r="A564" s="79" t="s">
        <v>272</v>
      </c>
      <c r="B564" s="752"/>
      <c r="C564" s="752"/>
      <c r="D564" s="752"/>
      <c r="E564" s="59">
        <v>9769649079</v>
      </c>
      <c r="F564" s="59">
        <v>1495861272</v>
      </c>
      <c r="G564" s="134" t="s">
        <v>437</v>
      </c>
      <c r="H564" s="238">
        <f t="shared" si="33"/>
        <v>133</v>
      </c>
      <c r="I564" s="239"/>
      <c r="O564" s="238"/>
    </row>
    <row r="565" spans="1:15" ht="15.75" hidden="1" customHeight="1" x14ac:dyDescent="0.25">
      <c r="A565" s="81" t="s">
        <v>278</v>
      </c>
      <c r="B565" s="752"/>
      <c r="C565" s="752"/>
      <c r="D565" s="752"/>
      <c r="E565" s="59">
        <v>9769649079</v>
      </c>
      <c r="F565" s="59">
        <v>1495861272</v>
      </c>
      <c r="G565" s="134" t="s">
        <v>437</v>
      </c>
      <c r="H565" s="238">
        <f t="shared" si="33"/>
        <v>133</v>
      </c>
      <c r="I565" s="239"/>
      <c r="O565" s="238"/>
    </row>
    <row r="566" spans="1:15" ht="15.75" hidden="1" customHeight="1" x14ac:dyDescent="0.25">
      <c r="A566" s="81" t="s">
        <v>279</v>
      </c>
      <c r="B566" s="752"/>
      <c r="C566" s="752"/>
      <c r="D566" s="752"/>
      <c r="E566" s="59">
        <v>9769649079</v>
      </c>
      <c r="F566" s="59">
        <v>1495861272</v>
      </c>
      <c r="G566" s="134" t="s">
        <v>437</v>
      </c>
      <c r="H566" s="238">
        <f t="shared" si="33"/>
        <v>133</v>
      </c>
      <c r="I566" s="239"/>
      <c r="O566" s="238"/>
    </row>
    <row r="567" spans="1:15" ht="15.75" hidden="1" customHeight="1" x14ac:dyDescent="0.25">
      <c r="A567" s="81" t="s">
        <v>280</v>
      </c>
      <c r="B567" s="752"/>
      <c r="C567" s="752"/>
      <c r="D567" s="752"/>
      <c r="E567" s="59">
        <v>9846277079</v>
      </c>
      <c r="F567" s="59">
        <v>1495861272</v>
      </c>
      <c r="G567" s="134" t="s">
        <v>437</v>
      </c>
      <c r="H567" s="238">
        <f t="shared" si="33"/>
        <v>133</v>
      </c>
      <c r="I567" s="239"/>
      <c r="O567" s="238"/>
    </row>
    <row r="568" spans="1:15" ht="15.75" hidden="1" customHeight="1" x14ac:dyDescent="0.25">
      <c r="A568" s="81" t="s">
        <v>281</v>
      </c>
      <c r="B568" s="752"/>
      <c r="C568" s="752"/>
      <c r="D568" s="752"/>
      <c r="E568" s="59">
        <v>9863777937</v>
      </c>
      <c r="F568" s="59">
        <v>1539979172</v>
      </c>
      <c r="G568" s="134" t="s">
        <v>437</v>
      </c>
      <c r="H568" s="238">
        <f t="shared" si="33"/>
        <v>133</v>
      </c>
      <c r="I568" s="239"/>
      <c r="O568" s="238"/>
    </row>
    <row r="569" spans="1:15" ht="15.75" hidden="1" customHeight="1" thickBot="1" x14ac:dyDescent="0.3">
      <c r="A569" s="82" t="s">
        <v>282</v>
      </c>
      <c r="B569" s="753"/>
      <c r="C569" s="753"/>
      <c r="D569" s="753"/>
      <c r="E569" s="60">
        <v>9863777937</v>
      </c>
      <c r="F569" s="60">
        <v>9859785085</v>
      </c>
      <c r="G569" s="141" t="s">
        <v>438</v>
      </c>
      <c r="H569" s="238">
        <f t="shared" si="33"/>
        <v>180</v>
      </c>
      <c r="I569" s="239"/>
      <c r="O569" s="238"/>
    </row>
    <row r="570" spans="1:15" ht="15.75" hidden="1" customHeight="1" x14ac:dyDescent="0.25">
      <c r="A570" s="51"/>
      <c r="G570" s="139"/>
      <c r="H570" s="239"/>
      <c r="I570" s="239"/>
      <c r="O570" s="238"/>
    </row>
    <row r="571" spans="1:15" ht="15.75" hidden="1" customHeight="1" thickBot="1" x14ac:dyDescent="0.3">
      <c r="A571" s="51"/>
      <c r="G571" s="139"/>
      <c r="H571" s="239"/>
      <c r="I571" s="239"/>
      <c r="O571" s="238"/>
    </row>
    <row r="572" spans="1:15" ht="15.75" hidden="1" customHeight="1" thickBot="1" x14ac:dyDescent="0.3">
      <c r="A572" s="107" t="s">
        <v>27</v>
      </c>
      <c r="B572" s="138" t="s">
        <v>318</v>
      </c>
      <c r="C572" s="138" t="s">
        <v>319</v>
      </c>
      <c r="D572" s="138" t="s">
        <v>385</v>
      </c>
      <c r="E572" s="138" t="s">
        <v>429</v>
      </c>
      <c r="F572" s="138" t="s">
        <v>430</v>
      </c>
      <c r="G572" s="142" t="s">
        <v>388</v>
      </c>
      <c r="H572" s="239"/>
      <c r="I572" s="239"/>
      <c r="K572" s="19"/>
      <c r="L572" s="19"/>
      <c r="O572" s="238"/>
    </row>
    <row r="573" spans="1:15" ht="15.75" hidden="1" customHeight="1" x14ac:dyDescent="0.25">
      <c r="A573" s="81" t="s">
        <v>284</v>
      </c>
      <c r="B573" s="912" t="s">
        <v>346</v>
      </c>
      <c r="C573" s="912" t="s">
        <v>347</v>
      </c>
      <c r="D573" s="926" t="s">
        <v>404</v>
      </c>
      <c r="E573" s="59">
        <v>409912000</v>
      </c>
      <c r="F573" s="59">
        <v>372045000</v>
      </c>
      <c r="G573" s="134" t="s">
        <v>432</v>
      </c>
      <c r="H573" s="238">
        <f t="shared" ref="H573:H584" si="34">LEN(G573)</f>
        <v>62</v>
      </c>
      <c r="I573" s="239"/>
      <c r="O573" s="238"/>
    </row>
    <row r="574" spans="1:15" ht="15.75" hidden="1" customHeight="1" x14ac:dyDescent="0.25">
      <c r="A574" s="81" t="s">
        <v>293</v>
      </c>
      <c r="B574" s="752"/>
      <c r="C574" s="752"/>
      <c r="D574" s="752"/>
      <c r="E574" s="59">
        <v>409912000</v>
      </c>
      <c r="F574" s="59">
        <v>372045000</v>
      </c>
      <c r="G574" s="134" t="s">
        <v>432</v>
      </c>
      <c r="H574" s="238">
        <f t="shared" si="34"/>
        <v>62</v>
      </c>
      <c r="I574" s="239"/>
      <c r="O574" s="238"/>
    </row>
    <row r="575" spans="1:15" ht="15.75" hidden="1" customHeight="1" x14ac:dyDescent="0.25">
      <c r="A575" s="81" t="s">
        <v>302</v>
      </c>
      <c r="B575" s="752"/>
      <c r="C575" s="752"/>
      <c r="D575" s="752"/>
      <c r="E575" s="59">
        <v>409912000</v>
      </c>
      <c r="F575" s="59">
        <v>372045000</v>
      </c>
      <c r="G575" s="134" t="s">
        <v>432</v>
      </c>
      <c r="H575" s="238">
        <f t="shared" si="34"/>
        <v>62</v>
      </c>
      <c r="I575" s="239"/>
      <c r="L575" s="19"/>
      <c r="O575" s="238"/>
    </row>
    <row r="576" spans="1:15" ht="15.75" hidden="1" customHeight="1" x14ac:dyDescent="0.25">
      <c r="A576" s="81" t="s">
        <v>303</v>
      </c>
      <c r="B576" s="752"/>
      <c r="C576" s="752"/>
      <c r="D576" s="752"/>
      <c r="E576" s="59">
        <v>409912000</v>
      </c>
      <c r="F576" s="59">
        <v>372045000</v>
      </c>
      <c r="G576" s="134" t="s">
        <v>432</v>
      </c>
      <c r="H576" s="238">
        <f t="shared" si="34"/>
        <v>62</v>
      </c>
      <c r="I576" s="239"/>
      <c r="L576" s="145"/>
      <c r="O576" s="238"/>
    </row>
    <row r="577" spans="1:15" ht="15.75" hidden="1" customHeight="1" x14ac:dyDescent="0.25">
      <c r="A577" s="81" t="s">
        <v>305</v>
      </c>
      <c r="B577" s="752"/>
      <c r="C577" s="752"/>
      <c r="D577" s="752"/>
      <c r="E577" s="146">
        <v>403248920</v>
      </c>
      <c r="F577" s="59">
        <v>372045000</v>
      </c>
      <c r="G577" s="134" t="s">
        <v>432</v>
      </c>
      <c r="H577" s="238">
        <f t="shared" si="34"/>
        <v>62</v>
      </c>
      <c r="I577" s="239"/>
      <c r="O577" s="238"/>
    </row>
    <row r="578" spans="1:15" ht="15.75" hidden="1" customHeight="1" x14ac:dyDescent="0.25">
      <c r="A578" s="81" t="s">
        <v>306</v>
      </c>
      <c r="B578" s="752"/>
      <c r="C578" s="752"/>
      <c r="D578" s="752"/>
      <c r="E578" s="59">
        <v>403248921</v>
      </c>
      <c r="F578" s="59">
        <v>392045000</v>
      </c>
      <c r="G578" s="134" t="s">
        <v>432</v>
      </c>
      <c r="H578" s="238">
        <f t="shared" si="34"/>
        <v>62</v>
      </c>
      <c r="I578" s="239"/>
      <c r="L578" s="147"/>
      <c r="O578" s="238"/>
    </row>
    <row r="579" spans="1:15" ht="15.75" hidden="1" customHeight="1" x14ac:dyDescent="0.25">
      <c r="A579" s="79" t="s">
        <v>272</v>
      </c>
      <c r="B579" s="752"/>
      <c r="C579" s="752"/>
      <c r="D579" s="752"/>
      <c r="E579" s="59">
        <v>403248921</v>
      </c>
      <c r="F579" s="59">
        <v>392045000</v>
      </c>
      <c r="G579" s="134" t="s">
        <v>432</v>
      </c>
      <c r="H579" s="238">
        <f t="shared" si="34"/>
        <v>62</v>
      </c>
      <c r="I579" s="239"/>
      <c r="O579" s="238"/>
    </row>
    <row r="580" spans="1:15" ht="15.75" hidden="1" customHeight="1" x14ac:dyDescent="0.25">
      <c r="A580" s="81" t="s">
        <v>278</v>
      </c>
      <c r="B580" s="752"/>
      <c r="C580" s="752"/>
      <c r="D580" s="752"/>
      <c r="E580" s="59">
        <v>1203248921</v>
      </c>
      <c r="F580" s="59">
        <v>392045000</v>
      </c>
      <c r="G580" s="134" t="s">
        <v>432</v>
      </c>
      <c r="H580" s="238">
        <f t="shared" si="34"/>
        <v>62</v>
      </c>
      <c r="I580" s="239"/>
      <c r="O580" s="238"/>
    </row>
    <row r="581" spans="1:15" ht="15.75" hidden="1" customHeight="1" x14ac:dyDescent="0.25">
      <c r="A581" s="81" t="s">
        <v>279</v>
      </c>
      <c r="B581" s="752"/>
      <c r="C581" s="752"/>
      <c r="D581" s="752"/>
      <c r="E581" s="59">
        <v>1203248921</v>
      </c>
      <c r="F581" s="59">
        <v>392045000</v>
      </c>
      <c r="G581" s="134" t="s">
        <v>432</v>
      </c>
      <c r="H581" s="238">
        <f t="shared" si="34"/>
        <v>62</v>
      </c>
      <c r="I581" s="239"/>
      <c r="O581" s="238"/>
    </row>
    <row r="582" spans="1:15" ht="15.75" hidden="1" customHeight="1" x14ac:dyDescent="0.25">
      <c r="A582" s="81" t="s">
        <v>280</v>
      </c>
      <c r="B582" s="752"/>
      <c r="C582" s="752"/>
      <c r="D582" s="752"/>
      <c r="E582" s="59">
        <v>913027021</v>
      </c>
      <c r="F582" s="59">
        <v>450974000</v>
      </c>
      <c r="G582" s="134" t="s">
        <v>432</v>
      </c>
      <c r="H582" s="238">
        <f t="shared" si="34"/>
        <v>62</v>
      </c>
      <c r="I582" s="239"/>
      <c r="O582" s="238"/>
    </row>
    <row r="583" spans="1:15" ht="15.75" hidden="1" customHeight="1" x14ac:dyDescent="0.25">
      <c r="A583" s="81" t="s">
        <v>281</v>
      </c>
      <c r="B583" s="752"/>
      <c r="C583" s="752"/>
      <c r="D583" s="752"/>
      <c r="E583" s="59">
        <v>901344136</v>
      </c>
      <c r="F583" s="59">
        <v>473591000</v>
      </c>
      <c r="G583" s="134" t="s">
        <v>432</v>
      </c>
      <c r="H583" s="238">
        <f t="shared" si="34"/>
        <v>62</v>
      </c>
      <c r="I583" s="239"/>
      <c r="O583" s="238"/>
    </row>
    <row r="584" spans="1:15" ht="15.75" hidden="1" customHeight="1" thickBot="1" x14ac:dyDescent="0.3">
      <c r="A584" s="82" t="s">
        <v>282</v>
      </c>
      <c r="B584" s="753"/>
      <c r="C584" s="753"/>
      <c r="D584" s="753"/>
      <c r="E584" s="60">
        <v>901344136</v>
      </c>
      <c r="F584" s="60">
        <v>883409396</v>
      </c>
      <c r="G584" s="141" t="s">
        <v>439</v>
      </c>
      <c r="H584" s="238">
        <f t="shared" si="34"/>
        <v>89</v>
      </c>
      <c r="I584" s="239"/>
      <c r="O584" s="238"/>
    </row>
    <row r="585" spans="1:15" ht="15.75" customHeight="1" x14ac:dyDescent="0.25">
      <c r="B585" s="106"/>
      <c r="C585" s="106"/>
      <c r="D585" s="137"/>
      <c r="E585" s="19"/>
      <c r="F585" s="19"/>
      <c r="H585" s="238"/>
      <c r="I585" s="239"/>
      <c r="O585" s="238"/>
    </row>
    <row r="586" spans="1:15" ht="15.75" customHeight="1" thickBot="1" x14ac:dyDescent="0.3">
      <c r="B586" s="106"/>
      <c r="C586" s="106"/>
      <c r="D586" s="137"/>
      <c r="E586" s="19"/>
      <c r="F586" s="19"/>
      <c r="H586" s="238"/>
      <c r="I586" s="239"/>
      <c r="O586" s="238"/>
    </row>
    <row r="587" spans="1:15" ht="15.75" customHeight="1" x14ac:dyDescent="0.3">
      <c r="A587" s="919" t="s">
        <v>440</v>
      </c>
      <c r="B587" s="920"/>
      <c r="C587" s="920"/>
      <c r="D587" s="920"/>
      <c r="E587" s="920"/>
      <c r="F587" s="920"/>
      <c r="G587" s="921"/>
      <c r="H587" s="239"/>
      <c r="I587" s="239"/>
      <c r="O587" s="238"/>
    </row>
    <row r="588" spans="1:15" ht="27.75" customHeight="1" thickBot="1" x14ac:dyDescent="0.3">
      <c r="A588" s="182" t="s">
        <v>28</v>
      </c>
      <c r="B588" s="131" t="s">
        <v>318</v>
      </c>
      <c r="C588" s="131" t="s">
        <v>319</v>
      </c>
      <c r="D588" s="131" t="s">
        <v>385</v>
      </c>
      <c r="E588" s="131" t="s">
        <v>441</v>
      </c>
      <c r="F588" s="131" t="s">
        <v>442</v>
      </c>
      <c r="G588" s="354" t="s">
        <v>388</v>
      </c>
      <c r="H588" s="239"/>
      <c r="I588" s="239"/>
      <c r="O588" s="238"/>
    </row>
    <row r="589" spans="1:15" ht="15.75" customHeight="1" x14ac:dyDescent="0.25">
      <c r="A589" s="398" t="s">
        <v>284</v>
      </c>
      <c r="B589" s="922" t="s">
        <v>328</v>
      </c>
      <c r="C589" s="923" t="s">
        <v>389</v>
      </c>
      <c r="D589" s="917" t="s">
        <v>390</v>
      </c>
      <c r="E589" s="400">
        <v>7317016000</v>
      </c>
      <c r="F589" s="400">
        <v>6599815016</v>
      </c>
      <c r="G589" s="436" t="s">
        <v>443</v>
      </c>
      <c r="H589" s="238">
        <f t="shared" ref="H589:H600" si="35">LEN(G589)</f>
        <v>83</v>
      </c>
      <c r="I589" s="239"/>
      <c r="O589" s="2"/>
    </row>
    <row r="590" spans="1:15" ht="15.75" customHeight="1" x14ac:dyDescent="0.25">
      <c r="A590" s="398" t="s">
        <v>293</v>
      </c>
      <c r="B590" s="828"/>
      <c r="C590" s="828"/>
      <c r="D590" s="828"/>
      <c r="E590" s="400">
        <v>7323016000</v>
      </c>
      <c r="F590" s="400">
        <v>6998930016</v>
      </c>
      <c r="G590" s="436" t="s">
        <v>444</v>
      </c>
      <c r="H590" s="238">
        <f t="shared" si="35"/>
        <v>84</v>
      </c>
      <c r="I590" s="239"/>
      <c r="O590" s="2"/>
    </row>
    <row r="591" spans="1:15" ht="15.75" customHeight="1" x14ac:dyDescent="0.25">
      <c r="A591" s="398" t="s">
        <v>302</v>
      </c>
      <c r="B591" s="828"/>
      <c r="C591" s="828"/>
      <c r="D591" s="828"/>
      <c r="E591" s="400">
        <v>7323016000</v>
      </c>
      <c r="F591" s="400">
        <v>7107970016</v>
      </c>
      <c r="G591" s="437" t="s">
        <v>444</v>
      </c>
      <c r="H591" s="238">
        <f t="shared" si="35"/>
        <v>84</v>
      </c>
      <c r="I591" s="239"/>
      <c r="O591" s="2"/>
    </row>
    <row r="592" spans="1:15" ht="15.75" customHeight="1" x14ac:dyDescent="0.25">
      <c r="A592" s="398" t="s">
        <v>303</v>
      </c>
      <c r="B592" s="828"/>
      <c r="C592" s="828"/>
      <c r="D592" s="828"/>
      <c r="E592" s="400">
        <v>7323016000</v>
      </c>
      <c r="F592" s="400">
        <v>7129394016</v>
      </c>
      <c r="G592" s="436" t="s">
        <v>444</v>
      </c>
      <c r="H592" s="238">
        <f t="shared" si="35"/>
        <v>84</v>
      </c>
      <c r="I592" s="239"/>
      <c r="O592" s="2"/>
    </row>
    <row r="593" spans="1:15" ht="15.75" customHeight="1" x14ac:dyDescent="0.25">
      <c r="A593" s="398" t="s">
        <v>305</v>
      </c>
      <c r="B593" s="828"/>
      <c r="C593" s="828"/>
      <c r="D593" s="828"/>
      <c r="E593" s="400">
        <v>7323016000</v>
      </c>
      <c r="F593" s="400">
        <v>7129394016</v>
      </c>
      <c r="G593" s="436" t="s">
        <v>444</v>
      </c>
      <c r="H593" s="238">
        <f t="shared" si="35"/>
        <v>84</v>
      </c>
      <c r="I593" s="239"/>
      <c r="O593" s="2"/>
    </row>
    <row r="594" spans="1:15" ht="15.75" customHeight="1" x14ac:dyDescent="0.25">
      <c r="A594" s="398" t="s">
        <v>306</v>
      </c>
      <c r="B594" s="828"/>
      <c r="C594" s="828"/>
      <c r="D594" s="828"/>
      <c r="E594" s="400">
        <v>7323016000</v>
      </c>
      <c r="F594" s="400">
        <v>7129394016</v>
      </c>
      <c r="G594" s="436" t="s">
        <v>444</v>
      </c>
      <c r="H594" s="238">
        <f t="shared" si="35"/>
        <v>84</v>
      </c>
      <c r="I594" s="239"/>
      <c r="O594" s="2"/>
    </row>
    <row r="595" spans="1:15" ht="15.75" customHeight="1" x14ac:dyDescent="0.25">
      <c r="A595" s="438" t="s">
        <v>272</v>
      </c>
      <c r="B595" s="828"/>
      <c r="C595" s="828"/>
      <c r="D595" s="828"/>
      <c r="E595" s="400">
        <v>7323016000</v>
      </c>
      <c r="F595" s="400">
        <v>7150330016</v>
      </c>
      <c r="G595" s="436" t="s">
        <v>444</v>
      </c>
      <c r="H595" s="238">
        <f t="shared" si="35"/>
        <v>84</v>
      </c>
      <c r="I595" s="239"/>
      <c r="O595" s="2"/>
    </row>
    <row r="596" spans="1:15" ht="15.75" customHeight="1" x14ac:dyDescent="0.25">
      <c r="A596" s="398" t="s">
        <v>278</v>
      </c>
      <c r="B596" s="828"/>
      <c r="C596" s="828"/>
      <c r="D596" s="828"/>
      <c r="E596" s="400">
        <v>7323016000</v>
      </c>
      <c r="F596" s="400">
        <v>7150330016</v>
      </c>
      <c r="G596" s="436" t="s">
        <v>444</v>
      </c>
      <c r="H596" s="238">
        <f t="shared" si="35"/>
        <v>84</v>
      </c>
      <c r="I596" s="239"/>
      <c r="O596" s="2"/>
    </row>
    <row r="597" spans="1:15" ht="15.75" customHeight="1" x14ac:dyDescent="0.25">
      <c r="A597" s="398" t="s">
        <v>279</v>
      </c>
      <c r="B597" s="828"/>
      <c r="C597" s="828"/>
      <c r="D597" s="828"/>
      <c r="E597" s="400">
        <v>7323016000</v>
      </c>
      <c r="F597" s="400">
        <v>7252622443</v>
      </c>
      <c r="G597" s="436" t="s">
        <v>444</v>
      </c>
      <c r="H597" s="238">
        <f t="shared" si="35"/>
        <v>84</v>
      </c>
      <c r="I597" s="239"/>
      <c r="O597" s="2"/>
    </row>
    <row r="598" spans="1:15" ht="15.75" customHeight="1" x14ac:dyDescent="0.25">
      <c r="A598" s="398" t="s">
        <v>280</v>
      </c>
      <c r="B598" s="828"/>
      <c r="C598" s="828"/>
      <c r="D598" s="828"/>
      <c r="E598" s="400"/>
      <c r="F598" s="400"/>
      <c r="G598" s="436"/>
      <c r="H598" s="238">
        <f t="shared" si="35"/>
        <v>0</v>
      </c>
      <c r="I598" s="239"/>
      <c r="O598" s="2"/>
    </row>
    <row r="599" spans="1:15" ht="15.75" customHeight="1" x14ac:dyDescent="0.25">
      <c r="A599" s="398" t="s">
        <v>281</v>
      </c>
      <c r="B599" s="828"/>
      <c r="C599" s="828"/>
      <c r="D599" s="828"/>
      <c r="E599" s="400"/>
      <c r="F599" s="400"/>
      <c r="G599" s="436"/>
      <c r="H599" s="238">
        <f t="shared" si="35"/>
        <v>0</v>
      </c>
      <c r="I599" s="239"/>
      <c r="O599" s="2"/>
    </row>
    <row r="600" spans="1:15" ht="15.75" customHeight="1" thickBot="1" x14ac:dyDescent="0.3">
      <c r="A600" s="412" t="s">
        <v>282</v>
      </c>
      <c r="B600" s="915"/>
      <c r="C600" s="915"/>
      <c r="D600" s="915"/>
      <c r="E600" s="439"/>
      <c r="F600" s="439"/>
      <c r="G600" s="440"/>
      <c r="H600" s="238">
        <f t="shared" si="35"/>
        <v>0</v>
      </c>
      <c r="I600" s="239"/>
      <c r="O600" s="2"/>
    </row>
    <row r="601" spans="1:15" ht="15.75" customHeight="1" x14ac:dyDescent="0.25">
      <c r="A601" s="51"/>
      <c r="G601" s="139"/>
      <c r="H601" s="239"/>
      <c r="I601" s="239"/>
      <c r="O601" s="2"/>
    </row>
    <row r="602" spans="1:15" ht="15.75" customHeight="1" thickBot="1" x14ac:dyDescent="0.3">
      <c r="A602" s="51"/>
      <c r="G602" s="139"/>
      <c r="H602" s="239"/>
      <c r="I602" s="239"/>
      <c r="O602" s="2"/>
    </row>
    <row r="603" spans="1:15" ht="29.25" customHeight="1" thickBot="1" x14ac:dyDescent="0.3">
      <c r="A603" s="355" t="s">
        <v>28</v>
      </c>
      <c r="B603" s="356" t="s">
        <v>318</v>
      </c>
      <c r="C603" s="356" t="s">
        <v>319</v>
      </c>
      <c r="D603" s="356" t="s">
        <v>385</v>
      </c>
      <c r="E603" s="356" t="s">
        <v>441</v>
      </c>
      <c r="F603" s="356" t="s">
        <v>442</v>
      </c>
      <c r="G603" s="357" t="s">
        <v>388</v>
      </c>
      <c r="H603" s="239"/>
      <c r="I603" s="239"/>
      <c r="O603" s="2"/>
    </row>
    <row r="604" spans="1:15" ht="15.75" customHeight="1" x14ac:dyDescent="0.25">
      <c r="A604" s="398" t="s">
        <v>284</v>
      </c>
      <c r="B604" s="922" t="s">
        <v>335</v>
      </c>
      <c r="C604" s="922" t="s">
        <v>336</v>
      </c>
      <c r="D604" s="917" t="s">
        <v>395</v>
      </c>
      <c r="E604" s="400">
        <v>15646731000</v>
      </c>
      <c r="F604" s="400">
        <v>11982335825</v>
      </c>
      <c r="G604" s="436" t="s">
        <v>445</v>
      </c>
      <c r="H604" s="238">
        <f t="shared" ref="H604:H615" si="36">LEN(G604)</f>
        <v>90</v>
      </c>
      <c r="I604" s="239"/>
      <c r="O604" s="2"/>
    </row>
    <row r="605" spans="1:15" ht="15.75" customHeight="1" x14ac:dyDescent="0.25">
      <c r="A605" s="398" t="s">
        <v>293</v>
      </c>
      <c r="B605" s="828"/>
      <c r="C605" s="828"/>
      <c r="D605" s="828"/>
      <c r="E605" s="400">
        <v>16721499297</v>
      </c>
      <c r="F605" s="400">
        <v>12801858825</v>
      </c>
      <c r="G605" s="436" t="s">
        <v>445</v>
      </c>
      <c r="H605" s="238">
        <f t="shared" si="36"/>
        <v>90</v>
      </c>
      <c r="I605" s="239"/>
      <c r="O605" s="2"/>
    </row>
    <row r="606" spans="1:15" ht="15.75" customHeight="1" x14ac:dyDescent="0.25">
      <c r="A606" s="398" t="s">
        <v>302</v>
      </c>
      <c r="B606" s="828"/>
      <c r="C606" s="828"/>
      <c r="D606" s="828"/>
      <c r="E606" s="400">
        <v>16721499297</v>
      </c>
      <c r="F606" s="400">
        <v>12956832825</v>
      </c>
      <c r="G606" s="437" t="s">
        <v>445</v>
      </c>
      <c r="H606" s="238">
        <f t="shared" si="36"/>
        <v>90</v>
      </c>
      <c r="I606" s="239"/>
      <c r="O606" s="2"/>
    </row>
    <row r="607" spans="1:15" ht="15.75" customHeight="1" x14ac:dyDescent="0.25">
      <c r="A607" s="398" t="s">
        <v>303</v>
      </c>
      <c r="B607" s="828"/>
      <c r="C607" s="828"/>
      <c r="D607" s="828"/>
      <c r="E607" s="400">
        <v>16721499297</v>
      </c>
      <c r="F607" s="400">
        <v>12956832825</v>
      </c>
      <c r="G607" s="436" t="s">
        <v>445</v>
      </c>
      <c r="H607" s="238">
        <f t="shared" si="36"/>
        <v>90</v>
      </c>
      <c r="I607" s="239"/>
      <c r="O607" s="2"/>
    </row>
    <row r="608" spans="1:15" ht="15.75" customHeight="1" x14ac:dyDescent="0.25">
      <c r="A608" s="398" t="s">
        <v>305</v>
      </c>
      <c r="B608" s="828"/>
      <c r="C608" s="828"/>
      <c r="D608" s="828"/>
      <c r="E608" s="400">
        <v>16721499297</v>
      </c>
      <c r="F608" s="400">
        <v>12959020318</v>
      </c>
      <c r="G608" s="436" t="s">
        <v>445</v>
      </c>
      <c r="H608" s="238">
        <f t="shared" si="36"/>
        <v>90</v>
      </c>
      <c r="I608" s="239"/>
      <c r="O608" s="2"/>
    </row>
    <row r="609" spans="1:15" ht="15.75" customHeight="1" x14ac:dyDescent="0.25">
      <c r="A609" s="398" t="s">
        <v>306</v>
      </c>
      <c r="B609" s="828"/>
      <c r="C609" s="828"/>
      <c r="D609" s="828"/>
      <c r="E609" s="400">
        <v>16721499297</v>
      </c>
      <c r="F609" s="400">
        <v>12961754821</v>
      </c>
      <c r="G609" s="436" t="s">
        <v>445</v>
      </c>
      <c r="H609" s="238">
        <f t="shared" si="36"/>
        <v>90</v>
      </c>
      <c r="I609" s="239"/>
      <c r="O609" s="2"/>
    </row>
    <row r="610" spans="1:15" ht="15.75" customHeight="1" x14ac:dyDescent="0.25">
      <c r="A610" s="438" t="s">
        <v>272</v>
      </c>
      <c r="B610" s="828"/>
      <c r="C610" s="828"/>
      <c r="D610" s="828"/>
      <c r="E610" s="400">
        <v>16721499297</v>
      </c>
      <c r="F610" s="400">
        <v>12961754821</v>
      </c>
      <c r="G610" s="436" t="s">
        <v>445</v>
      </c>
      <c r="H610" s="238">
        <f t="shared" si="36"/>
        <v>90</v>
      </c>
      <c r="I610" s="239"/>
      <c r="O610" s="2"/>
    </row>
    <row r="611" spans="1:15" ht="15.75" customHeight="1" x14ac:dyDescent="0.25">
      <c r="A611" s="398" t="s">
        <v>278</v>
      </c>
      <c r="B611" s="828"/>
      <c r="C611" s="828"/>
      <c r="D611" s="828"/>
      <c r="E611" s="400">
        <v>16721499297</v>
      </c>
      <c r="F611" s="400">
        <v>12961754821</v>
      </c>
      <c r="G611" s="436" t="s">
        <v>445</v>
      </c>
      <c r="H611" s="238">
        <f t="shared" si="36"/>
        <v>90</v>
      </c>
      <c r="I611" s="239"/>
      <c r="O611" s="2"/>
    </row>
    <row r="612" spans="1:15" ht="15.75" customHeight="1" x14ac:dyDescent="0.25">
      <c r="A612" s="398" t="s">
        <v>279</v>
      </c>
      <c r="B612" s="828"/>
      <c r="C612" s="828"/>
      <c r="D612" s="828"/>
      <c r="E612" s="400">
        <v>16721499297</v>
      </c>
      <c r="F612" s="400">
        <v>16701499297</v>
      </c>
      <c r="G612" s="436" t="s">
        <v>445</v>
      </c>
      <c r="H612" s="238">
        <f t="shared" si="36"/>
        <v>90</v>
      </c>
      <c r="I612" s="239"/>
      <c r="O612" s="2"/>
    </row>
    <row r="613" spans="1:15" ht="15.75" customHeight="1" x14ac:dyDescent="0.25">
      <c r="A613" s="398" t="s">
        <v>280</v>
      </c>
      <c r="B613" s="828"/>
      <c r="C613" s="828"/>
      <c r="D613" s="828"/>
      <c r="E613" s="400"/>
      <c r="F613" s="400"/>
      <c r="G613" s="436"/>
      <c r="H613" s="238">
        <f t="shared" si="36"/>
        <v>0</v>
      </c>
      <c r="I613" s="239"/>
      <c r="O613" s="2"/>
    </row>
    <row r="614" spans="1:15" ht="15.75" customHeight="1" x14ac:dyDescent="0.25">
      <c r="A614" s="398" t="s">
        <v>281</v>
      </c>
      <c r="B614" s="828"/>
      <c r="C614" s="828"/>
      <c r="D614" s="828"/>
      <c r="E614" s="400"/>
      <c r="F614" s="400"/>
      <c r="G614" s="436"/>
      <c r="H614" s="238">
        <f t="shared" si="36"/>
        <v>0</v>
      </c>
      <c r="I614" s="239"/>
      <c r="O614" s="2"/>
    </row>
    <row r="615" spans="1:15" ht="15.75" customHeight="1" thickBot="1" x14ac:dyDescent="0.3">
      <c r="A615" s="412" t="s">
        <v>282</v>
      </c>
      <c r="B615" s="915"/>
      <c r="C615" s="915"/>
      <c r="D615" s="915"/>
      <c r="E615" s="439"/>
      <c r="F615" s="439"/>
      <c r="G615" s="440"/>
      <c r="H615" s="238">
        <f t="shared" si="36"/>
        <v>0</v>
      </c>
      <c r="I615" s="239"/>
      <c r="O615" s="2"/>
    </row>
    <row r="616" spans="1:15" ht="15.75" customHeight="1" x14ac:dyDescent="0.25">
      <c r="A616" s="51"/>
      <c r="G616" s="139"/>
      <c r="H616" s="239"/>
      <c r="I616" s="239"/>
      <c r="O616" s="2"/>
    </row>
    <row r="617" spans="1:15" ht="15.75" customHeight="1" thickBot="1" x14ac:dyDescent="0.3">
      <c r="A617" s="51"/>
      <c r="G617" s="139"/>
      <c r="H617" s="239"/>
      <c r="I617" s="239"/>
      <c r="O617" s="2"/>
    </row>
    <row r="618" spans="1:15" ht="28.5" customHeight="1" thickBot="1" x14ac:dyDescent="0.3">
      <c r="A618" s="355" t="s">
        <v>28</v>
      </c>
      <c r="B618" s="356" t="s">
        <v>318</v>
      </c>
      <c r="C618" s="356" t="s">
        <v>319</v>
      </c>
      <c r="D618" s="356" t="s">
        <v>385</v>
      </c>
      <c r="E618" s="356" t="s">
        <v>441</v>
      </c>
      <c r="F618" s="356" t="s">
        <v>442</v>
      </c>
      <c r="G618" s="357" t="s">
        <v>388</v>
      </c>
      <c r="H618" s="239"/>
      <c r="I618" s="239"/>
      <c r="O618" s="2"/>
    </row>
    <row r="619" spans="1:15" ht="15.75" customHeight="1" x14ac:dyDescent="0.25">
      <c r="A619" s="398" t="s">
        <v>284</v>
      </c>
      <c r="B619" s="922" t="s">
        <v>335</v>
      </c>
      <c r="C619" s="922" t="s">
        <v>336</v>
      </c>
      <c r="D619" s="917" t="s">
        <v>400</v>
      </c>
      <c r="E619" s="400">
        <v>15803983000</v>
      </c>
      <c r="F619" s="400">
        <v>1127853000</v>
      </c>
      <c r="G619" s="436" t="s">
        <v>446</v>
      </c>
      <c r="H619" s="238">
        <f t="shared" ref="H619:H630" si="37">LEN(G619)</f>
        <v>92</v>
      </c>
      <c r="I619" s="239"/>
      <c r="O619" s="2"/>
    </row>
    <row r="620" spans="1:15" ht="15.75" customHeight="1" x14ac:dyDescent="0.25">
      <c r="A620" s="398" t="s">
        <v>293</v>
      </c>
      <c r="B620" s="828"/>
      <c r="C620" s="828"/>
      <c r="D620" s="828"/>
      <c r="E620" s="400">
        <v>14723214703</v>
      </c>
      <c r="F620" s="400">
        <v>14142797703</v>
      </c>
      <c r="G620" s="436" t="s">
        <v>446</v>
      </c>
      <c r="H620" s="238">
        <f t="shared" si="37"/>
        <v>92</v>
      </c>
      <c r="I620" s="239"/>
      <c r="O620" s="2"/>
    </row>
    <row r="621" spans="1:15" ht="15.75" customHeight="1" x14ac:dyDescent="0.25">
      <c r="A621" s="398" t="s">
        <v>302</v>
      </c>
      <c r="B621" s="828"/>
      <c r="C621" s="828"/>
      <c r="D621" s="828"/>
      <c r="E621" s="400">
        <v>14723214703</v>
      </c>
      <c r="F621" s="400">
        <v>14241725703</v>
      </c>
      <c r="G621" s="437" t="s">
        <v>446</v>
      </c>
      <c r="H621" s="238">
        <f t="shared" si="37"/>
        <v>92</v>
      </c>
      <c r="I621" s="239"/>
      <c r="O621" s="2"/>
    </row>
    <row r="622" spans="1:15" ht="15.75" customHeight="1" x14ac:dyDescent="0.25">
      <c r="A622" s="398" t="s">
        <v>303</v>
      </c>
      <c r="B622" s="828"/>
      <c r="C622" s="828"/>
      <c r="D622" s="828"/>
      <c r="E622" s="400">
        <v>14723214703</v>
      </c>
      <c r="F622" s="400">
        <v>14241725703</v>
      </c>
      <c r="G622" s="436" t="s">
        <v>446</v>
      </c>
      <c r="H622" s="238">
        <f t="shared" si="37"/>
        <v>92</v>
      </c>
      <c r="I622" s="239"/>
      <c r="O622" s="2"/>
    </row>
    <row r="623" spans="1:15" ht="15.75" customHeight="1" x14ac:dyDescent="0.25">
      <c r="A623" s="398" t="s">
        <v>305</v>
      </c>
      <c r="B623" s="828"/>
      <c r="C623" s="828"/>
      <c r="D623" s="828"/>
      <c r="E623" s="400">
        <v>14723214703</v>
      </c>
      <c r="F623" s="400">
        <v>14269781703</v>
      </c>
      <c r="G623" s="436" t="s">
        <v>446</v>
      </c>
      <c r="H623" s="238">
        <f t="shared" si="37"/>
        <v>92</v>
      </c>
      <c r="I623" s="239"/>
      <c r="O623" s="2"/>
    </row>
    <row r="624" spans="1:15" ht="15.75" customHeight="1" x14ac:dyDescent="0.25">
      <c r="A624" s="398" t="s">
        <v>306</v>
      </c>
      <c r="B624" s="828"/>
      <c r="C624" s="828"/>
      <c r="D624" s="828"/>
      <c r="E624" s="400">
        <v>14723214703</v>
      </c>
      <c r="F624" s="400">
        <v>14269781703</v>
      </c>
      <c r="G624" s="436" t="s">
        <v>446</v>
      </c>
      <c r="H624" s="238">
        <f t="shared" si="37"/>
        <v>92</v>
      </c>
      <c r="I624" s="239"/>
      <c r="O624" s="2"/>
    </row>
    <row r="625" spans="1:15" ht="15.75" customHeight="1" x14ac:dyDescent="0.25">
      <c r="A625" s="438" t="s">
        <v>272</v>
      </c>
      <c r="B625" s="828"/>
      <c r="C625" s="828"/>
      <c r="D625" s="828"/>
      <c r="E625" s="400">
        <v>14723214703</v>
      </c>
      <c r="F625" s="400">
        <v>14269781703</v>
      </c>
      <c r="G625" s="436" t="s">
        <v>446</v>
      </c>
      <c r="H625" s="238">
        <f t="shared" si="37"/>
        <v>92</v>
      </c>
      <c r="I625" s="239"/>
      <c r="O625" s="2"/>
    </row>
    <row r="626" spans="1:15" ht="15.75" customHeight="1" x14ac:dyDescent="0.25">
      <c r="A626" s="398" t="s">
        <v>278</v>
      </c>
      <c r="B626" s="828"/>
      <c r="C626" s="828"/>
      <c r="D626" s="828"/>
      <c r="E626" s="400">
        <v>14723214703</v>
      </c>
      <c r="F626" s="400">
        <v>14269781703</v>
      </c>
      <c r="G626" s="436" t="s">
        <v>446</v>
      </c>
      <c r="H626" s="238">
        <f t="shared" si="37"/>
        <v>92</v>
      </c>
      <c r="I626" s="239"/>
      <c r="O626" s="2"/>
    </row>
    <row r="627" spans="1:15" ht="15.75" customHeight="1" x14ac:dyDescent="0.25">
      <c r="A627" s="398" t="s">
        <v>279</v>
      </c>
      <c r="B627" s="828"/>
      <c r="C627" s="828"/>
      <c r="D627" s="828"/>
      <c r="E627" s="400">
        <v>14723214703</v>
      </c>
      <c r="F627" s="400">
        <v>14404100245</v>
      </c>
      <c r="G627" s="436" t="s">
        <v>446</v>
      </c>
      <c r="H627" s="238">
        <f t="shared" si="37"/>
        <v>92</v>
      </c>
      <c r="I627" s="239"/>
      <c r="O627" s="2"/>
    </row>
    <row r="628" spans="1:15" ht="15.75" customHeight="1" x14ac:dyDescent="0.25">
      <c r="A628" s="398" t="s">
        <v>280</v>
      </c>
      <c r="B628" s="828"/>
      <c r="C628" s="828"/>
      <c r="D628" s="828"/>
      <c r="E628" s="400"/>
      <c r="F628" s="400"/>
      <c r="G628" s="436"/>
      <c r="H628" s="238">
        <f t="shared" si="37"/>
        <v>0</v>
      </c>
      <c r="I628" s="239"/>
      <c r="O628" s="2"/>
    </row>
    <row r="629" spans="1:15" ht="15.75" customHeight="1" x14ac:dyDescent="0.25">
      <c r="A629" s="398" t="s">
        <v>281</v>
      </c>
      <c r="B629" s="828"/>
      <c r="C629" s="828"/>
      <c r="D629" s="828"/>
      <c r="E629" s="400"/>
      <c r="F629" s="400"/>
      <c r="G629" s="436"/>
      <c r="H629" s="238">
        <f t="shared" si="37"/>
        <v>0</v>
      </c>
      <c r="I629" s="239"/>
      <c r="O629" s="2"/>
    </row>
    <row r="630" spans="1:15" ht="15.75" customHeight="1" thickBot="1" x14ac:dyDescent="0.3">
      <c r="A630" s="412" t="s">
        <v>282</v>
      </c>
      <c r="B630" s="915"/>
      <c r="C630" s="915"/>
      <c r="D630" s="915"/>
      <c r="E630" s="439"/>
      <c r="F630" s="439"/>
      <c r="G630" s="440"/>
      <c r="H630" s="238">
        <f t="shared" si="37"/>
        <v>0</v>
      </c>
      <c r="I630" s="239"/>
      <c r="O630" s="2"/>
    </row>
    <row r="631" spans="1:15" ht="15.75" customHeight="1" x14ac:dyDescent="0.25">
      <c r="A631" s="51"/>
      <c r="G631" s="139"/>
      <c r="H631" s="239"/>
      <c r="I631" s="239"/>
      <c r="O631" s="2"/>
    </row>
    <row r="632" spans="1:15" ht="15.75" customHeight="1" x14ac:dyDescent="0.25">
      <c r="A632" s="51"/>
      <c r="G632" s="139"/>
      <c r="H632" s="239"/>
      <c r="I632" s="239"/>
      <c r="O632" s="2"/>
    </row>
    <row r="633" spans="1:15" ht="37.5" customHeight="1" x14ac:dyDescent="0.25">
      <c r="A633" s="85" t="s">
        <v>28</v>
      </c>
      <c r="B633" s="138" t="s">
        <v>318</v>
      </c>
      <c r="C633" s="138" t="s">
        <v>319</v>
      </c>
      <c r="D633" s="138" t="s">
        <v>385</v>
      </c>
      <c r="E633" s="131" t="s">
        <v>441</v>
      </c>
      <c r="F633" s="131" t="s">
        <v>442</v>
      </c>
      <c r="G633" s="142" t="s">
        <v>388</v>
      </c>
      <c r="H633" s="239"/>
      <c r="I633" s="239"/>
      <c r="O633" s="2"/>
    </row>
    <row r="634" spans="1:15" ht="15.75" customHeight="1" x14ac:dyDescent="0.25">
      <c r="A634" s="419" t="s">
        <v>284</v>
      </c>
      <c r="B634" s="916" t="s">
        <v>346</v>
      </c>
      <c r="C634" s="916" t="s">
        <v>347</v>
      </c>
      <c r="D634" s="929" t="s">
        <v>404</v>
      </c>
      <c r="E634" s="400">
        <v>708083000</v>
      </c>
      <c r="F634" s="400">
        <v>22681000</v>
      </c>
      <c r="G634" s="441" t="s">
        <v>432</v>
      </c>
      <c r="H634" s="238">
        <f t="shared" ref="H634:H645" si="38">LEN(G634)</f>
        <v>62</v>
      </c>
      <c r="I634" s="239"/>
      <c r="O634" s="2"/>
    </row>
    <row r="635" spans="1:15" ht="15.75" customHeight="1" x14ac:dyDescent="0.25">
      <c r="A635" s="419" t="s">
        <v>293</v>
      </c>
      <c r="B635" s="814"/>
      <c r="C635" s="814"/>
      <c r="D635" s="814"/>
      <c r="E635" s="400">
        <v>708083000</v>
      </c>
      <c r="F635" s="400">
        <v>315501000</v>
      </c>
      <c r="G635" s="442" t="s">
        <v>432</v>
      </c>
      <c r="H635" s="238">
        <f t="shared" si="38"/>
        <v>62</v>
      </c>
      <c r="I635" s="239"/>
      <c r="O635" s="2"/>
    </row>
    <row r="636" spans="1:15" ht="15.75" customHeight="1" x14ac:dyDescent="0.25">
      <c r="A636" s="419" t="s">
        <v>302</v>
      </c>
      <c r="B636" s="814"/>
      <c r="C636" s="814"/>
      <c r="D636" s="814"/>
      <c r="E636" s="400">
        <v>708083000</v>
      </c>
      <c r="F636" s="400">
        <v>555074000</v>
      </c>
      <c r="G636" s="443" t="s">
        <v>432</v>
      </c>
      <c r="H636" s="238">
        <f t="shared" si="38"/>
        <v>62</v>
      </c>
      <c r="I636" s="239"/>
      <c r="O636" s="2"/>
    </row>
    <row r="637" spans="1:15" ht="15.75" customHeight="1" x14ac:dyDescent="0.25">
      <c r="A637" s="419" t="s">
        <v>303</v>
      </c>
      <c r="B637" s="814"/>
      <c r="C637" s="814"/>
      <c r="D637" s="814"/>
      <c r="E637" s="400">
        <v>708083000</v>
      </c>
      <c r="F637" s="400">
        <v>594755000</v>
      </c>
      <c r="G637" s="442" t="s">
        <v>432</v>
      </c>
      <c r="H637" s="238">
        <f t="shared" si="38"/>
        <v>62</v>
      </c>
      <c r="O637" s="2"/>
    </row>
    <row r="638" spans="1:15" ht="15.75" customHeight="1" x14ac:dyDescent="0.25">
      <c r="A638" s="419" t="s">
        <v>305</v>
      </c>
      <c r="B638" s="814"/>
      <c r="C638" s="814"/>
      <c r="D638" s="814"/>
      <c r="E638" s="400">
        <v>708083000</v>
      </c>
      <c r="F638" s="400">
        <v>594755000</v>
      </c>
      <c r="G638" s="442" t="s">
        <v>432</v>
      </c>
      <c r="H638" s="238">
        <f t="shared" si="38"/>
        <v>62</v>
      </c>
      <c r="O638" s="2"/>
    </row>
    <row r="639" spans="1:15" ht="15.75" customHeight="1" x14ac:dyDescent="0.25">
      <c r="A639" s="419" t="s">
        <v>306</v>
      </c>
      <c r="B639" s="814"/>
      <c r="C639" s="814"/>
      <c r="D639" s="814"/>
      <c r="E639" s="400">
        <v>708083000</v>
      </c>
      <c r="F639" s="400">
        <v>594755000</v>
      </c>
      <c r="G639" s="442" t="s">
        <v>432</v>
      </c>
      <c r="H639" s="238">
        <f t="shared" si="38"/>
        <v>62</v>
      </c>
      <c r="O639" s="2"/>
    </row>
    <row r="640" spans="1:15" ht="15.75" customHeight="1" x14ac:dyDescent="0.25">
      <c r="A640" s="444" t="s">
        <v>272</v>
      </c>
      <c r="B640" s="814"/>
      <c r="C640" s="814"/>
      <c r="D640" s="814"/>
      <c r="E640" s="400">
        <v>708083000</v>
      </c>
      <c r="F640" s="400">
        <v>594755000</v>
      </c>
      <c r="G640" s="442" t="s">
        <v>432</v>
      </c>
      <c r="H640" s="238">
        <f t="shared" si="38"/>
        <v>62</v>
      </c>
      <c r="O640" s="2"/>
    </row>
    <row r="641" spans="1:15" ht="15.75" customHeight="1" x14ac:dyDescent="0.25">
      <c r="A641" s="419" t="s">
        <v>278</v>
      </c>
      <c r="B641" s="814"/>
      <c r="C641" s="814"/>
      <c r="D641" s="814"/>
      <c r="E641" s="400">
        <v>708083000</v>
      </c>
      <c r="F641" s="400">
        <v>594755000</v>
      </c>
      <c r="G641" s="442" t="s">
        <v>432</v>
      </c>
      <c r="H641" s="238">
        <f t="shared" si="38"/>
        <v>62</v>
      </c>
      <c r="O641" s="2"/>
    </row>
    <row r="642" spans="1:15" ht="15.75" customHeight="1" x14ac:dyDescent="0.25">
      <c r="A642" s="419" t="s">
        <v>279</v>
      </c>
      <c r="B642" s="814"/>
      <c r="C642" s="814"/>
      <c r="D642" s="814"/>
      <c r="E642" s="400">
        <v>708083000</v>
      </c>
      <c r="F642" s="400">
        <v>627925000</v>
      </c>
      <c r="G642" s="442" t="s">
        <v>432</v>
      </c>
      <c r="H642" s="238">
        <f t="shared" si="38"/>
        <v>62</v>
      </c>
      <c r="O642" s="2"/>
    </row>
    <row r="643" spans="1:15" ht="15.75" customHeight="1" x14ac:dyDescent="0.25">
      <c r="A643" s="419" t="s">
        <v>280</v>
      </c>
      <c r="B643" s="814"/>
      <c r="C643" s="814"/>
      <c r="D643" s="814"/>
      <c r="E643" s="400"/>
      <c r="F643" s="400"/>
      <c r="G643" s="441"/>
      <c r="H643" s="238">
        <f t="shared" si="38"/>
        <v>0</v>
      </c>
      <c r="O643" s="2"/>
    </row>
    <row r="644" spans="1:15" ht="15.75" customHeight="1" x14ac:dyDescent="0.25">
      <c r="A644" s="419" t="s">
        <v>281</v>
      </c>
      <c r="B644" s="814"/>
      <c r="C644" s="814"/>
      <c r="D644" s="814"/>
      <c r="E644" s="400"/>
      <c r="F644" s="400"/>
      <c r="G644" s="441"/>
      <c r="H644" s="238">
        <f t="shared" si="38"/>
        <v>0</v>
      </c>
      <c r="O644" s="2"/>
    </row>
    <row r="645" spans="1:15" ht="15.75" customHeight="1" x14ac:dyDescent="0.25">
      <c r="A645" s="422" t="s">
        <v>282</v>
      </c>
      <c r="B645" s="911"/>
      <c r="C645" s="911"/>
      <c r="D645" s="911"/>
      <c r="E645" s="445"/>
      <c r="F645" s="445"/>
      <c r="G645" s="446"/>
      <c r="H645" s="238">
        <f t="shared" si="38"/>
        <v>0</v>
      </c>
      <c r="O645" s="2"/>
    </row>
    <row r="646" spans="1:15" ht="15.75" customHeight="1" x14ac:dyDescent="0.25">
      <c r="B646" s="106"/>
      <c r="C646" s="106"/>
      <c r="D646" s="137"/>
      <c r="E646" s="19"/>
      <c r="F646" s="19"/>
      <c r="H646" s="238"/>
      <c r="O646" s="2"/>
    </row>
    <row r="647" spans="1:15" ht="15.75" hidden="1" customHeight="1" x14ac:dyDescent="0.25">
      <c r="B647" s="106"/>
      <c r="C647" s="106"/>
      <c r="D647" s="137"/>
      <c r="E647" s="19"/>
      <c r="F647" s="19"/>
      <c r="H647" s="2"/>
      <c r="O647" s="2"/>
    </row>
    <row r="648" spans="1:15" ht="15.75" hidden="1" customHeight="1" x14ac:dyDescent="0.3">
      <c r="A648" s="918" t="s">
        <v>447</v>
      </c>
      <c r="B648" s="688"/>
      <c r="C648" s="688"/>
      <c r="D648" s="688"/>
      <c r="E648" s="688"/>
      <c r="F648" s="688"/>
      <c r="G648" s="766"/>
      <c r="O648" s="2"/>
    </row>
    <row r="649" spans="1:15" ht="15.75" hidden="1" customHeight="1" x14ac:dyDescent="0.25">
      <c r="A649" s="85" t="s">
        <v>29</v>
      </c>
      <c r="B649" s="131" t="s">
        <v>318</v>
      </c>
      <c r="C649" s="131" t="s">
        <v>319</v>
      </c>
      <c r="D649" s="131" t="s">
        <v>385</v>
      </c>
      <c r="E649" s="131" t="s">
        <v>448</v>
      </c>
      <c r="F649" s="131" t="s">
        <v>449</v>
      </c>
      <c r="G649" s="132" t="s">
        <v>388</v>
      </c>
      <c r="O649" s="2"/>
    </row>
    <row r="650" spans="1:15" ht="15.75" hidden="1" customHeight="1" x14ac:dyDescent="0.25">
      <c r="A650" s="81" t="s">
        <v>284</v>
      </c>
      <c r="B650" s="40"/>
      <c r="C650" s="40"/>
      <c r="D650" s="40"/>
      <c r="E650" s="40"/>
      <c r="F650" s="40"/>
      <c r="G650" s="88"/>
      <c r="O650" s="2"/>
    </row>
    <row r="651" spans="1:15" ht="15.75" hidden="1" customHeight="1" x14ac:dyDescent="0.25">
      <c r="A651" s="81" t="s">
        <v>293</v>
      </c>
      <c r="B651" s="40"/>
      <c r="C651" s="40"/>
      <c r="D651" s="40"/>
      <c r="E651" s="40"/>
      <c r="F651" s="40"/>
      <c r="G651" s="88"/>
      <c r="O651" s="2"/>
    </row>
    <row r="652" spans="1:15" ht="15.75" hidden="1" customHeight="1" x14ac:dyDescent="0.25">
      <c r="A652" s="81" t="s">
        <v>302</v>
      </c>
      <c r="B652" s="40"/>
      <c r="C652" s="40"/>
      <c r="D652" s="40"/>
      <c r="E652" s="40"/>
      <c r="F652" s="40"/>
      <c r="G652" s="88"/>
      <c r="O652" s="2"/>
    </row>
    <row r="653" spans="1:15" ht="15.75" hidden="1" customHeight="1" x14ac:dyDescent="0.25">
      <c r="A653" s="81" t="s">
        <v>303</v>
      </c>
      <c r="B653" s="40"/>
      <c r="C653" s="40"/>
      <c r="D653" s="40"/>
      <c r="E653" s="40"/>
      <c r="F653" s="40"/>
      <c r="G653" s="88"/>
      <c r="O653" s="2"/>
    </row>
    <row r="654" spans="1:15" ht="15.75" hidden="1" customHeight="1" x14ac:dyDescent="0.25">
      <c r="A654" s="81" t="s">
        <v>305</v>
      </c>
      <c r="B654" s="40"/>
      <c r="C654" s="40"/>
      <c r="D654" s="40"/>
      <c r="E654" s="40"/>
      <c r="F654" s="40"/>
      <c r="G654" s="88"/>
      <c r="O654" s="2"/>
    </row>
    <row r="655" spans="1:15" ht="15.75" hidden="1" customHeight="1" x14ac:dyDescent="0.25">
      <c r="A655" s="81" t="s">
        <v>306</v>
      </c>
      <c r="B655" s="40"/>
      <c r="C655" s="40"/>
      <c r="D655" s="40"/>
      <c r="E655" s="40"/>
      <c r="F655" s="40"/>
      <c r="G655" s="88"/>
      <c r="O655" s="2"/>
    </row>
    <row r="656" spans="1:15" ht="15.75" hidden="1" customHeight="1" x14ac:dyDescent="0.25">
      <c r="A656" s="79" t="s">
        <v>272</v>
      </c>
      <c r="B656" s="80"/>
      <c r="C656" s="80"/>
      <c r="D656" s="80"/>
      <c r="E656" s="80"/>
      <c r="F656" s="80"/>
      <c r="G656" s="134"/>
      <c r="O656" s="2"/>
    </row>
    <row r="657" spans="1:15" ht="15.75" hidden="1" customHeight="1" x14ac:dyDescent="0.25">
      <c r="A657" s="81" t="s">
        <v>278</v>
      </c>
      <c r="B657" s="40"/>
      <c r="C657" s="40"/>
      <c r="D657" s="40"/>
      <c r="E657" s="40"/>
      <c r="F657" s="40"/>
      <c r="G657" s="88"/>
      <c r="O657" s="2"/>
    </row>
    <row r="658" spans="1:15" ht="15.75" hidden="1" customHeight="1" x14ac:dyDescent="0.25">
      <c r="A658" s="81" t="s">
        <v>279</v>
      </c>
      <c r="B658" s="40"/>
      <c r="C658" s="40"/>
      <c r="D658" s="40"/>
      <c r="E658" s="40"/>
      <c r="F658" s="40"/>
      <c r="G658" s="88"/>
      <c r="O658" s="2"/>
    </row>
    <row r="659" spans="1:15" ht="15.75" hidden="1" customHeight="1" x14ac:dyDescent="0.25">
      <c r="A659" s="81" t="s">
        <v>280</v>
      </c>
      <c r="B659" s="40"/>
      <c r="C659" s="40"/>
      <c r="D659" s="40"/>
      <c r="E659" s="40"/>
      <c r="F659" s="40"/>
      <c r="G659" s="88"/>
      <c r="O659" s="2"/>
    </row>
    <row r="660" spans="1:15" ht="15.75" hidden="1" customHeight="1" x14ac:dyDescent="0.25">
      <c r="A660" s="81" t="s">
        <v>281</v>
      </c>
      <c r="B660" s="40"/>
      <c r="C660" s="40"/>
      <c r="D660" s="40"/>
      <c r="E660" s="40"/>
      <c r="F660" s="40"/>
      <c r="G660" s="88"/>
      <c r="O660" s="2"/>
    </row>
    <row r="661" spans="1:15" ht="15.75" hidden="1" customHeight="1" x14ac:dyDescent="0.25">
      <c r="A661" s="82" t="s">
        <v>282</v>
      </c>
      <c r="B661" s="41"/>
      <c r="C661" s="41"/>
      <c r="D661" s="41"/>
      <c r="E661" s="41"/>
      <c r="F661" s="41"/>
      <c r="G661" s="127"/>
      <c r="O661" s="2"/>
    </row>
    <row r="662" spans="1:15" ht="15.75" hidden="1" customHeight="1" x14ac:dyDescent="0.25">
      <c r="O662" s="2"/>
    </row>
    <row r="663" spans="1:15" ht="15.75" hidden="1" customHeight="1" x14ac:dyDescent="0.25">
      <c r="O663" s="2"/>
    </row>
    <row r="664" spans="1:15" ht="15.75" hidden="1" customHeight="1" x14ac:dyDescent="0.3">
      <c r="A664" s="927" t="s">
        <v>450</v>
      </c>
      <c r="B664" s="836"/>
      <c r="C664" s="836"/>
      <c r="D664" s="836"/>
      <c r="E664" s="836"/>
      <c r="F664" s="836"/>
      <c r="G664" s="836"/>
      <c r="H664" s="837"/>
      <c r="O664" s="2"/>
    </row>
    <row r="665" spans="1:15" ht="15.75" hidden="1" customHeight="1" x14ac:dyDescent="0.25">
      <c r="A665" s="107" t="s">
        <v>25</v>
      </c>
      <c r="B665" s="91" t="s">
        <v>451</v>
      </c>
      <c r="C665" s="148" t="s">
        <v>321</v>
      </c>
      <c r="D665" s="148" t="s">
        <v>322</v>
      </c>
      <c r="E665" s="148" t="s">
        <v>452</v>
      </c>
      <c r="F665" s="148" t="s">
        <v>453</v>
      </c>
      <c r="G665" s="148" t="s">
        <v>454</v>
      </c>
      <c r="H665" s="93" t="s">
        <v>388</v>
      </c>
      <c r="O665" s="2"/>
    </row>
    <row r="666" spans="1:15" ht="15.75" hidden="1" customHeight="1" x14ac:dyDescent="0.25">
      <c r="A666" s="94" t="s">
        <v>272</v>
      </c>
      <c r="B666" s="942" t="s">
        <v>455</v>
      </c>
      <c r="C666" s="912" t="s">
        <v>456</v>
      </c>
      <c r="D666" s="924">
        <v>33</v>
      </c>
      <c r="E666" s="149">
        <v>46</v>
      </c>
      <c r="F666" s="150"/>
      <c r="G666" s="150">
        <f t="shared" ref="G666:G671" si="39">F666/E666</f>
        <v>0</v>
      </c>
      <c r="H666" s="129"/>
      <c r="I666" s="2">
        <f t="shared" ref="I666:I671" si="40">LEN(H666)</f>
        <v>0</v>
      </c>
      <c r="O666" s="2"/>
    </row>
    <row r="667" spans="1:15" ht="15.75" hidden="1" customHeight="1" x14ac:dyDescent="0.25">
      <c r="A667" s="94" t="s">
        <v>278</v>
      </c>
      <c r="B667" s="752"/>
      <c r="C667" s="752"/>
      <c r="D667" s="752"/>
      <c r="E667" s="149">
        <v>46</v>
      </c>
      <c r="F667" s="150"/>
      <c r="G667" s="150">
        <f t="shared" si="39"/>
        <v>0</v>
      </c>
      <c r="H667" s="129"/>
      <c r="I667" s="2">
        <f t="shared" si="40"/>
        <v>0</v>
      </c>
      <c r="O667" s="2"/>
    </row>
    <row r="668" spans="1:15" ht="15.75" hidden="1" customHeight="1" x14ac:dyDescent="0.25">
      <c r="A668" s="94" t="s">
        <v>279</v>
      </c>
      <c r="B668" s="752"/>
      <c r="C668" s="752"/>
      <c r="D668" s="752"/>
      <c r="E668" s="149">
        <v>46</v>
      </c>
      <c r="F668" s="150"/>
      <c r="G668" s="150">
        <f t="shared" si="39"/>
        <v>0</v>
      </c>
      <c r="H668" s="129"/>
      <c r="I668" s="2">
        <f t="shared" si="40"/>
        <v>0</v>
      </c>
      <c r="O668" s="2"/>
    </row>
    <row r="669" spans="1:15" ht="15.75" hidden="1" customHeight="1" x14ac:dyDescent="0.25">
      <c r="A669" s="94" t="s">
        <v>280</v>
      </c>
      <c r="B669" s="752"/>
      <c r="C669" s="752"/>
      <c r="D669" s="752"/>
      <c r="E669" s="149">
        <v>46</v>
      </c>
      <c r="F669" s="150">
        <v>44.39</v>
      </c>
      <c r="G669" s="151">
        <f t="shared" si="39"/>
        <v>0.96499999999999997</v>
      </c>
      <c r="H669" s="129" t="s">
        <v>332</v>
      </c>
      <c r="I669" s="2">
        <f t="shared" si="40"/>
        <v>190</v>
      </c>
      <c r="O669" s="2"/>
    </row>
    <row r="670" spans="1:15" ht="15.75" hidden="1" customHeight="1" x14ac:dyDescent="0.25">
      <c r="A670" s="94" t="s">
        <v>281</v>
      </c>
      <c r="B670" s="752"/>
      <c r="C670" s="752"/>
      <c r="D670" s="752"/>
      <c r="E670" s="149">
        <v>46</v>
      </c>
      <c r="F670" s="150" t="e">
        <v>#REF!</v>
      </c>
      <c r="G670" s="151" t="e">
        <f t="shared" si="39"/>
        <v>#REF!</v>
      </c>
      <c r="H670" s="129" t="s">
        <v>333</v>
      </c>
      <c r="I670" s="2">
        <f t="shared" si="40"/>
        <v>199</v>
      </c>
      <c r="O670" s="2"/>
    </row>
    <row r="671" spans="1:15" ht="15.75" hidden="1" customHeight="1" x14ac:dyDescent="0.25">
      <c r="A671" s="103" t="s">
        <v>282</v>
      </c>
      <c r="B671" s="753"/>
      <c r="C671" s="753"/>
      <c r="D671" s="753"/>
      <c r="E671" s="152">
        <v>46</v>
      </c>
      <c r="F671" s="153">
        <v>45.92</v>
      </c>
      <c r="G671" s="154">
        <f t="shared" si="39"/>
        <v>0.99826086956521742</v>
      </c>
      <c r="H671" s="136" t="s">
        <v>334</v>
      </c>
      <c r="I671" s="2">
        <f t="shared" si="40"/>
        <v>193</v>
      </c>
      <c r="O671" s="2"/>
    </row>
    <row r="672" spans="1:15" ht="15.75" hidden="1" customHeight="1" x14ac:dyDescent="0.25">
      <c r="A672" s="105"/>
      <c r="B672" s="106"/>
      <c r="C672" s="155"/>
      <c r="D672" s="105"/>
      <c r="E672" s="105"/>
      <c r="F672" s="105"/>
      <c r="G672" s="105"/>
      <c r="H672" s="105"/>
      <c r="O672" s="2"/>
    </row>
    <row r="673" spans="1:15" ht="15.75" hidden="1" customHeight="1" x14ac:dyDescent="0.25">
      <c r="A673" s="105"/>
      <c r="B673" s="105"/>
      <c r="C673" s="105"/>
      <c r="D673" s="105"/>
      <c r="E673" s="105"/>
      <c r="F673" s="105"/>
      <c r="G673" s="105"/>
      <c r="H673" s="105"/>
      <c r="O673" s="2"/>
    </row>
    <row r="674" spans="1:15" ht="15.75" hidden="1" customHeight="1" x14ac:dyDescent="0.25">
      <c r="A674" s="28" t="s">
        <v>25</v>
      </c>
      <c r="B674" s="29" t="s">
        <v>451</v>
      </c>
      <c r="C674" s="156" t="s">
        <v>321</v>
      </c>
      <c r="D674" s="156" t="s">
        <v>322</v>
      </c>
      <c r="E674" s="156" t="s">
        <v>452</v>
      </c>
      <c r="F674" s="156" t="s">
        <v>453</v>
      </c>
      <c r="G674" s="156" t="s">
        <v>454</v>
      </c>
      <c r="H674" s="30" t="s">
        <v>388</v>
      </c>
      <c r="O674" s="2"/>
    </row>
    <row r="675" spans="1:15" ht="15.75" hidden="1" customHeight="1" x14ac:dyDescent="0.25">
      <c r="A675" s="157" t="s">
        <v>272</v>
      </c>
      <c r="B675" s="936" t="s">
        <v>457</v>
      </c>
      <c r="C675" s="937" t="s">
        <v>458</v>
      </c>
      <c r="D675" s="924">
        <v>34</v>
      </c>
      <c r="E675" s="158">
        <v>5</v>
      </c>
      <c r="F675" s="159"/>
      <c r="G675" s="159">
        <f t="shared" ref="G675:G680" si="41">F675/E675</f>
        <v>0</v>
      </c>
      <c r="H675" s="160"/>
      <c r="I675" s="2">
        <f t="shared" ref="I675:I680" si="42">LEN(H675)</f>
        <v>0</v>
      </c>
      <c r="O675" s="2"/>
    </row>
    <row r="676" spans="1:15" ht="15.75" hidden="1" customHeight="1" x14ac:dyDescent="0.25">
      <c r="A676" s="94" t="s">
        <v>278</v>
      </c>
      <c r="B676" s="752"/>
      <c r="C676" s="752"/>
      <c r="D676" s="752"/>
      <c r="E676" s="161">
        <v>5</v>
      </c>
      <c r="F676" s="150"/>
      <c r="G676" s="150">
        <f t="shared" si="41"/>
        <v>0</v>
      </c>
      <c r="H676" s="129"/>
      <c r="I676" s="2">
        <f t="shared" si="42"/>
        <v>0</v>
      </c>
      <c r="O676" s="2"/>
    </row>
    <row r="677" spans="1:15" ht="15.75" hidden="1" customHeight="1" x14ac:dyDescent="0.25">
      <c r="A677" s="94" t="s">
        <v>279</v>
      </c>
      <c r="B677" s="752"/>
      <c r="C677" s="752"/>
      <c r="D677" s="752"/>
      <c r="E677" s="161">
        <v>5</v>
      </c>
      <c r="F677" s="150"/>
      <c r="G677" s="150">
        <f t="shared" si="41"/>
        <v>0</v>
      </c>
      <c r="H677" s="129"/>
      <c r="I677" s="2">
        <f t="shared" si="42"/>
        <v>0</v>
      </c>
      <c r="O677" s="2"/>
    </row>
    <row r="678" spans="1:15" ht="15.75" hidden="1" customHeight="1" x14ac:dyDescent="0.25">
      <c r="A678" s="94" t="s">
        <v>280</v>
      </c>
      <c r="B678" s="752"/>
      <c r="C678" s="752"/>
      <c r="D678" s="752"/>
      <c r="E678" s="161">
        <v>5</v>
      </c>
      <c r="F678" s="150">
        <v>1.54</v>
      </c>
      <c r="G678" s="151">
        <f t="shared" si="41"/>
        <v>0.308</v>
      </c>
      <c r="H678" s="129" t="s">
        <v>339</v>
      </c>
      <c r="I678" s="2">
        <f t="shared" si="42"/>
        <v>200</v>
      </c>
      <c r="O678" s="2"/>
    </row>
    <row r="679" spans="1:15" ht="15.75" hidden="1" customHeight="1" x14ac:dyDescent="0.25">
      <c r="A679" s="94" t="s">
        <v>281</v>
      </c>
      <c r="B679" s="752"/>
      <c r="C679" s="752"/>
      <c r="D679" s="752"/>
      <c r="E679" s="161">
        <v>5</v>
      </c>
      <c r="F679" s="162" t="e">
        <v>#REF!</v>
      </c>
      <c r="G679" s="151" t="e">
        <f t="shared" si="41"/>
        <v>#REF!</v>
      </c>
      <c r="H679" s="129" t="s">
        <v>340</v>
      </c>
      <c r="I679" s="2">
        <f t="shared" si="42"/>
        <v>121</v>
      </c>
      <c r="O679" s="2"/>
    </row>
    <row r="680" spans="1:15" ht="15.75" hidden="1" customHeight="1" x14ac:dyDescent="0.25">
      <c r="A680" s="103" t="s">
        <v>282</v>
      </c>
      <c r="B680" s="753"/>
      <c r="C680" s="753"/>
      <c r="D680" s="753"/>
      <c r="E680" s="163">
        <v>5</v>
      </c>
      <c r="F680" s="153">
        <v>5.49</v>
      </c>
      <c r="G680" s="154">
        <f t="shared" si="41"/>
        <v>1.0980000000000001</v>
      </c>
      <c r="H680" s="136" t="s">
        <v>341</v>
      </c>
      <c r="I680" s="2">
        <f t="shared" si="42"/>
        <v>121</v>
      </c>
      <c r="O680" s="2"/>
    </row>
    <row r="681" spans="1:15" ht="15.75" hidden="1" customHeight="1" x14ac:dyDescent="0.25">
      <c r="A681" s="105"/>
      <c r="B681" s="105"/>
      <c r="C681" s="105"/>
      <c r="D681" s="105"/>
      <c r="E681" s="105"/>
      <c r="F681" s="105"/>
      <c r="G681" s="105"/>
      <c r="H681" s="105"/>
      <c r="O681" s="2"/>
    </row>
    <row r="682" spans="1:15" ht="15.75" hidden="1" customHeight="1" x14ac:dyDescent="0.25">
      <c r="A682" s="105"/>
      <c r="B682" s="105"/>
      <c r="C682" s="105"/>
      <c r="D682" s="105"/>
      <c r="E682" s="105"/>
      <c r="F682" s="105"/>
      <c r="G682" s="105"/>
      <c r="H682" s="105"/>
      <c r="O682" s="2"/>
    </row>
    <row r="683" spans="1:15" ht="15.75" hidden="1" customHeight="1" x14ac:dyDescent="0.25">
      <c r="A683" s="28" t="s">
        <v>25</v>
      </c>
      <c r="B683" s="29" t="s">
        <v>451</v>
      </c>
      <c r="C683" s="156" t="s">
        <v>321</v>
      </c>
      <c r="D683" s="156" t="s">
        <v>322</v>
      </c>
      <c r="E683" s="156" t="s">
        <v>452</v>
      </c>
      <c r="F683" s="156" t="s">
        <v>453</v>
      </c>
      <c r="G683" s="156" t="s">
        <v>454</v>
      </c>
      <c r="H683" s="30" t="s">
        <v>388</v>
      </c>
      <c r="O683" s="2"/>
    </row>
    <row r="684" spans="1:15" ht="15.75" hidden="1" customHeight="1" x14ac:dyDescent="0.25">
      <c r="A684" s="157" t="s">
        <v>272</v>
      </c>
      <c r="B684" s="936"/>
      <c r="C684" s="937" t="s">
        <v>458</v>
      </c>
      <c r="D684" s="934"/>
      <c r="E684" s="158">
        <v>54</v>
      </c>
      <c r="F684" s="159"/>
      <c r="G684" s="159">
        <f t="shared" ref="G684:G689" si="43">F684/E684</f>
        <v>0</v>
      </c>
      <c r="H684" s="160"/>
      <c r="I684" s="2">
        <f t="shared" ref="I684:I689" si="44">LEN(H684)</f>
        <v>0</v>
      </c>
      <c r="O684" s="2"/>
    </row>
    <row r="685" spans="1:15" ht="15.75" hidden="1" customHeight="1" x14ac:dyDescent="0.25">
      <c r="A685" s="94" t="s">
        <v>278</v>
      </c>
      <c r="B685" s="752"/>
      <c r="C685" s="752"/>
      <c r="D685" s="752"/>
      <c r="E685" s="161">
        <v>54</v>
      </c>
      <c r="F685" s="150"/>
      <c r="G685" s="150">
        <f t="shared" si="43"/>
        <v>0</v>
      </c>
      <c r="H685" s="129"/>
      <c r="I685" s="2">
        <f t="shared" si="44"/>
        <v>0</v>
      </c>
      <c r="O685" s="2"/>
    </row>
    <row r="686" spans="1:15" ht="15.75" hidden="1" customHeight="1" x14ac:dyDescent="0.25">
      <c r="A686" s="94" t="s">
        <v>279</v>
      </c>
      <c r="B686" s="752"/>
      <c r="C686" s="752"/>
      <c r="D686" s="752"/>
      <c r="E686" s="161">
        <v>54</v>
      </c>
      <c r="F686" s="150"/>
      <c r="G686" s="150">
        <f t="shared" si="43"/>
        <v>0</v>
      </c>
      <c r="H686" s="129"/>
      <c r="I686" s="2">
        <f t="shared" si="44"/>
        <v>0</v>
      </c>
      <c r="O686" s="2"/>
    </row>
    <row r="687" spans="1:15" ht="15.75" hidden="1" customHeight="1" x14ac:dyDescent="0.25">
      <c r="A687" s="94" t="s">
        <v>280</v>
      </c>
      <c r="B687" s="752"/>
      <c r="C687" s="752"/>
      <c r="D687" s="752"/>
      <c r="E687" s="161">
        <v>54</v>
      </c>
      <c r="F687" s="150">
        <v>4.24</v>
      </c>
      <c r="G687" s="151">
        <f t="shared" si="43"/>
        <v>7.8518518518518529E-2</v>
      </c>
      <c r="H687" s="129" t="s">
        <v>343</v>
      </c>
      <c r="I687" s="2">
        <f t="shared" si="44"/>
        <v>170</v>
      </c>
      <c r="O687" s="2"/>
    </row>
    <row r="688" spans="1:15" ht="15.75" hidden="1" customHeight="1" x14ac:dyDescent="0.25">
      <c r="A688" s="94" t="s">
        <v>281</v>
      </c>
      <c r="B688" s="752"/>
      <c r="C688" s="752"/>
      <c r="D688" s="752"/>
      <c r="E688" s="161">
        <v>54</v>
      </c>
      <c r="F688" s="162" t="e">
        <v>#REF!</v>
      </c>
      <c r="G688" s="151" t="e">
        <f t="shared" si="43"/>
        <v>#REF!</v>
      </c>
      <c r="H688" s="129" t="s">
        <v>344</v>
      </c>
      <c r="I688" s="2">
        <f t="shared" si="44"/>
        <v>200</v>
      </c>
      <c r="O688" s="2"/>
    </row>
    <row r="689" spans="1:15" ht="15.75" hidden="1" customHeight="1" x14ac:dyDescent="0.25">
      <c r="A689" s="103" t="s">
        <v>282</v>
      </c>
      <c r="B689" s="753"/>
      <c r="C689" s="753"/>
      <c r="D689" s="753"/>
      <c r="E689" s="164">
        <v>54</v>
      </c>
      <c r="F689" s="165" t="e">
        <v>#REF!</v>
      </c>
      <c r="G689" s="166" t="e">
        <f t="shared" si="43"/>
        <v>#REF!</v>
      </c>
      <c r="H689" s="136" t="s">
        <v>345</v>
      </c>
      <c r="I689" s="2">
        <f t="shared" si="44"/>
        <v>198</v>
      </c>
      <c r="O689" s="2"/>
    </row>
    <row r="690" spans="1:15" ht="15.75" hidden="1" customHeight="1" x14ac:dyDescent="0.25">
      <c r="A690" s="105"/>
      <c r="B690" s="105"/>
      <c r="C690" s="105"/>
      <c r="D690" s="105"/>
      <c r="E690" s="105"/>
      <c r="F690" s="105"/>
      <c r="G690" s="105"/>
      <c r="H690" s="105"/>
      <c r="O690" s="2"/>
    </row>
    <row r="691" spans="1:15" ht="15.75" hidden="1" customHeight="1" x14ac:dyDescent="0.25">
      <c r="A691" s="105"/>
      <c r="B691" s="105"/>
      <c r="C691" s="105"/>
      <c r="D691" s="105"/>
      <c r="E691" s="105"/>
      <c r="F691" s="105"/>
      <c r="G691" s="105"/>
      <c r="H691" s="105"/>
      <c r="O691" s="2"/>
    </row>
    <row r="692" spans="1:15" ht="15.75" hidden="1" customHeight="1" x14ac:dyDescent="0.25">
      <c r="A692" s="28" t="s">
        <v>25</v>
      </c>
      <c r="B692" s="29" t="s">
        <v>451</v>
      </c>
      <c r="C692" s="156" t="s">
        <v>321</v>
      </c>
      <c r="D692" s="156" t="s">
        <v>322</v>
      </c>
      <c r="E692" s="156" t="s">
        <v>452</v>
      </c>
      <c r="F692" s="156" t="s">
        <v>453</v>
      </c>
      <c r="G692" s="156" t="s">
        <v>454</v>
      </c>
      <c r="H692" s="30" t="s">
        <v>388</v>
      </c>
      <c r="O692" s="2"/>
    </row>
    <row r="693" spans="1:15" ht="15.75" hidden="1" customHeight="1" x14ac:dyDescent="0.25">
      <c r="A693" s="157" t="s">
        <v>272</v>
      </c>
      <c r="B693" s="936" t="s">
        <v>459</v>
      </c>
      <c r="C693" s="937" t="s">
        <v>460</v>
      </c>
      <c r="D693" s="935">
        <v>33</v>
      </c>
      <c r="E693" s="158">
        <v>0.27</v>
      </c>
      <c r="F693" s="159"/>
      <c r="G693" s="159">
        <f t="shared" ref="G693:G698" si="45">F693/E693</f>
        <v>0</v>
      </c>
      <c r="H693" s="160"/>
      <c r="I693" s="2">
        <f t="shared" ref="I693:I698" si="46">LEN(H693)</f>
        <v>0</v>
      </c>
      <c r="O693" s="2"/>
    </row>
    <row r="694" spans="1:15" ht="15.75" hidden="1" customHeight="1" x14ac:dyDescent="0.25">
      <c r="A694" s="94" t="s">
        <v>278</v>
      </c>
      <c r="B694" s="752"/>
      <c r="C694" s="752"/>
      <c r="D694" s="752"/>
      <c r="E694" s="161">
        <v>0.27</v>
      </c>
      <c r="F694" s="150"/>
      <c r="G694" s="150">
        <f t="shared" si="45"/>
        <v>0</v>
      </c>
      <c r="H694" s="129"/>
      <c r="I694" s="2">
        <f t="shared" si="46"/>
        <v>0</v>
      </c>
      <c r="O694" s="2"/>
    </row>
    <row r="695" spans="1:15" ht="15.75" hidden="1" customHeight="1" x14ac:dyDescent="0.25">
      <c r="A695" s="94" t="s">
        <v>279</v>
      </c>
      <c r="B695" s="752"/>
      <c r="C695" s="752"/>
      <c r="D695" s="752"/>
      <c r="E695" s="161">
        <v>0.27</v>
      </c>
      <c r="F695" s="150"/>
      <c r="G695" s="150">
        <f t="shared" si="45"/>
        <v>0</v>
      </c>
      <c r="H695" s="129"/>
      <c r="I695" s="2">
        <f t="shared" si="46"/>
        <v>0</v>
      </c>
      <c r="O695" s="2"/>
    </row>
    <row r="696" spans="1:15" ht="15.75" hidden="1" customHeight="1" x14ac:dyDescent="0.25">
      <c r="A696" s="94" t="s">
        <v>280</v>
      </c>
      <c r="B696" s="752"/>
      <c r="C696" s="752"/>
      <c r="D696" s="752"/>
      <c r="E696" s="161">
        <v>0.27</v>
      </c>
      <c r="F696" s="150">
        <v>0.14000000000000001</v>
      </c>
      <c r="G696" s="151">
        <f t="shared" si="45"/>
        <v>0.51851851851851849</v>
      </c>
      <c r="H696" s="129" t="s">
        <v>461</v>
      </c>
      <c r="I696" s="2">
        <f t="shared" si="46"/>
        <v>193</v>
      </c>
      <c r="O696" s="2"/>
    </row>
    <row r="697" spans="1:15" ht="15.75" hidden="1" customHeight="1" x14ac:dyDescent="0.25">
      <c r="A697" s="94" t="s">
        <v>281</v>
      </c>
      <c r="B697" s="752"/>
      <c r="C697" s="752"/>
      <c r="D697" s="752"/>
      <c r="E697" s="161">
        <v>0.27</v>
      </c>
      <c r="F697" s="162" t="e">
        <v>#REF!</v>
      </c>
      <c r="G697" s="151" t="e">
        <f t="shared" si="45"/>
        <v>#REF!</v>
      </c>
      <c r="H697" s="129" t="s">
        <v>349</v>
      </c>
      <c r="I697" s="2">
        <f t="shared" si="46"/>
        <v>154</v>
      </c>
      <c r="O697" s="2"/>
    </row>
    <row r="698" spans="1:15" ht="15.75" hidden="1" customHeight="1" x14ac:dyDescent="0.25">
      <c r="A698" s="103" t="s">
        <v>282</v>
      </c>
      <c r="B698" s="753"/>
      <c r="C698" s="753"/>
      <c r="D698" s="753"/>
      <c r="E698" s="163">
        <v>0.27</v>
      </c>
      <c r="F698" s="153">
        <v>0.26</v>
      </c>
      <c r="G698" s="154">
        <f t="shared" si="45"/>
        <v>0.96296296296296291</v>
      </c>
      <c r="H698" s="136" t="s">
        <v>462</v>
      </c>
      <c r="I698" s="2">
        <f t="shared" si="46"/>
        <v>148</v>
      </c>
      <c r="O698" s="2"/>
    </row>
    <row r="699" spans="1:15" ht="15.75" hidden="1" customHeight="1" x14ac:dyDescent="0.25">
      <c r="A699" s="105"/>
      <c r="B699" s="106"/>
      <c r="C699" s="106"/>
      <c r="D699" s="167"/>
      <c r="E699" s="155"/>
      <c r="F699" s="105"/>
      <c r="G699" s="168"/>
      <c r="H699" s="105"/>
      <c r="I699" s="2"/>
      <c r="O699" s="2"/>
    </row>
    <row r="700" spans="1:15" ht="15.75" hidden="1" customHeight="1" x14ac:dyDescent="0.25">
      <c r="A700" s="105"/>
      <c r="B700" s="106"/>
      <c r="C700" s="106"/>
      <c r="D700" s="167"/>
      <c r="E700" s="155"/>
      <c r="F700" s="105"/>
      <c r="G700" s="168"/>
      <c r="H700" s="105"/>
      <c r="I700" s="2"/>
      <c r="O700" s="2"/>
    </row>
    <row r="701" spans="1:15" ht="15.75" hidden="1" customHeight="1" x14ac:dyDescent="0.3">
      <c r="A701" s="927" t="s">
        <v>463</v>
      </c>
      <c r="B701" s="836"/>
      <c r="C701" s="836"/>
      <c r="D701" s="836"/>
      <c r="E701" s="836"/>
      <c r="F701" s="836"/>
      <c r="G701" s="836"/>
      <c r="H701" s="837"/>
      <c r="O701" s="2"/>
    </row>
    <row r="702" spans="1:15" ht="15.75" hidden="1" customHeight="1" x14ac:dyDescent="0.25">
      <c r="A702" s="85" t="s">
        <v>26</v>
      </c>
      <c r="B702" s="91" t="s">
        <v>451</v>
      </c>
      <c r="C702" s="148" t="s">
        <v>321</v>
      </c>
      <c r="D702" s="148" t="s">
        <v>350</v>
      </c>
      <c r="E702" s="148" t="s">
        <v>464</v>
      </c>
      <c r="F702" s="148" t="s">
        <v>465</v>
      </c>
      <c r="G702" s="148" t="s">
        <v>466</v>
      </c>
      <c r="H702" s="93" t="s">
        <v>388</v>
      </c>
      <c r="O702" s="2"/>
    </row>
    <row r="703" spans="1:15" ht="15.75" hidden="1" customHeight="1" x14ac:dyDescent="0.25">
      <c r="A703" s="133" t="s">
        <v>284</v>
      </c>
      <c r="B703" s="912" t="s">
        <v>455</v>
      </c>
      <c r="C703" s="912" t="s">
        <v>456</v>
      </c>
      <c r="D703" s="924">
        <v>33</v>
      </c>
      <c r="E703" s="149">
        <v>56</v>
      </c>
      <c r="F703" s="150">
        <v>46.28</v>
      </c>
      <c r="G703" s="169">
        <f t="shared" ref="G703:G714" si="47">F703/E703</f>
        <v>0.8264285714285714</v>
      </c>
      <c r="H703" s="129" t="s">
        <v>467</v>
      </c>
      <c r="I703" s="2">
        <f t="shared" ref="I703:I714" si="48">LEN(H703)</f>
        <v>253</v>
      </c>
      <c r="O703" s="2"/>
    </row>
    <row r="704" spans="1:15" ht="15.75" hidden="1" customHeight="1" x14ac:dyDescent="0.25">
      <c r="A704" s="133" t="s">
        <v>293</v>
      </c>
      <c r="B704" s="752"/>
      <c r="C704" s="752"/>
      <c r="D704" s="752"/>
      <c r="E704" s="149">
        <v>56</v>
      </c>
      <c r="F704" s="150">
        <v>46.64</v>
      </c>
      <c r="G704" s="169">
        <f t="shared" si="47"/>
        <v>0.83285714285714285</v>
      </c>
      <c r="H704" s="129" t="s">
        <v>468</v>
      </c>
      <c r="I704" s="2">
        <f t="shared" si="48"/>
        <v>253</v>
      </c>
      <c r="O704" s="2"/>
    </row>
    <row r="705" spans="1:15" ht="15.75" hidden="1" customHeight="1" x14ac:dyDescent="0.25">
      <c r="A705" s="133" t="s">
        <v>302</v>
      </c>
      <c r="B705" s="752"/>
      <c r="C705" s="752"/>
      <c r="D705" s="752"/>
      <c r="E705" s="149">
        <v>56</v>
      </c>
      <c r="F705" s="150">
        <v>47.02</v>
      </c>
      <c r="G705" s="169">
        <f t="shared" si="47"/>
        <v>0.83964285714285725</v>
      </c>
      <c r="H705" s="129" t="s">
        <v>469</v>
      </c>
      <c r="I705" s="2">
        <f t="shared" si="48"/>
        <v>253</v>
      </c>
      <c r="O705" s="2"/>
    </row>
    <row r="706" spans="1:15" ht="15.75" hidden="1" customHeight="1" x14ac:dyDescent="0.25">
      <c r="A706" s="133" t="s">
        <v>303</v>
      </c>
      <c r="B706" s="752"/>
      <c r="C706" s="752"/>
      <c r="D706" s="752"/>
      <c r="E706" s="149">
        <v>56</v>
      </c>
      <c r="F706" s="162">
        <v>47.1</v>
      </c>
      <c r="G706" s="169">
        <f t="shared" si="47"/>
        <v>0.84107142857142858</v>
      </c>
      <c r="H706" s="129" t="s">
        <v>470</v>
      </c>
      <c r="I706" s="2">
        <f t="shared" si="48"/>
        <v>255</v>
      </c>
      <c r="O706" s="2"/>
    </row>
    <row r="707" spans="1:15" ht="15.75" hidden="1" customHeight="1" x14ac:dyDescent="0.25">
      <c r="A707" s="133" t="s">
        <v>305</v>
      </c>
      <c r="B707" s="752"/>
      <c r="C707" s="752"/>
      <c r="D707" s="752"/>
      <c r="E707" s="149">
        <v>56</v>
      </c>
      <c r="F707" s="150">
        <v>47.56</v>
      </c>
      <c r="G707" s="169">
        <f t="shared" si="47"/>
        <v>0.84928571428571431</v>
      </c>
      <c r="H707" s="129" t="s">
        <v>471</v>
      </c>
      <c r="I707" s="2">
        <f t="shared" si="48"/>
        <v>252</v>
      </c>
      <c r="J707" s="14"/>
      <c r="O707" s="2"/>
    </row>
    <row r="708" spans="1:15" ht="15.75" hidden="1" customHeight="1" x14ac:dyDescent="0.25">
      <c r="A708" s="133" t="s">
        <v>306</v>
      </c>
      <c r="B708" s="752"/>
      <c r="C708" s="752"/>
      <c r="D708" s="752"/>
      <c r="E708" s="149">
        <v>56</v>
      </c>
      <c r="F708" s="150">
        <v>47.81</v>
      </c>
      <c r="G708" s="169">
        <f t="shared" si="47"/>
        <v>0.85375000000000001</v>
      </c>
      <c r="H708" s="129" t="s">
        <v>472</v>
      </c>
      <c r="I708" s="2">
        <f t="shared" si="48"/>
        <v>253</v>
      </c>
      <c r="O708" s="2"/>
    </row>
    <row r="709" spans="1:15" ht="15.75" hidden="1" customHeight="1" x14ac:dyDescent="0.25">
      <c r="A709" s="133" t="s">
        <v>272</v>
      </c>
      <c r="B709" s="752"/>
      <c r="C709" s="752"/>
      <c r="D709" s="752"/>
      <c r="E709" s="149">
        <v>56</v>
      </c>
      <c r="F709" s="150">
        <v>48.74</v>
      </c>
      <c r="G709" s="169">
        <f t="shared" si="47"/>
        <v>0.87035714285714294</v>
      </c>
      <c r="H709" s="129" t="s">
        <v>473</v>
      </c>
      <c r="I709" s="2">
        <f t="shared" si="48"/>
        <v>253</v>
      </c>
      <c r="O709" s="2"/>
    </row>
    <row r="710" spans="1:15" ht="15.75" hidden="1" customHeight="1" x14ac:dyDescent="0.25">
      <c r="A710" s="94" t="s">
        <v>278</v>
      </c>
      <c r="B710" s="752"/>
      <c r="C710" s="752"/>
      <c r="D710" s="752"/>
      <c r="E710" s="149">
        <v>56</v>
      </c>
      <c r="F710" s="150">
        <v>49.19</v>
      </c>
      <c r="G710" s="169">
        <f t="shared" si="47"/>
        <v>0.87839285714285709</v>
      </c>
      <c r="H710" s="129" t="s">
        <v>474</v>
      </c>
      <c r="I710" s="2">
        <f t="shared" si="48"/>
        <v>254</v>
      </c>
      <c r="O710" s="2"/>
    </row>
    <row r="711" spans="1:15" ht="15.75" hidden="1" customHeight="1" x14ac:dyDescent="0.25">
      <c r="A711" s="94" t="s">
        <v>279</v>
      </c>
      <c r="B711" s="752"/>
      <c r="C711" s="752"/>
      <c r="D711" s="752"/>
      <c r="E711" s="149">
        <v>56</v>
      </c>
      <c r="F711" s="150">
        <v>49.95</v>
      </c>
      <c r="G711" s="169">
        <f t="shared" si="47"/>
        <v>0.89196428571428577</v>
      </c>
      <c r="H711" s="129" t="s">
        <v>475</v>
      </c>
      <c r="I711" s="2">
        <f t="shared" si="48"/>
        <v>258</v>
      </c>
      <c r="O711" s="2"/>
    </row>
    <row r="712" spans="1:15" ht="15.75" hidden="1" customHeight="1" x14ac:dyDescent="0.25">
      <c r="A712" s="94" t="s">
        <v>280</v>
      </c>
      <c r="B712" s="752"/>
      <c r="C712" s="752"/>
      <c r="D712" s="752"/>
      <c r="E712" s="149">
        <v>56</v>
      </c>
      <c r="F712" s="150">
        <v>50.86</v>
      </c>
      <c r="G712" s="169">
        <f t="shared" si="47"/>
        <v>0.90821428571428575</v>
      </c>
      <c r="H712" s="129" t="s">
        <v>476</v>
      </c>
      <c r="I712" s="2">
        <f t="shared" si="48"/>
        <v>255</v>
      </c>
      <c r="O712" s="2"/>
    </row>
    <row r="713" spans="1:15" ht="15.75" hidden="1" customHeight="1" x14ac:dyDescent="0.25">
      <c r="A713" s="94" t="s">
        <v>281</v>
      </c>
      <c r="B713" s="752"/>
      <c r="C713" s="752"/>
      <c r="D713" s="752"/>
      <c r="E713" s="149">
        <v>56</v>
      </c>
      <c r="F713" s="150">
        <v>51.66</v>
      </c>
      <c r="G713" s="169">
        <f t="shared" si="47"/>
        <v>0.92249999999999999</v>
      </c>
      <c r="H713" s="129" t="s">
        <v>477</v>
      </c>
      <c r="I713" s="2">
        <f t="shared" si="48"/>
        <v>257</v>
      </c>
      <c r="O713" s="2"/>
    </row>
    <row r="714" spans="1:15" ht="15.75" hidden="1" customHeight="1" x14ac:dyDescent="0.25">
      <c r="A714" s="103" t="s">
        <v>282</v>
      </c>
      <c r="B714" s="753"/>
      <c r="C714" s="753"/>
      <c r="D714" s="753"/>
      <c r="E714" s="152">
        <v>56</v>
      </c>
      <c r="F714" s="153">
        <v>52.19</v>
      </c>
      <c r="G714" s="170">
        <f t="shared" si="47"/>
        <v>0.93196428571428569</v>
      </c>
      <c r="H714" s="128" t="s">
        <v>478</v>
      </c>
      <c r="I714" s="2">
        <f t="shared" si="48"/>
        <v>258</v>
      </c>
      <c r="O714" s="2"/>
    </row>
    <row r="715" spans="1:15" ht="15.75" hidden="1" customHeight="1" x14ac:dyDescent="0.25">
      <c r="A715" s="105"/>
      <c r="B715" s="106"/>
      <c r="C715" s="155"/>
      <c r="D715" s="105"/>
      <c r="E715" s="105"/>
      <c r="F715" s="105"/>
      <c r="G715" s="105"/>
      <c r="H715" s="105"/>
      <c r="O715" s="2"/>
    </row>
    <row r="716" spans="1:15" ht="15.75" hidden="1" customHeight="1" x14ac:dyDescent="0.25">
      <c r="A716" s="105"/>
      <c r="B716" s="105"/>
      <c r="C716" s="105"/>
      <c r="D716" s="105"/>
      <c r="E716" s="105"/>
      <c r="F716" s="105"/>
      <c r="G716" s="105"/>
      <c r="H716" s="105"/>
      <c r="O716" s="2"/>
    </row>
    <row r="717" spans="1:15" ht="15.75" hidden="1" customHeight="1" x14ac:dyDescent="0.25">
      <c r="A717" s="107" t="s">
        <v>26</v>
      </c>
      <c r="B717" s="91" t="s">
        <v>451</v>
      </c>
      <c r="C717" s="148" t="s">
        <v>321</v>
      </c>
      <c r="D717" s="148" t="s">
        <v>350</v>
      </c>
      <c r="E717" s="148" t="s">
        <v>464</v>
      </c>
      <c r="F717" s="148" t="s">
        <v>465</v>
      </c>
      <c r="G717" s="148" t="s">
        <v>466</v>
      </c>
      <c r="H717" s="93" t="s">
        <v>388</v>
      </c>
      <c r="O717" s="2"/>
    </row>
    <row r="718" spans="1:15" ht="15.75" hidden="1" customHeight="1" x14ac:dyDescent="0.25">
      <c r="A718" s="94" t="s">
        <v>284</v>
      </c>
      <c r="B718" s="912" t="s">
        <v>457</v>
      </c>
      <c r="C718" s="912" t="s">
        <v>458</v>
      </c>
      <c r="D718" s="924">
        <v>34</v>
      </c>
      <c r="E718" s="161">
        <v>50</v>
      </c>
      <c r="F718" s="150">
        <v>0.12</v>
      </c>
      <c r="G718" s="169">
        <f t="shared" ref="G718:G729" si="49">F718/E718</f>
        <v>2.3999999999999998E-3</v>
      </c>
      <c r="H718" s="129" t="s">
        <v>479</v>
      </c>
      <c r="I718" s="2">
        <f t="shared" ref="I718:I729" si="50">LEN(H718)</f>
        <v>229</v>
      </c>
      <c r="O718" s="2"/>
    </row>
    <row r="719" spans="1:15" ht="15.75" hidden="1" customHeight="1" x14ac:dyDescent="0.25">
      <c r="A719" s="94" t="s">
        <v>293</v>
      </c>
      <c r="B719" s="752"/>
      <c r="C719" s="752"/>
      <c r="D719" s="752"/>
      <c r="E719" s="161">
        <v>50</v>
      </c>
      <c r="F719" s="150">
        <v>0.12</v>
      </c>
      <c r="G719" s="169">
        <f t="shared" si="49"/>
        <v>2.3999999999999998E-3</v>
      </c>
      <c r="H719" s="129" t="s">
        <v>479</v>
      </c>
      <c r="I719" s="2">
        <f t="shared" si="50"/>
        <v>229</v>
      </c>
      <c r="O719" s="2"/>
    </row>
    <row r="720" spans="1:15" ht="15.75" hidden="1" customHeight="1" x14ac:dyDescent="0.25">
      <c r="A720" s="94" t="s">
        <v>302</v>
      </c>
      <c r="B720" s="752"/>
      <c r="C720" s="752"/>
      <c r="D720" s="752"/>
      <c r="E720" s="161">
        <v>50</v>
      </c>
      <c r="F720" s="150">
        <v>0.12</v>
      </c>
      <c r="G720" s="169">
        <f t="shared" si="49"/>
        <v>2.3999999999999998E-3</v>
      </c>
      <c r="H720" s="129" t="s">
        <v>479</v>
      </c>
      <c r="I720" s="2">
        <f t="shared" si="50"/>
        <v>229</v>
      </c>
      <c r="O720" s="2"/>
    </row>
    <row r="721" spans="1:15" ht="15.75" hidden="1" customHeight="1" x14ac:dyDescent="0.25">
      <c r="A721" s="94" t="s">
        <v>303</v>
      </c>
      <c r="B721" s="752"/>
      <c r="C721" s="752"/>
      <c r="D721" s="752"/>
      <c r="E721" s="161">
        <v>50</v>
      </c>
      <c r="F721" s="150">
        <v>0.12</v>
      </c>
      <c r="G721" s="169">
        <f t="shared" si="49"/>
        <v>2.3999999999999998E-3</v>
      </c>
      <c r="H721" s="129" t="s">
        <v>479</v>
      </c>
      <c r="I721" s="2">
        <f t="shared" si="50"/>
        <v>229</v>
      </c>
      <c r="O721" s="2"/>
    </row>
    <row r="722" spans="1:15" ht="15.75" hidden="1" customHeight="1" x14ac:dyDescent="0.25">
      <c r="A722" s="94" t="s">
        <v>305</v>
      </c>
      <c r="B722" s="752"/>
      <c r="C722" s="752"/>
      <c r="D722" s="752"/>
      <c r="E722" s="161">
        <v>50</v>
      </c>
      <c r="F722" s="150">
        <v>0.12</v>
      </c>
      <c r="G722" s="169">
        <f t="shared" si="49"/>
        <v>2.3999999999999998E-3</v>
      </c>
      <c r="H722" s="129" t="s">
        <v>479</v>
      </c>
      <c r="I722" s="2">
        <f t="shared" si="50"/>
        <v>229</v>
      </c>
      <c r="O722" s="2"/>
    </row>
    <row r="723" spans="1:15" ht="15.75" hidden="1" customHeight="1" x14ac:dyDescent="0.25">
      <c r="A723" s="94" t="s">
        <v>306</v>
      </c>
      <c r="B723" s="752"/>
      <c r="C723" s="752"/>
      <c r="D723" s="752"/>
      <c r="E723" s="161">
        <v>50</v>
      </c>
      <c r="F723" s="162">
        <v>1.1000000000000001</v>
      </c>
      <c r="G723" s="169">
        <f t="shared" si="49"/>
        <v>2.2000000000000002E-2</v>
      </c>
      <c r="H723" s="171" t="s">
        <v>480</v>
      </c>
      <c r="I723" s="2">
        <f t="shared" si="50"/>
        <v>164</v>
      </c>
      <c r="O723" s="2"/>
    </row>
    <row r="724" spans="1:15" ht="15.75" hidden="1" customHeight="1" x14ac:dyDescent="0.25">
      <c r="A724" s="94" t="s">
        <v>272</v>
      </c>
      <c r="B724" s="752"/>
      <c r="C724" s="752"/>
      <c r="D724" s="752"/>
      <c r="E724" s="161">
        <v>50</v>
      </c>
      <c r="F724" s="162">
        <v>1.1000000000000001</v>
      </c>
      <c r="G724" s="169">
        <f t="shared" si="49"/>
        <v>2.2000000000000002E-2</v>
      </c>
      <c r="H724" s="171" t="s">
        <v>481</v>
      </c>
      <c r="I724" s="2">
        <f t="shared" si="50"/>
        <v>164</v>
      </c>
      <c r="O724" s="2"/>
    </row>
    <row r="725" spans="1:15" ht="15.75" hidden="1" customHeight="1" x14ac:dyDescent="0.25">
      <c r="A725" s="94" t="s">
        <v>278</v>
      </c>
      <c r="B725" s="752"/>
      <c r="C725" s="752"/>
      <c r="D725" s="752"/>
      <c r="E725" s="161">
        <v>50</v>
      </c>
      <c r="F725" s="150">
        <v>1.73</v>
      </c>
      <c r="G725" s="169">
        <f t="shared" si="49"/>
        <v>3.4599999999999999E-2</v>
      </c>
      <c r="H725" s="171" t="s">
        <v>480</v>
      </c>
      <c r="I725" s="2">
        <f t="shared" si="50"/>
        <v>164</v>
      </c>
      <c r="J725" s="88"/>
      <c r="O725" s="2"/>
    </row>
    <row r="726" spans="1:15" ht="15.75" hidden="1" customHeight="1" x14ac:dyDescent="0.25">
      <c r="A726" s="94" t="s">
        <v>279</v>
      </c>
      <c r="B726" s="752"/>
      <c r="C726" s="752"/>
      <c r="D726" s="752"/>
      <c r="E726" s="161">
        <v>50</v>
      </c>
      <c r="F726" s="150">
        <v>2.2400000000000002</v>
      </c>
      <c r="G726" s="169">
        <f t="shared" si="49"/>
        <v>4.4800000000000006E-2</v>
      </c>
      <c r="H726" s="171" t="s">
        <v>482</v>
      </c>
      <c r="I726" s="2">
        <f t="shared" si="50"/>
        <v>164</v>
      </c>
      <c r="O726" s="2"/>
    </row>
    <row r="727" spans="1:15" ht="15.75" hidden="1" customHeight="1" x14ac:dyDescent="0.25">
      <c r="A727" s="94" t="s">
        <v>280</v>
      </c>
      <c r="B727" s="752"/>
      <c r="C727" s="752"/>
      <c r="D727" s="752"/>
      <c r="E727" s="161">
        <v>50</v>
      </c>
      <c r="F727" s="150">
        <v>6.29</v>
      </c>
      <c r="G727" s="169">
        <f t="shared" si="49"/>
        <v>0.1258</v>
      </c>
      <c r="H727" s="171" t="s">
        <v>483</v>
      </c>
      <c r="I727" s="2">
        <f t="shared" si="50"/>
        <v>164</v>
      </c>
      <c r="O727" s="2"/>
    </row>
    <row r="728" spans="1:15" ht="15.75" hidden="1" customHeight="1" x14ac:dyDescent="0.25">
      <c r="A728" s="94" t="s">
        <v>281</v>
      </c>
      <c r="B728" s="752"/>
      <c r="C728" s="752"/>
      <c r="D728" s="752"/>
      <c r="E728" s="161">
        <v>50</v>
      </c>
      <c r="F728" s="150">
        <v>11.06</v>
      </c>
      <c r="G728" s="169">
        <f t="shared" si="49"/>
        <v>0.22120000000000001</v>
      </c>
      <c r="H728" s="171" t="s">
        <v>484</v>
      </c>
      <c r="I728" s="2">
        <f t="shared" si="50"/>
        <v>165</v>
      </c>
      <c r="O728" s="2"/>
    </row>
    <row r="729" spans="1:15" ht="15.75" hidden="1" customHeight="1" x14ac:dyDescent="0.25">
      <c r="A729" s="103" t="s">
        <v>282</v>
      </c>
      <c r="B729" s="753"/>
      <c r="C729" s="753"/>
      <c r="D729" s="753"/>
      <c r="E729" s="163">
        <v>50</v>
      </c>
      <c r="F729" s="153">
        <v>14.19</v>
      </c>
      <c r="G729" s="170">
        <f t="shared" si="49"/>
        <v>0.2838</v>
      </c>
      <c r="H729" s="172" t="s">
        <v>485</v>
      </c>
      <c r="I729" s="2">
        <f t="shared" si="50"/>
        <v>165</v>
      </c>
      <c r="O729" s="2"/>
    </row>
    <row r="730" spans="1:15" ht="15.75" hidden="1" customHeight="1" x14ac:dyDescent="0.25">
      <c r="A730" s="105"/>
      <c r="B730" s="105"/>
      <c r="C730" s="105"/>
      <c r="D730" s="105"/>
      <c r="E730" s="105"/>
      <c r="F730" s="105"/>
      <c r="G730" s="105"/>
      <c r="H730" s="105"/>
      <c r="O730" s="2"/>
    </row>
    <row r="731" spans="1:15" ht="15.75" hidden="1" customHeight="1" x14ac:dyDescent="0.25">
      <c r="A731" s="105"/>
      <c r="B731" s="105"/>
      <c r="C731" s="105"/>
      <c r="D731" s="105"/>
      <c r="E731" s="105"/>
      <c r="F731" s="105"/>
      <c r="G731" s="105"/>
      <c r="H731" s="105"/>
      <c r="O731" s="2"/>
    </row>
    <row r="732" spans="1:15" ht="15.75" hidden="1" customHeight="1" x14ac:dyDescent="0.25">
      <c r="A732" s="107" t="s">
        <v>26</v>
      </c>
      <c r="B732" s="91" t="s">
        <v>451</v>
      </c>
      <c r="C732" s="148" t="s">
        <v>321</v>
      </c>
      <c r="D732" s="148" t="s">
        <v>350</v>
      </c>
      <c r="E732" s="148" t="s">
        <v>464</v>
      </c>
      <c r="F732" s="148" t="s">
        <v>465</v>
      </c>
      <c r="G732" s="148" t="s">
        <v>466</v>
      </c>
      <c r="H732" s="93" t="s">
        <v>388</v>
      </c>
      <c r="O732" s="2"/>
    </row>
    <row r="733" spans="1:15" ht="15.75" hidden="1" customHeight="1" x14ac:dyDescent="0.25">
      <c r="A733" s="94" t="s">
        <v>284</v>
      </c>
      <c r="B733" s="912"/>
      <c r="C733" s="912" t="s">
        <v>458</v>
      </c>
      <c r="D733" s="925"/>
      <c r="E733" s="161">
        <v>590</v>
      </c>
      <c r="F733" s="150">
        <v>1.48</v>
      </c>
      <c r="G733" s="169">
        <f t="shared" ref="G733:G744" si="51">F733/E733</f>
        <v>2.5084745762711863E-3</v>
      </c>
      <c r="H733" s="129" t="s">
        <v>351</v>
      </c>
      <c r="I733" s="2">
        <f t="shared" ref="I733:I744" si="52">LEN(H733)</f>
        <v>184</v>
      </c>
      <c r="O733" s="2"/>
    </row>
    <row r="734" spans="1:15" ht="15.75" hidden="1" customHeight="1" x14ac:dyDescent="0.25">
      <c r="A734" s="94" t="s">
        <v>293</v>
      </c>
      <c r="B734" s="752"/>
      <c r="C734" s="752"/>
      <c r="D734" s="752"/>
      <c r="E734" s="161">
        <v>590</v>
      </c>
      <c r="F734" s="150">
        <v>1.48</v>
      </c>
      <c r="G734" s="169">
        <f t="shared" si="51"/>
        <v>2.5084745762711863E-3</v>
      </c>
      <c r="H734" s="129" t="s">
        <v>351</v>
      </c>
      <c r="I734" s="2">
        <f t="shared" si="52"/>
        <v>184</v>
      </c>
      <c r="O734" s="2"/>
    </row>
    <row r="735" spans="1:15" ht="15.75" hidden="1" customHeight="1" x14ac:dyDescent="0.25">
      <c r="A735" s="94" t="s">
        <v>302</v>
      </c>
      <c r="B735" s="752"/>
      <c r="C735" s="752"/>
      <c r="D735" s="752"/>
      <c r="E735" s="161">
        <v>590</v>
      </c>
      <c r="F735" s="150">
        <v>1.48</v>
      </c>
      <c r="G735" s="169">
        <f t="shared" si="51"/>
        <v>2.5084745762711863E-3</v>
      </c>
      <c r="H735" s="129" t="s">
        <v>351</v>
      </c>
      <c r="I735" s="2">
        <f t="shared" si="52"/>
        <v>184</v>
      </c>
      <c r="O735" s="2"/>
    </row>
    <row r="736" spans="1:15" ht="15.75" hidden="1" customHeight="1" x14ac:dyDescent="0.25">
      <c r="A736" s="94" t="s">
        <v>303</v>
      </c>
      <c r="B736" s="752"/>
      <c r="C736" s="752"/>
      <c r="D736" s="752"/>
      <c r="E736" s="161">
        <v>590</v>
      </c>
      <c r="F736" s="150">
        <v>2.86</v>
      </c>
      <c r="G736" s="169">
        <f t="shared" si="51"/>
        <v>4.8474576271186438E-3</v>
      </c>
      <c r="H736" s="88" t="s">
        <v>352</v>
      </c>
      <c r="I736" s="2">
        <f t="shared" si="52"/>
        <v>174</v>
      </c>
      <c r="O736" s="2"/>
    </row>
    <row r="737" spans="1:15" ht="15.75" hidden="1" customHeight="1" x14ac:dyDescent="0.25">
      <c r="A737" s="94" t="s">
        <v>305</v>
      </c>
      <c r="B737" s="752"/>
      <c r="C737" s="752"/>
      <c r="D737" s="752"/>
      <c r="E737" s="161">
        <v>590</v>
      </c>
      <c r="F737" s="150">
        <v>8.7100000000000009</v>
      </c>
      <c r="G737" s="169">
        <f t="shared" si="51"/>
        <v>1.4762711864406782E-2</v>
      </c>
      <c r="H737" s="88" t="s">
        <v>353</v>
      </c>
      <c r="I737" s="2">
        <f t="shared" si="52"/>
        <v>230</v>
      </c>
      <c r="O737" s="2"/>
    </row>
    <row r="738" spans="1:15" ht="15.75" hidden="1" customHeight="1" x14ac:dyDescent="0.25">
      <c r="A738" s="94" t="s">
        <v>306</v>
      </c>
      <c r="B738" s="752"/>
      <c r="C738" s="752"/>
      <c r="D738" s="752"/>
      <c r="E738" s="161">
        <v>590</v>
      </c>
      <c r="F738" s="150">
        <v>10.01</v>
      </c>
      <c r="G738" s="169">
        <f t="shared" si="51"/>
        <v>1.6966101694915255E-2</v>
      </c>
      <c r="H738" s="88" t="s">
        <v>354</v>
      </c>
      <c r="I738" s="2">
        <f t="shared" si="52"/>
        <v>231</v>
      </c>
      <c r="O738" s="2"/>
    </row>
    <row r="739" spans="1:15" ht="15.75" hidden="1" customHeight="1" x14ac:dyDescent="0.25">
      <c r="A739" s="94" t="s">
        <v>272</v>
      </c>
      <c r="B739" s="752"/>
      <c r="C739" s="752"/>
      <c r="D739" s="752"/>
      <c r="E739" s="161">
        <v>590</v>
      </c>
      <c r="F739" s="150">
        <v>29.73</v>
      </c>
      <c r="G739" s="169">
        <f t="shared" si="51"/>
        <v>5.0389830508474578E-2</v>
      </c>
      <c r="H739" s="88" t="s">
        <v>355</v>
      </c>
      <c r="I739" s="2">
        <f t="shared" si="52"/>
        <v>231</v>
      </c>
      <c r="O739" s="2"/>
    </row>
    <row r="740" spans="1:15" ht="15.75" hidden="1" customHeight="1" x14ac:dyDescent="0.25">
      <c r="A740" s="94" t="s">
        <v>278</v>
      </c>
      <c r="B740" s="752"/>
      <c r="C740" s="752"/>
      <c r="D740" s="752"/>
      <c r="E740" s="161">
        <v>590</v>
      </c>
      <c r="F740" s="150">
        <v>35.479999999999997</v>
      </c>
      <c r="G740" s="169">
        <f t="shared" si="51"/>
        <v>6.0135593220338977E-2</v>
      </c>
      <c r="H740" s="88" t="s">
        <v>486</v>
      </c>
      <c r="I740" s="2">
        <f t="shared" si="52"/>
        <v>186</v>
      </c>
      <c r="O740" s="2"/>
    </row>
    <row r="741" spans="1:15" ht="15.75" hidden="1" customHeight="1" x14ac:dyDescent="0.25">
      <c r="A741" s="94" t="s">
        <v>279</v>
      </c>
      <c r="B741" s="752"/>
      <c r="C741" s="752"/>
      <c r="D741" s="752"/>
      <c r="E741" s="161">
        <v>590</v>
      </c>
      <c r="F741" s="150">
        <v>40.72</v>
      </c>
      <c r="G741" s="169">
        <f t="shared" si="51"/>
        <v>6.9016949152542376E-2</v>
      </c>
      <c r="H741" s="88" t="s">
        <v>356</v>
      </c>
      <c r="I741" s="2">
        <f t="shared" si="52"/>
        <v>186</v>
      </c>
      <c r="O741" s="2"/>
    </row>
    <row r="742" spans="1:15" ht="15.75" hidden="1" customHeight="1" x14ac:dyDescent="0.25">
      <c r="A742" s="94" t="s">
        <v>280</v>
      </c>
      <c r="B742" s="752"/>
      <c r="C742" s="752"/>
      <c r="D742" s="752"/>
      <c r="E742" s="161">
        <v>590</v>
      </c>
      <c r="F742" s="150">
        <v>55.02</v>
      </c>
      <c r="G742" s="169">
        <f t="shared" si="51"/>
        <v>9.3254237288135602E-2</v>
      </c>
      <c r="H742" s="88" t="s">
        <v>357</v>
      </c>
      <c r="I742" s="2">
        <f t="shared" si="52"/>
        <v>186</v>
      </c>
      <c r="O742" s="2"/>
    </row>
    <row r="743" spans="1:15" ht="15.75" hidden="1" customHeight="1" x14ac:dyDescent="0.25">
      <c r="A743" s="94" t="s">
        <v>281</v>
      </c>
      <c r="B743" s="752"/>
      <c r="C743" s="752"/>
      <c r="D743" s="752"/>
      <c r="E743" s="161">
        <v>590</v>
      </c>
      <c r="F743" s="162">
        <v>57.14</v>
      </c>
      <c r="G743" s="169">
        <f t="shared" si="51"/>
        <v>9.6847457627118647E-2</v>
      </c>
      <c r="H743" s="88" t="s">
        <v>358</v>
      </c>
      <c r="I743" s="2">
        <f t="shared" si="52"/>
        <v>186</v>
      </c>
      <c r="O743" s="2"/>
    </row>
    <row r="744" spans="1:15" ht="15.75" hidden="1" customHeight="1" x14ac:dyDescent="0.25">
      <c r="A744" s="103" t="s">
        <v>282</v>
      </c>
      <c r="B744" s="753"/>
      <c r="C744" s="753"/>
      <c r="D744" s="753"/>
      <c r="E744" s="163">
        <v>590</v>
      </c>
      <c r="F744" s="153">
        <v>60.56</v>
      </c>
      <c r="G744" s="170">
        <f t="shared" si="51"/>
        <v>0.10264406779661017</v>
      </c>
      <c r="H744" s="118" t="s">
        <v>487</v>
      </c>
      <c r="I744" s="2">
        <f t="shared" si="52"/>
        <v>187</v>
      </c>
      <c r="O744" s="2"/>
    </row>
    <row r="745" spans="1:15" ht="15.75" hidden="1" customHeight="1" x14ac:dyDescent="0.25">
      <c r="A745" s="105"/>
      <c r="B745" s="105"/>
      <c r="C745" s="105"/>
      <c r="D745" s="105"/>
      <c r="E745" s="105"/>
      <c r="F745" s="105"/>
      <c r="G745" s="105"/>
      <c r="H745" s="105"/>
      <c r="O745" s="2"/>
    </row>
    <row r="746" spans="1:15" ht="15.75" hidden="1" customHeight="1" x14ac:dyDescent="0.25">
      <c r="A746" s="105"/>
      <c r="B746" s="105"/>
      <c r="C746" s="105"/>
      <c r="D746" s="105"/>
      <c r="E746" s="105"/>
      <c r="F746" s="105"/>
      <c r="G746" s="105"/>
      <c r="H746" s="105"/>
      <c r="O746" s="2"/>
    </row>
    <row r="747" spans="1:15" ht="15.75" hidden="1" customHeight="1" x14ac:dyDescent="0.25">
      <c r="A747" s="107" t="s">
        <v>26</v>
      </c>
      <c r="B747" s="91" t="s">
        <v>451</v>
      </c>
      <c r="C747" s="148" t="s">
        <v>321</v>
      </c>
      <c r="D747" s="148" t="s">
        <v>350</v>
      </c>
      <c r="E747" s="148" t="s">
        <v>464</v>
      </c>
      <c r="F747" s="148" t="s">
        <v>465</v>
      </c>
      <c r="G747" s="148" t="s">
        <v>466</v>
      </c>
      <c r="H747" s="93" t="s">
        <v>388</v>
      </c>
      <c r="O747" s="2"/>
    </row>
    <row r="748" spans="1:15" ht="15.75" hidden="1" customHeight="1" x14ac:dyDescent="0.25">
      <c r="A748" s="94" t="s">
        <v>284</v>
      </c>
      <c r="B748" s="912" t="s">
        <v>459</v>
      </c>
      <c r="C748" s="912" t="s">
        <v>460</v>
      </c>
      <c r="D748" s="924">
        <v>33</v>
      </c>
      <c r="E748" s="161">
        <v>0.73</v>
      </c>
      <c r="F748" s="150">
        <v>0.05</v>
      </c>
      <c r="G748" s="169">
        <f t="shared" ref="G748:G759" si="53">F748/E748</f>
        <v>6.8493150684931517E-2</v>
      </c>
      <c r="H748" s="129" t="s">
        <v>359</v>
      </c>
      <c r="I748" s="2">
        <f t="shared" ref="I748:I759" si="54">LEN(H748)</f>
        <v>149</v>
      </c>
      <c r="O748" s="2"/>
    </row>
    <row r="749" spans="1:15" ht="15.75" hidden="1" customHeight="1" x14ac:dyDescent="0.25">
      <c r="A749" s="94" t="s">
        <v>293</v>
      </c>
      <c r="B749" s="752"/>
      <c r="C749" s="752"/>
      <c r="D749" s="752"/>
      <c r="E749" s="161">
        <v>0.73</v>
      </c>
      <c r="F749" s="162">
        <v>0.1</v>
      </c>
      <c r="G749" s="169">
        <f t="shared" si="53"/>
        <v>0.13698630136986303</v>
      </c>
      <c r="H749" s="129" t="s">
        <v>360</v>
      </c>
      <c r="I749" s="2">
        <f t="shared" si="54"/>
        <v>183</v>
      </c>
      <c r="O749" s="2"/>
    </row>
    <row r="750" spans="1:15" ht="15.75" hidden="1" customHeight="1" x14ac:dyDescent="0.25">
      <c r="A750" s="94" t="s">
        <v>302</v>
      </c>
      <c r="B750" s="752"/>
      <c r="C750" s="752"/>
      <c r="D750" s="752"/>
      <c r="E750" s="161">
        <v>0.73</v>
      </c>
      <c r="F750" s="150">
        <v>0.14000000000000001</v>
      </c>
      <c r="G750" s="169">
        <f t="shared" si="53"/>
        <v>0.19178082191780824</v>
      </c>
      <c r="H750" s="129" t="s">
        <v>488</v>
      </c>
      <c r="I750" s="2">
        <f t="shared" si="54"/>
        <v>170</v>
      </c>
      <c r="O750" s="2"/>
    </row>
    <row r="751" spans="1:15" ht="15.75" hidden="1" customHeight="1" x14ac:dyDescent="0.25">
      <c r="A751" s="94" t="s">
        <v>303</v>
      </c>
      <c r="B751" s="752"/>
      <c r="C751" s="752"/>
      <c r="D751" s="752"/>
      <c r="E751" s="161">
        <v>0.73</v>
      </c>
      <c r="F751" s="162">
        <v>0.2</v>
      </c>
      <c r="G751" s="169">
        <f t="shared" si="53"/>
        <v>0.27397260273972607</v>
      </c>
      <c r="H751" s="129" t="s">
        <v>488</v>
      </c>
      <c r="I751" s="2">
        <f t="shared" si="54"/>
        <v>170</v>
      </c>
      <c r="O751" s="2"/>
    </row>
    <row r="752" spans="1:15" ht="15.75" hidden="1" customHeight="1" x14ac:dyDescent="0.25">
      <c r="A752" s="94" t="s">
        <v>305</v>
      </c>
      <c r="B752" s="752"/>
      <c r="C752" s="752"/>
      <c r="D752" s="752"/>
      <c r="E752" s="161">
        <v>0.73</v>
      </c>
      <c r="F752" s="150">
        <v>0.26</v>
      </c>
      <c r="G752" s="169">
        <f t="shared" si="53"/>
        <v>0.35616438356164387</v>
      </c>
      <c r="H752" s="129" t="s">
        <v>488</v>
      </c>
      <c r="I752" s="2">
        <f t="shared" si="54"/>
        <v>170</v>
      </c>
      <c r="O752" s="2"/>
    </row>
    <row r="753" spans="1:15" ht="15.75" hidden="1" customHeight="1" x14ac:dyDescent="0.25">
      <c r="A753" s="94" t="s">
        <v>306</v>
      </c>
      <c r="B753" s="752"/>
      <c r="C753" s="752"/>
      <c r="D753" s="752"/>
      <c r="E753" s="161">
        <v>0.73</v>
      </c>
      <c r="F753" s="150">
        <v>0.33</v>
      </c>
      <c r="G753" s="169">
        <f t="shared" si="53"/>
        <v>0.45205479452054798</v>
      </c>
      <c r="H753" s="88" t="s">
        <v>361</v>
      </c>
      <c r="I753" s="2">
        <f t="shared" si="54"/>
        <v>229</v>
      </c>
      <c r="O753" s="2"/>
    </row>
    <row r="754" spans="1:15" ht="15.75" hidden="1" customHeight="1" x14ac:dyDescent="0.25">
      <c r="A754" s="94" t="s">
        <v>272</v>
      </c>
      <c r="B754" s="752"/>
      <c r="C754" s="752"/>
      <c r="D754" s="752"/>
      <c r="E754" s="161">
        <v>0.73</v>
      </c>
      <c r="F754" s="150">
        <v>0.39</v>
      </c>
      <c r="G754" s="169">
        <f t="shared" si="53"/>
        <v>0.53424657534246578</v>
      </c>
      <c r="H754" s="88" t="s">
        <v>489</v>
      </c>
      <c r="I754" s="2">
        <f t="shared" si="54"/>
        <v>229</v>
      </c>
      <c r="O754" s="2"/>
    </row>
    <row r="755" spans="1:15" ht="15.75" hidden="1" customHeight="1" x14ac:dyDescent="0.25">
      <c r="A755" s="94" t="s">
        <v>278</v>
      </c>
      <c r="B755" s="752"/>
      <c r="C755" s="752"/>
      <c r="D755" s="752"/>
      <c r="E755" s="161">
        <v>0.73</v>
      </c>
      <c r="F755" s="150">
        <v>0.46</v>
      </c>
      <c r="G755" s="169">
        <f t="shared" si="53"/>
        <v>0.63013698630136994</v>
      </c>
      <c r="H755" s="88" t="s">
        <v>362</v>
      </c>
      <c r="I755" s="2">
        <f t="shared" si="54"/>
        <v>229</v>
      </c>
      <c r="O755" s="2"/>
    </row>
    <row r="756" spans="1:15" ht="15.75" hidden="1" customHeight="1" x14ac:dyDescent="0.25">
      <c r="A756" s="94" t="s">
        <v>279</v>
      </c>
      <c r="B756" s="752"/>
      <c r="C756" s="752"/>
      <c r="D756" s="752"/>
      <c r="E756" s="161">
        <v>0.73</v>
      </c>
      <c r="F756" s="150">
        <v>0.53</v>
      </c>
      <c r="G756" s="169">
        <f t="shared" si="53"/>
        <v>0.72602739726027399</v>
      </c>
      <c r="H756" s="88" t="s">
        <v>363</v>
      </c>
      <c r="I756" s="2">
        <f t="shared" si="54"/>
        <v>229</v>
      </c>
      <c r="O756" s="2"/>
    </row>
    <row r="757" spans="1:15" ht="15.75" hidden="1" customHeight="1" x14ac:dyDescent="0.25">
      <c r="A757" s="94" t="s">
        <v>280</v>
      </c>
      <c r="B757" s="752"/>
      <c r="C757" s="752"/>
      <c r="D757" s="752"/>
      <c r="E757" s="161">
        <v>0.73</v>
      </c>
      <c r="F757" s="162">
        <v>0.6</v>
      </c>
      <c r="G757" s="169">
        <f t="shared" si="53"/>
        <v>0.82191780821917804</v>
      </c>
      <c r="H757" s="88" t="s">
        <v>364</v>
      </c>
      <c r="I757" s="2">
        <f t="shared" si="54"/>
        <v>229</v>
      </c>
      <c r="O757" s="2"/>
    </row>
    <row r="758" spans="1:15" ht="15.75" hidden="1" customHeight="1" x14ac:dyDescent="0.25">
      <c r="A758" s="94" t="s">
        <v>281</v>
      </c>
      <c r="B758" s="752"/>
      <c r="C758" s="752"/>
      <c r="D758" s="752"/>
      <c r="E758" s="161">
        <v>0.73</v>
      </c>
      <c r="F758" s="162">
        <v>0.67</v>
      </c>
      <c r="G758" s="169">
        <f t="shared" si="53"/>
        <v>0.91780821917808231</v>
      </c>
      <c r="H758" s="88" t="s">
        <v>365</v>
      </c>
      <c r="I758" s="2">
        <f t="shared" si="54"/>
        <v>229</v>
      </c>
      <c r="O758" s="2"/>
    </row>
    <row r="759" spans="1:15" ht="15.75" hidden="1" customHeight="1" x14ac:dyDescent="0.25">
      <c r="A759" s="103" t="s">
        <v>282</v>
      </c>
      <c r="B759" s="753"/>
      <c r="C759" s="753"/>
      <c r="D759" s="753"/>
      <c r="E759" s="163">
        <v>0.73</v>
      </c>
      <c r="F759" s="153">
        <v>0.73</v>
      </c>
      <c r="G759" s="170">
        <f t="shared" si="53"/>
        <v>1</v>
      </c>
      <c r="H759" s="104" t="s">
        <v>490</v>
      </c>
      <c r="I759" s="2">
        <f t="shared" si="54"/>
        <v>197</v>
      </c>
      <c r="O759" s="2"/>
    </row>
    <row r="760" spans="1:15" ht="15.75" hidden="1" customHeight="1" x14ac:dyDescent="0.25">
      <c r="A760" s="105"/>
      <c r="B760" s="106"/>
      <c r="C760" s="106"/>
      <c r="D760" s="167"/>
      <c r="E760" s="155"/>
      <c r="F760" s="105"/>
      <c r="G760" s="168"/>
      <c r="H760" s="105"/>
      <c r="I760" s="2"/>
      <c r="O760" s="2"/>
    </row>
    <row r="761" spans="1:15" ht="15.75" hidden="1" customHeight="1" x14ac:dyDescent="0.25">
      <c r="O761" s="2"/>
    </row>
    <row r="762" spans="1:15" ht="15.75" hidden="1" customHeight="1" x14ac:dyDescent="0.3">
      <c r="A762" s="927" t="s">
        <v>491</v>
      </c>
      <c r="B762" s="836"/>
      <c r="C762" s="836"/>
      <c r="D762" s="836"/>
      <c r="E762" s="836"/>
      <c r="F762" s="836"/>
      <c r="G762" s="836"/>
      <c r="H762" s="837"/>
      <c r="O762" s="2"/>
    </row>
    <row r="763" spans="1:15" ht="15.75" hidden="1" customHeight="1" x14ac:dyDescent="0.25">
      <c r="A763" s="107" t="s">
        <v>27</v>
      </c>
      <c r="B763" s="91" t="s">
        <v>451</v>
      </c>
      <c r="C763" s="148" t="s">
        <v>321</v>
      </c>
      <c r="D763" s="148" t="s">
        <v>380</v>
      </c>
      <c r="E763" s="148" t="s">
        <v>492</v>
      </c>
      <c r="F763" s="148" t="s">
        <v>493</v>
      </c>
      <c r="G763" s="148" t="s">
        <v>494</v>
      </c>
      <c r="H763" s="93" t="s">
        <v>388</v>
      </c>
      <c r="O763" s="2"/>
    </row>
    <row r="764" spans="1:15" ht="15.75" hidden="1" customHeight="1" x14ac:dyDescent="0.25">
      <c r="A764" s="81" t="s">
        <v>284</v>
      </c>
      <c r="B764" s="912" t="s">
        <v>455</v>
      </c>
      <c r="C764" s="912" t="s">
        <v>456</v>
      </c>
      <c r="D764" s="924">
        <v>33</v>
      </c>
      <c r="E764" s="173">
        <v>64</v>
      </c>
      <c r="F764" s="174">
        <v>0.52190000000000003</v>
      </c>
      <c r="G764" s="175">
        <f t="shared" ref="G764:G775" si="55">F764/E764</f>
        <v>8.1546875000000005E-3</v>
      </c>
      <c r="H764" s="123" t="s">
        <v>371</v>
      </c>
      <c r="I764" s="2">
        <f t="shared" ref="I764:I775" si="56">LEN(H764)</f>
        <v>200</v>
      </c>
      <c r="O764" s="2"/>
    </row>
    <row r="765" spans="1:15" ht="15.75" hidden="1" customHeight="1" x14ac:dyDescent="0.25">
      <c r="A765" s="81" t="s">
        <v>293</v>
      </c>
      <c r="B765" s="752"/>
      <c r="C765" s="752"/>
      <c r="D765" s="752"/>
      <c r="E765" s="149">
        <v>64</v>
      </c>
      <c r="F765" s="122">
        <v>0.52590000000000003</v>
      </c>
      <c r="G765" s="176">
        <f t="shared" si="55"/>
        <v>8.2171875000000005E-3</v>
      </c>
      <c r="H765" s="129" t="s">
        <v>495</v>
      </c>
      <c r="I765" s="2">
        <f t="shared" si="56"/>
        <v>254</v>
      </c>
      <c r="O765" s="2"/>
    </row>
    <row r="766" spans="1:15" ht="15.75" hidden="1" customHeight="1" x14ac:dyDescent="0.25">
      <c r="A766" s="81" t="s">
        <v>302</v>
      </c>
      <c r="B766" s="752"/>
      <c r="C766" s="752"/>
      <c r="D766" s="752"/>
      <c r="E766" s="177">
        <v>64</v>
      </c>
      <c r="F766" s="122">
        <v>0.53180000000000005</v>
      </c>
      <c r="G766" s="176">
        <f t="shared" si="55"/>
        <v>8.3093750000000008E-3</v>
      </c>
      <c r="H766" s="129" t="s">
        <v>496</v>
      </c>
      <c r="I766" s="2">
        <f t="shared" si="56"/>
        <v>253</v>
      </c>
      <c r="O766" s="2"/>
    </row>
    <row r="767" spans="1:15" ht="15.75" hidden="1" customHeight="1" x14ac:dyDescent="0.25">
      <c r="A767" s="81" t="s">
        <v>303</v>
      </c>
      <c r="B767" s="752"/>
      <c r="C767" s="752"/>
      <c r="D767" s="752"/>
      <c r="E767" s="149">
        <v>64</v>
      </c>
      <c r="F767" s="122">
        <v>0.53849999999999998</v>
      </c>
      <c r="G767" s="176">
        <f t="shared" si="55"/>
        <v>8.4140624999999997E-3</v>
      </c>
      <c r="H767" s="129" t="s">
        <v>497</v>
      </c>
      <c r="I767" s="2">
        <f t="shared" si="56"/>
        <v>253</v>
      </c>
      <c r="O767" s="2"/>
    </row>
    <row r="768" spans="1:15" ht="15.75" hidden="1" customHeight="1" x14ac:dyDescent="0.25">
      <c r="A768" s="81" t="s">
        <v>305</v>
      </c>
      <c r="B768" s="752"/>
      <c r="C768" s="752"/>
      <c r="D768" s="752"/>
      <c r="E768" s="149">
        <v>64</v>
      </c>
      <c r="F768" s="122">
        <v>0.54500000000000004</v>
      </c>
      <c r="G768" s="122">
        <f t="shared" si="55"/>
        <v>8.5156250000000006E-3</v>
      </c>
      <c r="H768" s="129" t="s">
        <v>498</v>
      </c>
      <c r="I768" s="2">
        <f t="shared" si="56"/>
        <v>253</v>
      </c>
      <c r="O768" s="2"/>
    </row>
    <row r="769" spans="1:15" ht="15.75" hidden="1" customHeight="1" x14ac:dyDescent="0.25">
      <c r="A769" s="81" t="s">
        <v>306</v>
      </c>
      <c r="B769" s="752"/>
      <c r="C769" s="752"/>
      <c r="D769" s="752"/>
      <c r="E769" s="149">
        <v>64</v>
      </c>
      <c r="F769" s="122">
        <v>0.55449999999999999</v>
      </c>
      <c r="G769" s="122">
        <f t="shared" si="55"/>
        <v>8.6640624999999999E-3</v>
      </c>
      <c r="H769" s="129" t="s">
        <v>499</v>
      </c>
      <c r="I769" s="2">
        <f t="shared" si="56"/>
        <v>253</v>
      </c>
      <c r="O769" s="2"/>
    </row>
    <row r="770" spans="1:15" ht="15.75" hidden="1" customHeight="1" x14ac:dyDescent="0.25">
      <c r="A770" s="81" t="s">
        <v>272</v>
      </c>
      <c r="B770" s="752"/>
      <c r="C770" s="752"/>
      <c r="D770" s="752"/>
      <c r="E770" s="149">
        <v>64</v>
      </c>
      <c r="F770" s="122">
        <v>0.56730000000000003</v>
      </c>
      <c r="G770" s="122">
        <f t="shared" si="55"/>
        <v>8.8640625000000004E-3</v>
      </c>
      <c r="H770" s="129" t="s">
        <v>499</v>
      </c>
      <c r="I770" s="2">
        <f t="shared" si="56"/>
        <v>253</v>
      </c>
      <c r="O770" s="2"/>
    </row>
    <row r="771" spans="1:15" ht="15.75" hidden="1" customHeight="1" x14ac:dyDescent="0.25">
      <c r="A771" s="81" t="s">
        <v>278</v>
      </c>
      <c r="B771" s="752"/>
      <c r="C771" s="752"/>
      <c r="D771" s="752"/>
      <c r="E771" s="149">
        <v>64</v>
      </c>
      <c r="F771" s="122">
        <v>0.57850000000000001</v>
      </c>
      <c r="G771" s="122">
        <f t="shared" si="55"/>
        <v>9.0390625000000002E-3</v>
      </c>
      <c r="H771" s="129" t="s">
        <v>500</v>
      </c>
      <c r="I771" s="2">
        <f t="shared" si="56"/>
        <v>254</v>
      </c>
      <c r="O771" s="2"/>
    </row>
    <row r="772" spans="1:15" ht="15.75" hidden="1" customHeight="1" x14ac:dyDescent="0.25">
      <c r="A772" s="81" t="s">
        <v>279</v>
      </c>
      <c r="B772" s="752"/>
      <c r="C772" s="752"/>
      <c r="D772" s="752"/>
      <c r="E772" s="149">
        <v>64</v>
      </c>
      <c r="F772" s="122">
        <v>0.59060000000000001</v>
      </c>
      <c r="G772" s="122">
        <f t="shared" si="55"/>
        <v>9.2281250000000002E-3</v>
      </c>
      <c r="H772" s="129" t="s">
        <v>501</v>
      </c>
      <c r="I772" s="2">
        <f t="shared" si="56"/>
        <v>245</v>
      </c>
      <c r="O772" s="2"/>
    </row>
    <row r="773" spans="1:15" ht="15.75" hidden="1" customHeight="1" x14ac:dyDescent="0.25">
      <c r="A773" s="81" t="s">
        <v>280</v>
      </c>
      <c r="B773" s="752"/>
      <c r="C773" s="752"/>
      <c r="D773" s="752"/>
      <c r="E773" s="149">
        <v>64</v>
      </c>
      <c r="F773" s="122">
        <v>0.60240000000000005</v>
      </c>
      <c r="G773" s="122">
        <f t="shared" si="55"/>
        <v>9.4125000000000007E-3</v>
      </c>
      <c r="H773" s="129" t="s">
        <v>502</v>
      </c>
      <c r="I773" s="2">
        <f t="shared" si="56"/>
        <v>241</v>
      </c>
      <c r="O773" s="2"/>
    </row>
    <row r="774" spans="1:15" ht="15.75" hidden="1" customHeight="1" x14ac:dyDescent="0.25">
      <c r="A774" s="81" t="s">
        <v>281</v>
      </c>
      <c r="B774" s="752"/>
      <c r="C774" s="752"/>
      <c r="D774" s="752"/>
      <c r="E774" s="149">
        <v>64</v>
      </c>
      <c r="F774" s="122">
        <v>0.61329999999999996</v>
      </c>
      <c r="G774" s="122">
        <f t="shared" si="55"/>
        <v>9.5828124999999993E-3</v>
      </c>
      <c r="H774" s="129" t="s">
        <v>503</v>
      </c>
      <c r="I774" s="2">
        <f t="shared" si="56"/>
        <v>242</v>
      </c>
      <c r="O774" s="2"/>
    </row>
    <row r="775" spans="1:15" ht="15.75" hidden="1" customHeight="1" x14ac:dyDescent="0.25">
      <c r="A775" s="82" t="s">
        <v>282</v>
      </c>
      <c r="B775" s="753"/>
      <c r="C775" s="753"/>
      <c r="D775" s="753"/>
      <c r="E775" s="178">
        <v>64</v>
      </c>
      <c r="F775" s="125">
        <v>0.62609999999999999</v>
      </c>
      <c r="G775" s="125">
        <f t="shared" si="55"/>
        <v>9.7828124999999998E-3</v>
      </c>
      <c r="H775" s="130" t="s">
        <v>504</v>
      </c>
      <c r="I775" s="2">
        <f t="shared" si="56"/>
        <v>242</v>
      </c>
      <c r="O775" s="2"/>
    </row>
    <row r="776" spans="1:15" ht="15.75" hidden="1" customHeight="1" x14ac:dyDescent="0.25">
      <c r="O776" s="2"/>
    </row>
    <row r="777" spans="1:15" ht="15.75" hidden="1" customHeight="1" x14ac:dyDescent="0.25">
      <c r="O777" s="2"/>
    </row>
    <row r="778" spans="1:15" ht="15.75" hidden="1" customHeight="1" x14ac:dyDescent="0.25">
      <c r="A778" s="107" t="s">
        <v>27</v>
      </c>
      <c r="B778" s="91" t="s">
        <v>451</v>
      </c>
      <c r="C778" s="148" t="s">
        <v>321</v>
      </c>
      <c r="D778" s="148" t="s">
        <v>380</v>
      </c>
      <c r="E778" s="148" t="s">
        <v>492</v>
      </c>
      <c r="F778" s="148" t="s">
        <v>493</v>
      </c>
      <c r="G778" s="148" t="s">
        <v>494</v>
      </c>
      <c r="H778" s="93" t="s">
        <v>388</v>
      </c>
      <c r="O778" s="2"/>
    </row>
    <row r="779" spans="1:15" ht="15.75" hidden="1" customHeight="1" x14ac:dyDescent="0.25">
      <c r="A779" s="81" t="s">
        <v>284</v>
      </c>
      <c r="B779" s="912" t="s">
        <v>457</v>
      </c>
      <c r="C779" s="912" t="s">
        <v>458</v>
      </c>
      <c r="D779" s="924">
        <v>34</v>
      </c>
      <c r="E779" s="161">
        <v>150</v>
      </c>
      <c r="F779" s="119">
        <v>0</v>
      </c>
      <c r="G779" s="122">
        <v>0</v>
      </c>
      <c r="H779" s="88" t="s">
        <v>505</v>
      </c>
      <c r="I779" s="2">
        <f t="shared" ref="I779:I790" si="57">LEN(H779)</f>
        <v>168</v>
      </c>
      <c r="O779" s="2"/>
    </row>
    <row r="780" spans="1:15" ht="15.75" hidden="1" customHeight="1" x14ac:dyDescent="0.25">
      <c r="A780" s="81" t="s">
        <v>293</v>
      </c>
      <c r="B780" s="752"/>
      <c r="C780" s="752"/>
      <c r="D780" s="752"/>
      <c r="E780" s="161">
        <v>150</v>
      </c>
      <c r="F780" s="119">
        <v>0</v>
      </c>
      <c r="G780" s="122">
        <v>0</v>
      </c>
      <c r="H780" s="88" t="s">
        <v>506</v>
      </c>
      <c r="I780" s="2">
        <f t="shared" si="57"/>
        <v>161</v>
      </c>
      <c r="O780" s="2"/>
    </row>
    <row r="781" spans="1:15" ht="15.75" hidden="1" customHeight="1" x14ac:dyDescent="0.25">
      <c r="A781" s="81" t="s">
        <v>302</v>
      </c>
      <c r="B781" s="752"/>
      <c r="C781" s="752"/>
      <c r="D781" s="752"/>
      <c r="E781" s="161">
        <v>150</v>
      </c>
      <c r="F781" s="119">
        <v>3.2</v>
      </c>
      <c r="G781" s="122">
        <f t="shared" ref="G781:G790" si="58">F781/E781</f>
        <v>2.1333333333333336E-2</v>
      </c>
      <c r="H781" s="88" t="s">
        <v>507</v>
      </c>
      <c r="I781" s="2">
        <f t="shared" si="57"/>
        <v>95</v>
      </c>
      <c r="O781" s="2"/>
    </row>
    <row r="782" spans="1:15" ht="15.75" hidden="1" customHeight="1" x14ac:dyDescent="0.25">
      <c r="A782" s="81" t="s">
        <v>303</v>
      </c>
      <c r="B782" s="752"/>
      <c r="C782" s="752"/>
      <c r="D782" s="752"/>
      <c r="E782" s="161">
        <v>150</v>
      </c>
      <c r="F782" s="119">
        <v>3.3</v>
      </c>
      <c r="G782" s="122">
        <f t="shared" si="58"/>
        <v>2.1999999999999999E-2</v>
      </c>
      <c r="H782" s="88" t="s">
        <v>508</v>
      </c>
      <c r="I782" s="2">
        <f t="shared" si="57"/>
        <v>95</v>
      </c>
      <c r="O782" s="2"/>
    </row>
    <row r="783" spans="1:15" ht="15.75" hidden="1" customHeight="1" x14ac:dyDescent="0.25">
      <c r="A783" s="81" t="s">
        <v>305</v>
      </c>
      <c r="B783" s="752"/>
      <c r="C783" s="752"/>
      <c r="D783" s="752"/>
      <c r="E783" s="161">
        <v>150</v>
      </c>
      <c r="F783" s="96">
        <v>4.2699999999999996</v>
      </c>
      <c r="G783" s="122">
        <f t="shared" si="58"/>
        <v>2.8466666666666664E-2</v>
      </c>
      <c r="H783" s="88" t="s">
        <v>509</v>
      </c>
      <c r="I783" s="2">
        <f t="shared" si="57"/>
        <v>94</v>
      </c>
      <c r="O783" s="2"/>
    </row>
    <row r="784" spans="1:15" ht="15.75" hidden="1" customHeight="1" x14ac:dyDescent="0.25">
      <c r="A784" s="81" t="s">
        <v>306</v>
      </c>
      <c r="B784" s="752"/>
      <c r="C784" s="752"/>
      <c r="D784" s="752"/>
      <c r="E784" s="161">
        <v>150</v>
      </c>
      <c r="F784" s="96">
        <v>4.3600000000000003</v>
      </c>
      <c r="G784" s="122">
        <f t="shared" si="58"/>
        <v>2.9066666666666668E-2</v>
      </c>
      <c r="H784" s="88" t="s">
        <v>510</v>
      </c>
      <c r="I784" s="2">
        <f t="shared" si="57"/>
        <v>95</v>
      </c>
      <c r="O784" s="2"/>
    </row>
    <row r="785" spans="1:15" ht="15.75" hidden="1" customHeight="1" x14ac:dyDescent="0.25">
      <c r="A785" s="81" t="s">
        <v>272</v>
      </c>
      <c r="B785" s="752"/>
      <c r="C785" s="752"/>
      <c r="D785" s="752"/>
      <c r="E785" s="161">
        <v>150</v>
      </c>
      <c r="F785" s="96">
        <v>16.89</v>
      </c>
      <c r="G785" s="122">
        <f t="shared" si="58"/>
        <v>0.11260000000000001</v>
      </c>
      <c r="H785" s="88" t="s">
        <v>511</v>
      </c>
      <c r="I785" s="2">
        <f t="shared" si="57"/>
        <v>96</v>
      </c>
      <c r="O785" s="2"/>
    </row>
    <row r="786" spans="1:15" ht="15.75" hidden="1" customHeight="1" x14ac:dyDescent="0.25">
      <c r="A786" s="81" t="s">
        <v>278</v>
      </c>
      <c r="B786" s="752"/>
      <c r="C786" s="752"/>
      <c r="D786" s="752"/>
      <c r="E786" s="161">
        <v>150</v>
      </c>
      <c r="F786" s="96">
        <v>17.02</v>
      </c>
      <c r="G786" s="122">
        <f t="shared" si="58"/>
        <v>0.11346666666666666</v>
      </c>
      <c r="H786" s="88" t="s">
        <v>512</v>
      </c>
      <c r="I786" s="2">
        <f t="shared" si="57"/>
        <v>97</v>
      </c>
      <c r="O786" s="2"/>
    </row>
    <row r="787" spans="1:15" ht="15.75" hidden="1" customHeight="1" x14ac:dyDescent="0.25">
      <c r="A787" s="81" t="s">
        <v>279</v>
      </c>
      <c r="B787" s="752"/>
      <c r="C787" s="752"/>
      <c r="D787" s="752"/>
      <c r="E787" s="161">
        <v>150</v>
      </c>
      <c r="F787" s="96">
        <v>24.46</v>
      </c>
      <c r="G787" s="122">
        <f t="shared" si="58"/>
        <v>0.16306666666666667</v>
      </c>
      <c r="H787" s="88" t="s">
        <v>513</v>
      </c>
      <c r="I787" s="2">
        <f t="shared" si="57"/>
        <v>100</v>
      </c>
      <c r="O787" s="2"/>
    </row>
    <row r="788" spans="1:15" ht="15.75" hidden="1" customHeight="1" x14ac:dyDescent="0.25">
      <c r="A788" s="81" t="s">
        <v>280</v>
      </c>
      <c r="B788" s="752"/>
      <c r="C788" s="752"/>
      <c r="D788" s="752"/>
      <c r="E788" s="161">
        <v>150</v>
      </c>
      <c r="F788" s="96">
        <v>27.18</v>
      </c>
      <c r="G788" s="122">
        <f t="shared" si="58"/>
        <v>0.1812</v>
      </c>
      <c r="H788" s="88" t="s">
        <v>514</v>
      </c>
      <c r="I788" s="2">
        <f t="shared" si="57"/>
        <v>98</v>
      </c>
      <c r="O788" s="2"/>
    </row>
    <row r="789" spans="1:15" ht="15.75" hidden="1" customHeight="1" x14ac:dyDescent="0.25">
      <c r="A789" s="81" t="s">
        <v>281</v>
      </c>
      <c r="B789" s="752"/>
      <c r="C789" s="752"/>
      <c r="D789" s="752"/>
      <c r="E789" s="161">
        <v>150</v>
      </c>
      <c r="F789" s="96">
        <v>28.15</v>
      </c>
      <c r="G789" s="122">
        <f t="shared" si="58"/>
        <v>0.18766666666666665</v>
      </c>
      <c r="H789" s="88" t="s">
        <v>515</v>
      </c>
      <c r="I789" s="2">
        <f t="shared" si="57"/>
        <v>100</v>
      </c>
      <c r="O789" s="2"/>
    </row>
    <row r="790" spans="1:15" ht="15.75" hidden="1" customHeight="1" x14ac:dyDescent="0.25">
      <c r="A790" s="82" t="s">
        <v>282</v>
      </c>
      <c r="B790" s="753"/>
      <c r="C790" s="753"/>
      <c r="D790" s="753"/>
      <c r="E790" s="164">
        <v>150</v>
      </c>
      <c r="F790" s="116">
        <v>30.66</v>
      </c>
      <c r="G790" s="125">
        <f t="shared" si="58"/>
        <v>0.2044</v>
      </c>
      <c r="H790" s="127" t="s">
        <v>516</v>
      </c>
      <c r="I790" s="2">
        <f t="shared" si="57"/>
        <v>100</v>
      </c>
      <c r="O790" s="2"/>
    </row>
    <row r="791" spans="1:15" ht="15.75" hidden="1" customHeight="1" x14ac:dyDescent="0.25">
      <c r="O791" s="2"/>
    </row>
    <row r="792" spans="1:15" ht="15.75" hidden="1" customHeight="1" x14ac:dyDescent="0.25">
      <c r="O792" s="2"/>
    </row>
    <row r="793" spans="1:15" ht="15.75" hidden="1" customHeight="1" x14ac:dyDescent="0.25">
      <c r="A793" s="107" t="s">
        <v>27</v>
      </c>
      <c r="B793" s="91" t="s">
        <v>451</v>
      </c>
      <c r="C793" s="148" t="s">
        <v>321</v>
      </c>
      <c r="D793" s="148" t="s">
        <v>380</v>
      </c>
      <c r="E793" s="148" t="s">
        <v>492</v>
      </c>
      <c r="F793" s="148" t="s">
        <v>493</v>
      </c>
      <c r="G793" s="148" t="s">
        <v>494</v>
      </c>
      <c r="H793" s="93" t="s">
        <v>388</v>
      </c>
      <c r="O793" s="2"/>
    </row>
    <row r="794" spans="1:15" ht="15.75" hidden="1" customHeight="1" x14ac:dyDescent="0.25">
      <c r="A794" s="81" t="s">
        <v>284</v>
      </c>
      <c r="B794" s="912"/>
      <c r="C794" s="912" t="s">
        <v>458</v>
      </c>
      <c r="D794" s="925"/>
      <c r="E794" s="161">
        <v>590</v>
      </c>
      <c r="F794" s="119">
        <v>0</v>
      </c>
      <c r="G794" s="122">
        <v>0</v>
      </c>
      <c r="H794" s="88" t="s">
        <v>517</v>
      </c>
      <c r="I794" s="2">
        <f t="shared" ref="I794:I805" si="59">LEN(H794)</f>
        <v>181</v>
      </c>
      <c r="O794" s="2"/>
    </row>
    <row r="795" spans="1:15" ht="15.75" hidden="1" customHeight="1" x14ac:dyDescent="0.25">
      <c r="A795" s="81" t="s">
        <v>293</v>
      </c>
      <c r="B795" s="752"/>
      <c r="C795" s="752"/>
      <c r="D795" s="752"/>
      <c r="E795" s="161">
        <v>590</v>
      </c>
      <c r="F795" s="119">
        <v>0</v>
      </c>
      <c r="G795" s="122">
        <v>0</v>
      </c>
      <c r="H795" s="88" t="s">
        <v>518</v>
      </c>
      <c r="I795" s="2">
        <f t="shared" si="59"/>
        <v>183</v>
      </c>
      <c r="O795" s="2"/>
    </row>
    <row r="796" spans="1:15" ht="15.75" hidden="1" customHeight="1" x14ac:dyDescent="0.25">
      <c r="A796" s="81" t="s">
        <v>302</v>
      </c>
      <c r="B796" s="752"/>
      <c r="C796" s="752"/>
      <c r="D796" s="752"/>
      <c r="E796" s="161">
        <v>590</v>
      </c>
      <c r="F796" s="96">
        <v>7.12</v>
      </c>
      <c r="G796" s="122">
        <f t="shared" ref="G796:G805" si="60">F796/E796</f>
        <v>1.2067796610169492E-2</v>
      </c>
      <c r="H796" s="88" t="s">
        <v>519</v>
      </c>
      <c r="I796" s="2">
        <f t="shared" si="59"/>
        <v>79</v>
      </c>
      <c r="O796" s="2"/>
    </row>
    <row r="797" spans="1:15" ht="15.75" hidden="1" customHeight="1" x14ac:dyDescent="0.25">
      <c r="A797" s="81" t="s">
        <v>303</v>
      </c>
      <c r="B797" s="752"/>
      <c r="C797" s="752"/>
      <c r="D797" s="752"/>
      <c r="E797" s="161">
        <v>590</v>
      </c>
      <c r="F797" s="96">
        <v>7.12</v>
      </c>
      <c r="G797" s="122">
        <f t="shared" si="60"/>
        <v>1.2067796610169492E-2</v>
      </c>
      <c r="H797" s="88" t="s">
        <v>520</v>
      </c>
      <c r="I797" s="2">
        <f t="shared" si="59"/>
        <v>79</v>
      </c>
      <c r="O797" s="2"/>
    </row>
    <row r="798" spans="1:15" ht="15.75" hidden="1" customHeight="1" x14ac:dyDescent="0.25">
      <c r="A798" s="81" t="s">
        <v>305</v>
      </c>
      <c r="B798" s="752"/>
      <c r="C798" s="752"/>
      <c r="D798" s="752"/>
      <c r="E798" s="161">
        <v>590</v>
      </c>
      <c r="F798" s="96">
        <v>17.55</v>
      </c>
      <c r="G798" s="122">
        <f t="shared" si="60"/>
        <v>2.974576271186441E-2</v>
      </c>
      <c r="H798" s="88" t="s">
        <v>521</v>
      </c>
      <c r="I798" s="2">
        <f t="shared" si="59"/>
        <v>79</v>
      </c>
      <c r="O798" s="2"/>
    </row>
    <row r="799" spans="1:15" ht="15.75" hidden="1" customHeight="1" x14ac:dyDescent="0.25">
      <c r="A799" s="81" t="s">
        <v>306</v>
      </c>
      <c r="B799" s="752"/>
      <c r="C799" s="752"/>
      <c r="D799" s="752"/>
      <c r="E799" s="161">
        <v>590</v>
      </c>
      <c r="F799" s="96">
        <v>24.52</v>
      </c>
      <c r="G799" s="122">
        <f t="shared" si="60"/>
        <v>4.1559322033898304E-2</v>
      </c>
      <c r="H799" s="88" t="s">
        <v>522</v>
      </c>
      <c r="I799" s="2">
        <f t="shared" si="59"/>
        <v>80</v>
      </c>
      <c r="O799" s="2"/>
    </row>
    <row r="800" spans="1:15" ht="15.75" hidden="1" customHeight="1" x14ac:dyDescent="0.25">
      <c r="A800" s="81" t="s">
        <v>272</v>
      </c>
      <c r="B800" s="752"/>
      <c r="C800" s="752"/>
      <c r="D800" s="752"/>
      <c r="E800" s="161">
        <v>590</v>
      </c>
      <c r="F800" s="96">
        <v>27.66</v>
      </c>
      <c r="G800" s="122">
        <f t="shared" si="60"/>
        <v>4.688135593220339E-2</v>
      </c>
      <c r="H800" s="88" t="s">
        <v>523</v>
      </c>
      <c r="I800" s="2">
        <f t="shared" si="59"/>
        <v>80</v>
      </c>
      <c r="O800" s="2"/>
    </row>
    <row r="801" spans="1:15" ht="15.75" hidden="1" customHeight="1" x14ac:dyDescent="0.25">
      <c r="A801" s="81" t="s">
        <v>278</v>
      </c>
      <c r="B801" s="752"/>
      <c r="C801" s="752"/>
      <c r="D801" s="752"/>
      <c r="E801" s="161">
        <v>590</v>
      </c>
      <c r="F801" s="96">
        <v>35.159999999999997</v>
      </c>
      <c r="G801" s="122">
        <f t="shared" si="60"/>
        <v>5.9593220338983045E-2</v>
      </c>
      <c r="H801" s="88" t="s">
        <v>524</v>
      </c>
      <c r="I801" s="2">
        <f t="shared" si="59"/>
        <v>81</v>
      </c>
      <c r="O801" s="2"/>
    </row>
    <row r="802" spans="1:15" ht="15.75" hidden="1" customHeight="1" x14ac:dyDescent="0.25">
      <c r="A802" s="81" t="s">
        <v>279</v>
      </c>
      <c r="B802" s="752"/>
      <c r="C802" s="752"/>
      <c r="D802" s="752"/>
      <c r="E802" s="161">
        <v>590</v>
      </c>
      <c r="F802" s="96">
        <v>35.159999999999997</v>
      </c>
      <c r="G802" s="122">
        <f t="shared" si="60"/>
        <v>5.9593220338983045E-2</v>
      </c>
      <c r="H802" s="88" t="s">
        <v>525</v>
      </c>
      <c r="I802" s="2">
        <f t="shared" si="59"/>
        <v>85</v>
      </c>
      <c r="O802" s="2"/>
    </row>
    <row r="803" spans="1:15" ht="15.75" hidden="1" customHeight="1" x14ac:dyDescent="0.25">
      <c r="A803" s="81" t="s">
        <v>280</v>
      </c>
      <c r="B803" s="752"/>
      <c r="C803" s="752"/>
      <c r="D803" s="752"/>
      <c r="E803" s="161">
        <v>590</v>
      </c>
      <c r="F803" s="96">
        <v>68.36</v>
      </c>
      <c r="G803" s="122">
        <f t="shared" si="60"/>
        <v>0.11586440677966102</v>
      </c>
      <c r="H803" s="88" t="s">
        <v>526</v>
      </c>
      <c r="I803" s="2">
        <f t="shared" si="59"/>
        <v>82</v>
      </c>
      <c r="O803" s="2"/>
    </row>
    <row r="804" spans="1:15" ht="15.75" hidden="1" customHeight="1" x14ac:dyDescent="0.25">
      <c r="A804" s="81" t="s">
        <v>281</v>
      </c>
      <c r="B804" s="752"/>
      <c r="C804" s="752"/>
      <c r="D804" s="752"/>
      <c r="E804" s="161">
        <v>590</v>
      </c>
      <c r="F804" s="96">
        <v>71.39</v>
      </c>
      <c r="G804" s="122">
        <f t="shared" si="60"/>
        <v>0.121</v>
      </c>
      <c r="H804" s="88" t="s">
        <v>527</v>
      </c>
      <c r="I804" s="2">
        <f t="shared" si="59"/>
        <v>84</v>
      </c>
      <c r="O804" s="2"/>
    </row>
    <row r="805" spans="1:15" ht="15.75" hidden="1" customHeight="1" x14ac:dyDescent="0.25">
      <c r="A805" s="82" t="s">
        <v>282</v>
      </c>
      <c r="B805" s="753"/>
      <c r="C805" s="753"/>
      <c r="D805" s="753"/>
      <c r="E805" s="164">
        <v>590</v>
      </c>
      <c r="F805" s="116">
        <v>75.73</v>
      </c>
      <c r="G805" s="125">
        <f t="shared" si="60"/>
        <v>0.12835593220338984</v>
      </c>
      <c r="H805" s="127" t="s">
        <v>528</v>
      </c>
      <c r="I805" s="2">
        <f t="shared" si="59"/>
        <v>84</v>
      </c>
      <c r="O805" s="2"/>
    </row>
    <row r="806" spans="1:15" ht="15.75" hidden="1" customHeight="1" x14ac:dyDescent="0.25">
      <c r="O806" s="2"/>
    </row>
    <row r="807" spans="1:15" ht="15.75" hidden="1" customHeight="1" x14ac:dyDescent="0.25">
      <c r="O807" s="2"/>
    </row>
    <row r="808" spans="1:15" ht="15.75" hidden="1" customHeight="1" x14ac:dyDescent="0.25">
      <c r="A808" s="107" t="s">
        <v>27</v>
      </c>
      <c r="B808" s="91" t="s">
        <v>451</v>
      </c>
      <c r="C808" s="148" t="s">
        <v>321</v>
      </c>
      <c r="D808" s="148" t="s">
        <v>380</v>
      </c>
      <c r="E808" s="148" t="s">
        <v>492</v>
      </c>
      <c r="F808" s="148" t="s">
        <v>493</v>
      </c>
      <c r="G808" s="148" t="s">
        <v>494</v>
      </c>
      <c r="H808" s="93" t="s">
        <v>388</v>
      </c>
      <c r="O808" s="2"/>
    </row>
    <row r="809" spans="1:15" ht="15.75" hidden="1" customHeight="1" x14ac:dyDescent="0.25">
      <c r="A809" s="81" t="s">
        <v>284</v>
      </c>
      <c r="B809" s="912" t="s">
        <v>459</v>
      </c>
      <c r="C809" s="912" t="s">
        <v>460</v>
      </c>
      <c r="D809" s="924">
        <v>33</v>
      </c>
      <c r="E809" s="161">
        <v>1</v>
      </c>
      <c r="F809" s="119">
        <v>0</v>
      </c>
      <c r="G809" s="169">
        <f t="shared" ref="G809:G820" si="61">F809/E809</f>
        <v>0</v>
      </c>
      <c r="H809" s="88" t="s">
        <v>529</v>
      </c>
      <c r="I809" s="2">
        <f t="shared" ref="I809:I820" si="62">LEN(H809)</f>
        <v>197</v>
      </c>
      <c r="O809" s="2"/>
    </row>
    <row r="810" spans="1:15" ht="15.75" hidden="1" customHeight="1" x14ac:dyDescent="0.25">
      <c r="A810" s="81" t="s">
        <v>293</v>
      </c>
      <c r="B810" s="752"/>
      <c r="C810" s="752"/>
      <c r="D810" s="752"/>
      <c r="E810" s="161">
        <v>1</v>
      </c>
      <c r="F810" s="119">
        <v>0.09</v>
      </c>
      <c r="G810" s="169">
        <f t="shared" si="61"/>
        <v>0.09</v>
      </c>
      <c r="H810" s="129" t="s">
        <v>360</v>
      </c>
      <c r="I810" s="2">
        <f t="shared" si="62"/>
        <v>183</v>
      </c>
      <c r="O810" s="2"/>
    </row>
    <row r="811" spans="1:15" ht="15.75" hidden="1" customHeight="1" x14ac:dyDescent="0.25">
      <c r="A811" s="81" t="s">
        <v>302</v>
      </c>
      <c r="B811" s="752"/>
      <c r="C811" s="752"/>
      <c r="D811" s="752"/>
      <c r="E811" s="161">
        <v>1</v>
      </c>
      <c r="F811" s="119">
        <v>0.18</v>
      </c>
      <c r="G811" s="169">
        <f t="shared" si="61"/>
        <v>0.18</v>
      </c>
      <c r="H811" s="129" t="s">
        <v>360</v>
      </c>
      <c r="I811" s="2">
        <f t="shared" si="62"/>
        <v>183</v>
      </c>
      <c r="O811" s="2"/>
    </row>
    <row r="812" spans="1:15" ht="15.75" hidden="1" customHeight="1" x14ac:dyDescent="0.25">
      <c r="A812" s="81" t="s">
        <v>303</v>
      </c>
      <c r="B812" s="752"/>
      <c r="C812" s="752"/>
      <c r="D812" s="752"/>
      <c r="E812" s="161">
        <v>1</v>
      </c>
      <c r="F812" s="96">
        <v>0.27</v>
      </c>
      <c r="G812" s="169">
        <f t="shared" si="61"/>
        <v>0.27</v>
      </c>
      <c r="H812" s="129" t="s">
        <v>360</v>
      </c>
      <c r="I812" s="2">
        <f t="shared" si="62"/>
        <v>183</v>
      </c>
      <c r="O812" s="2"/>
    </row>
    <row r="813" spans="1:15" ht="15.75" hidden="1" customHeight="1" x14ac:dyDescent="0.25">
      <c r="A813" s="81" t="s">
        <v>305</v>
      </c>
      <c r="B813" s="752"/>
      <c r="C813" s="752"/>
      <c r="D813" s="752"/>
      <c r="E813" s="161">
        <v>1</v>
      </c>
      <c r="F813" s="96">
        <v>0.36</v>
      </c>
      <c r="G813" s="179">
        <f t="shared" si="61"/>
        <v>0.36</v>
      </c>
      <c r="H813" s="129" t="s">
        <v>360</v>
      </c>
      <c r="I813" s="2">
        <f t="shared" si="62"/>
        <v>183</v>
      </c>
      <c r="O813" s="2"/>
    </row>
    <row r="814" spans="1:15" ht="15.75" hidden="1" customHeight="1" x14ac:dyDescent="0.25">
      <c r="A814" s="81" t="s">
        <v>306</v>
      </c>
      <c r="B814" s="752"/>
      <c r="C814" s="752"/>
      <c r="D814" s="752"/>
      <c r="E814" s="161">
        <v>1</v>
      </c>
      <c r="F814" s="96">
        <v>0.45</v>
      </c>
      <c r="G814" s="179">
        <f t="shared" si="61"/>
        <v>0.45</v>
      </c>
      <c r="H814" s="129" t="s">
        <v>360</v>
      </c>
      <c r="I814" s="2">
        <f t="shared" si="62"/>
        <v>183</v>
      </c>
      <c r="O814" s="2"/>
    </row>
    <row r="815" spans="1:15" ht="15.75" hidden="1" customHeight="1" x14ac:dyDescent="0.25">
      <c r="A815" s="81" t="s">
        <v>272</v>
      </c>
      <c r="B815" s="752"/>
      <c r="C815" s="752"/>
      <c r="D815" s="752"/>
      <c r="E815" s="161">
        <v>1</v>
      </c>
      <c r="F815" s="96">
        <v>0.54</v>
      </c>
      <c r="G815" s="179">
        <f t="shared" si="61"/>
        <v>0.54</v>
      </c>
      <c r="H815" s="129" t="s">
        <v>360</v>
      </c>
      <c r="I815" s="2">
        <f t="shared" si="62"/>
        <v>183</v>
      </c>
      <c r="O815" s="2"/>
    </row>
    <row r="816" spans="1:15" ht="15.75" hidden="1" customHeight="1" x14ac:dyDescent="0.25">
      <c r="A816" s="81" t="s">
        <v>278</v>
      </c>
      <c r="B816" s="752"/>
      <c r="C816" s="752"/>
      <c r="D816" s="752"/>
      <c r="E816" s="161">
        <v>1</v>
      </c>
      <c r="F816" s="96">
        <v>0.63</v>
      </c>
      <c r="G816" s="179">
        <f t="shared" si="61"/>
        <v>0.63</v>
      </c>
      <c r="H816" s="129" t="s">
        <v>360</v>
      </c>
      <c r="I816" s="2">
        <f t="shared" si="62"/>
        <v>183</v>
      </c>
      <c r="O816" s="2"/>
    </row>
    <row r="817" spans="1:15" ht="15.75" hidden="1" customHeight="1" x14ac:dyDescent="0.25">
      <c r="A817" s="81" t="s">
        <v>279</v>
      </c>
      <c r="B817" s="752"/>
      <c r="C817" s="752"/>
      <c r="D817" s="752"/>
      <c r="E817" s="161">
        <v>1</v>
      </c>
      <c r="F817" s="96">
        <v>0.72</v>
      </c>
      <c r="G817" s="179">
        <f t="shared" si="61"/>
        <v>0.72</v>
      </c>
      <c r="H817" s="129" t="s">
        <v>360</v>
      </c>
      <c r="I817" s="2">
        <f t="shared" si="62"/>
        <v>183</v>
      </c>
      <c r="O817" s="2"/>
    </row>
    <row r="818" spans="1:15" ht="15.75" hidden="1" customHeight="1" x14ac:dyDescent="0.25">
      <c r="A818" s="81" t="s">
        <v>280</v>
      </c>
      <c r="B818" s="752"/>
      <c r="C818" s="752"/>
      <c r="D818" s="752"/>
      <c r="E818" s="161">
        <v>1</v>
      </c>
      <c r="F818" s="96">
        <v>0.81</v>
      </c>
      <c r="G818" s="179">
        <f t="shared" si="61"/>
        <v>0.81</v>
      </c>
      <c r="H818" s="129" t="s">
        <v>360</v>
      </c>
      <c r="I818" s="2">
        <f t="shared" si="62"/>
        <v>183</v>
      </c>
      <c r="O818" s="2"/>
    </row>
    <row r="819" spans="1:15" ht="15.75" hidden="1" customHeight="1" x14ac:dyDescent="0.25">
      <c r="A819" s="81" t="s">
        <v>281</v>
      </c>
      <c r="B819" s="752"/>
      <c r="C819" s="752"/>
      <c r="D819" s="752"/>
      <c r="E819" s="161">
        <v>1</v>
      </c>
      <c r="F819" s="119">
        <v>0.9</v>
      </c>
      <c r="G819" s="179">
        <f t="shared" si="61"/>
        <v>0.9</v>
      </c>
      <c r="H819" s="129" t="s">
        <v>360</v>
      </c>
      <c r="I819" s="2">
        <f t="shared" si="62"/>
        <v>183</v>
      </c>
      <c r="O819" s="2"/>
    </row>
    <row r="820" spans="1:15" ht="15.75" hidden="1" customHeight="1" x14ac:dyDescent="0.25">
      <c r="A820" s="82" t="s">
        <v>282</v>
      </c>
      <c r="B820" s="753"/>
      <c r="C820" s="753"/>
      <c r="D820" s="753"/>
      <c r="E820" s="164">
        <v>1</v>
      </c>
      <c r="F820" s="124">
        <v>1</v>
      </c>
      <c r="G820" s="180">
        <f t="shared" si="61"/>
        <v>1</v>
      </c>
      <c r="H820" s="130" t="s">
        <v>360</v>
      </c>
      <c r="I820" s="2">
        <f t="shared" si="62"/>
        <v>183</v>
      </c>
      <c r="O820" s="2"/>
    </row>
    <row r="821" spans="1:15" ht="15.75" hidden="1" customHeight="1" x14ac:dyDescent="0.25">
      <c r="O821" s="2"/>
    </row>
    <row r="822" spans="1:15" ht="15.75" customHeight="1" thickBot="1" x14ac:dyDescent="0.3">
      <c r="O822" s="2"/>
    </row>
    <row r="823" spans="1:15" ht="20.25" customHeight="1" thickBot="1" x14ac:dyDescent="0.35">
      <c r="A823" s="927" t="s">
        <v>530</v>
      </c>
      <c r="B823" s="836"/>
      <c r="C823" s="836"/>
      <c r="D823" s="836"/>
      <c r="E823" s="836"/>
      <c r="F823" s="836"/>
      <c r="G823" s="836"/>
      <c r="H823" s="837"/>
      <c r="O823" s="2"/>
    </row>
    <row r="824" spans="1:15" ht="31.5" customHeight="1" x14ac:dyDescent="0.25">
      <c r="A824" s="85" t="s">
        <v>28</v>
      </c>
      <c r="B824" s="91" t="s">
        <v>451</v>
      </c>
      <c r="C824" s="148" t="s">
        <v>321</v>
      </c>
      <c r="D824" s="86" t="s">
        <v>367</v>
      </c>
      <c r="E824" s="148" t="s">
        <v>531</v>
      </c>
      <c r="F824" s="148" t="s">
        <v>532</v>
      </c>
      <c r="G824" s="148" t="s">
        <v>533</v>
      </c>
      <c r="H824" s="93" t="s">
        <v>388</v>
      </c>
      <c r="I824" s="239"/>
      <c r="O824" s="2"/>
    </row>
    <row r="825" spans="1:15" ht="15.75" customHeight="1" x14ac:dyDescent="0.25">
      <c r="A825" s="419" t="s">
        <v>284</v>
      </c>
      <c r="B825" s="916" t="s">
        <v>455</v>
      </c>
      <c r="C825" s="916" t="s">
        <v>456</v>
      </c>
      <c r="D825" s="928">
        <v>33</v>
      </c>
      <c r="E825" s="447">
        <v>0.74</v>
      </c>
      <c r="F825" s="448">
        <v>0.62609999999999999</v>
      </c>
      <c r="G825" s="449">
        <f t="shared" ref="G825:G836" si="63">F825/E825</f>
        <v>0.84608108108108104</v>
      </c>
      <c r="H825" s="450" t="s">
        <v>371</v>
      </c>
      <c r="I825" s="238">
        <f t="shared" ref="I825:I836" si="64">LEN(H825)</f>
        <v>200</v>
      </c>
      <c r="O825" s="2"/>
    </row>
    <row r="826" spans="1:15" ht="15.75" customHeight="1" x14ac:dyDescent="0.25">
      <c r="A826" s="419" t="s">
        <v>293</v>
      </c>
      <c r="B826" s="814"/>
      <c r="C826" s="814"/>
      <c r="D826" s="814"/>
      <c r="E826" s="447">
        <v>0.74</v>
      </c>
      <c r="F826" s="404">
        <v>0.62809999999999999</v>
      </c>
      <c r="G826" s="451">
        <f t="shared" si="63"/>
        <v>0.84878378378378383</v>
      </c>
      <c r="H826" s="431" t="s">
        <v>534</v>
      </c>
      <c r="I826" s="238">
        <f t="shared" si="64"/>
        <v>254</v>
      </c>
      <c r="O826" s="2"/>
    </row>
    <row r="827" spans="1:15" ht="15.75" customHeight="1" x14ac:dyDescent="0.25">
      <c r="A827" s="419" t="s">
        <v>302</v>
      </c>
      <c r="B827" s="814"/>
      <c r="C827" s="814"/>
      <c r="D827" s="814"/>
      <c r="E827" s="447">
        <v>0.74</v>
      </c>
      <c r="F827" s="404">
        <v>0.6321</v>
      </c>
      <c r="G827" s="451">
        <f t="shared" si="63"/>
        <v>0.85418918918918918</v>
      </c>
      <c r="H827" s="432" t="s">
        <v>544</v>
      </c>
      <c r="I827" s="238">
        <f t="shared" si="64"/>
        <v>254</v>
      </c>
      <c r="O827" s="2"/>
    </row>
    <row r="828" spans="1:15" ht="15.75" customHeight="1" x14ac:dyDescent="0.25">
      <c r="A828" s="419" t="s">
        <v>303</v>
      </c>
      <c r="B828" s="814"/>
      <c r="C828" s="814"/>
      <c r="D828" s="814"/>
      <c r="E828" s="447">
        <v>0.74</v>
      </c>
      <c r="F828" s="404">
        <v>0.63790000000000002</v>
      </c>
      <c r="G828" s="451">
        <f t="shared" si="63"/>
        <v>0.86202702702702705</v>
      </c>
      <c r="H828" s="433" t="s">
        <v>555</v>
      </c>
      <c r="I828" s="238">
        <f t="shared" si="64"/>
        <v>254</v>
      </c>
      <c r="O828" s="2"/>
    </row>
    <row r="829" spans="1:15" ht="15.75" customHeight="1" x14ac:dyDescent="0.25">
      <c r="A829" s="419" t="s">
        <v>305</v>
      </c>
      <c r="B829" s="814"/>
      <c r="C829" s="814"/>
      <c r="D829" s="814"/>
      <c r="E829" s="447">
        <v>0.74</v>
      </c>
      <c r="F829" s="410">
        <v>0.64790000000000003</v>
      </c>
      <c r="G829" s="410">
        <f t="shared" si="63"/>
        <v>0.87554054054054065</v>
      </c>
      <c r="H829" s="433" t="s">
        <v>627</v>
      </c>
      <c r="I829" s="238">
        <f t="shared" si="64"/>
        <v>253</v>
      </c>
      <c r="O829" s="2"/>
    </row>
    <row r="830" spans="1:15" ht="15.75" customHeight="1" x14ac:dyDescent="0.25">
      <c r="A830" s="419" t="s">
        <v>306</v>
      </c>
      <c r="B830" s="814"/>
      <c r="C830" s="814"/>
      <c r="D830" s="814"/>
      <c r="E830" s="447">
        <v>0.74</v>
      </c>
      <c r="F830" s="410">
        <v>0.65790000000000004</v>
      </c>
      <c r="G830" s="410">
        <f>F830/E830</f>
        <v>0.88905405405405413</v>
      </c>
      <c r="H830" s="433" t="s">
        <v>636</v>
      </c>
      <c r="I830" s="238">
        <f t="shared" si="64"/>
        <v>254</v>
      </c>
      <c r="O830" s="2"/>
    </row>
    <row r="831" spans="1:15" ht="15.75" customHeight="1" x14ac:dyDescent="0.25">
      <c r="A831" s="419" t="s">
        <v>272</v>
      </c>
      <c r="B831" s="814"/>
      <c r="C831" s="814"/>
      <c r="D831" s="814"/>
      <c r="E831" s="447">
        <v>0.74</v>
      </c>
      <c r="F831" s="410">
        <v>0.66790000000000005</v>
      </c>
      <c r="G831" s="410">
        <f>F831/E831</f>
        <v>0.90256756756756762</v>
      </c>
      <c r="H831" s="433" t="s">
        <v>682</v>
      </c>
      <c r="I831" s="238">
        <f t="shared" si="64"/>
        <v>255</v>
      </c>
      <c r="O831" s="2"/>
    </row>
    <row r="832" spans="1:15" ht="15.75" customHeight="1" x14ac:dyDescent="0.25">
      <c r="A832" s="419" t="s">
        <v>278</v>
      </c>
      <c r="B832" s="814"/>
      <c r="C832" s="814"/>
      <c r="D832" s="814"/>
      <c r="E832" s="447">
        <v>0.74</v>
      </c>
      <c r="F832" s="410">
        <v>0.67710000000000004</v>
      </c>
      <c r="G832" s="410">
        <f>F832/E832</f>
        <v>0.91500000000000004</v>
      </c>
      <c r="H832" s="433" t="s">
        <v>683</v>
      </c>
      <c r="I832" s="238">
        <f>LEN(H833)</f>
        <v>259</v>
      </c>
      <c r="O832" s="2"/>
    </row>
    <row r="833" spans="1:15" ht="15.75" customHeight="1" x14ac:dyDescent="0.25">
      <c r="A833" s="419" t="s">
        <v>279</v>
      </c>
      <c r="B833" s="814"/>
      <c r="C833" s="814"/>
      <c r="D833" s="814"/>
      <c r="E833" s="447">
        <v>0.74</v>
      </c>
      <c r="F833" s="410">
        <v>0.68630000000000002</v>
      </c>
      <c r="G833" s="404">
        <f>F833/E832</f>
        <v>0.92743243243243245</v>
      </c>
      <c r="H833" s="433" t="s">
        <v>681</v>
      </c>
      <c r="I833" s="238" t="e">
        <f>LEN(#REF!)</f>
        <v>#REF!</v>
      </c>
      <c r="O833" s="2"/>
    </row>
    <row r="834" spans="1:15" ht="15.75" customHeight="1" x14ac:dyDescent="0.25">
      <c r="A834" s="419" t="s">
        <v>280</v>
      </c>
      <c r="B834" s="814"/>
      <c r="C834" s="814"/>
      <c r="D834" s="814"/>
      <c r="E834" s="447">
        <v>0.74</v>
      </c>
      <c r="F834" s="452"/>
      <c r="G834" s="452"/>
      <c r="H834" s="452"/>
      <c r="I834" s="238" t="e">
        <f>LEN(#REF!)</f>
        <v>#REF!</v>
      </c>
      <c r="O834" s="2"/>
    </row>
    <row r="835" spans="1:15" ht="15.75" customHeight="1" x14ac:dyDescent="0.25">
      <c r="A835" s="419" t="s">
        <v>281</v>
      </c>
      <c r="B835" s="814"/>
      <c r="C835" s="814"/>
      <c r="D835" s="814"/>
      <c r="E835" s="447">
        <v>0.74</v>
      </c>
      <c r="F835" s="404"/>
      <c r="G835" s="404">
        <f t="shared" si="63"/>
        <v>0</v>
      </c>
      <c r="H835" s="431"/>
      <c r="I835" s="238">
        <f t="shared" si="64"/>
        <v>0</v>
      </c>
      <c r="O835" s="2"/>
    </row>
    <row r="836" spans="1:15" ht="15.75" customHeight="1" x14ac:dyDescent="0.25">
      <c r="A836" s="422" t="s">
        <v>282</v>
      </c>
      <c r="B836" s="911"/>
      <c r="C836" s="911"/>
      <c r="D836" s="911"/>
      <c r="E836" s="453">
        <v>0.74</v>
      </c>
      <c r="F836" s="425"/>
      <c r="G836" s="425">
        <f t="shared" si="63"/>
        <v>0</v>
      </c>
      <c r="H836" s="435"/>
      <c r="I836" s="238">
        <f t="shared" si="64"/>
        <v>0</v>
      </c>
      <c r="O836" s="2"/>
    </row>
    <row r="837" spans="1:15" ht="15.75" customHeight="1" x14ac:dyDescent="0.25">
      <c r="I837" s="239"/>
      <c r="O837" s="2"/>
    </row>
    <row r="838" spans="1:15" ht="15.75" customHeight="1" x14ac:dyDescent="0.25">
      <c r="I838" s="239"/>
      <c r="O838" s="2"/>
    </row>
    <row r="839" spans="1:15" ht="35.25" customHeight="1" x14ac:dyDescent="0.25">
      <c r="A839" s="107" t="s">
        <v>28</v>
      </c>
      <c r="B839" s="91" t="s">
        <v>451</v>
      </c>
      <c r="C839" s="148" t="s">
        <v>321</v>
      </c>
      <c r="D839" s="91" t="s">
        <v>367</v>
      </c>
      <c r="E839" s="148" t="s">
        <v>531</v>
      </c>
      <c r="F839" s="148" t="s">
        <v>532</v>
      </c>
      <c r="G839" s="148" t="s">
        <v>533</v>
      </c>
      <c r="H839" s="93" t="s">
        <v>388</v>
      </c>
      <c r="I839" s="239"/>
      <c r="O839" s="2"/>
    </row>
    <row r="840" spans="1:15" ht="15.75" customHeight="1" x14ac:dyDescent="0.25">
      <c r="A840" s="419" t="s">
        <v>284</v>
      </c>
      <c r="B840" s="916" t="s">
        <v>457</v>
      </c>
      <c r="C840" s="916" t="s">
        <v>458</v>
      </c>
      <c r="D840" s="928">
        <v>34</v>
      </c>
      <c r="E840" s="454">
        <v>135</v>
      </c>
      <c r="F840" s="411">
        <v>0</v>
      </c>
      <c r="G840" s="404">
        <v>0</v>
      </c>
      <c r="H840" s="420" t="s">
        <v>373</v>
      </c>
      <c r="I840" s="238">
        <f t="shared" ref="I840:I851" si="65">LEN(H840)</f>
        <v>168</v>
      </c>
      <c r="O840" s="2"/>
    </row>
    <row r="841" spans="1:15" ht="15.75" customHeight="1" x14ac:dyDescent="0.25">
      <c r="A841" s="419" t="s">
        <v>293</v>
      </c>
      <c r="B841" s="814"/>
      <c r="C841" s="814"/>
      <c r="D841" s="814"/>
      <c r="E841" s="454">
        <v>135</v>
      </c>
      <c r="F841" s="411">
        <v>0</v>
      </c>
      <c r="G841" s="404">
        <v>0</v>
      </c>
      <c r="H841" s="420" t="s">
        <v>374</v>
      </c>
      <c r="I841" s="238">
        <f t="shared" si="65"/>
        <v>200</v>
      </c>
      <c r="O841" s="2"/>
    </row>
    <row r="842" spans="1:15" ht="15.75" customHeight="1" x14ac:dyDescent="0.25">
      <c r="A842" s="419" t="s">
        <v>302</v>
      </c>
      <c r="B842" s="814"/>
      <c r="C842" s="814"/>
      <c r="D842" s="814"/>
      <c r="E842" s="454">
        <v>135</v>
      </c>
      <c r="F842" s="411">
        <v>3.4000000000000002E-2</v>
      </c>
      <c r="G842" s="404">
        <f t="shared" ref="G842:G851" si="66">F842/E842</f>
        <v>2.5185185185185185E-4</v>
      </c>
      <c r="H842" s="421" t="s">
        <v>548</v>
      </c>
      <c r="I842" s="238">
        <f t="shared" si="65"/>
        <v>144</v>
      </c>
      <c r="O842" s="2"/>
    </row>
    <row r="843" spans="1:15" ht="15.75" customHeight="1" x14ac:dyDescent="0.25">
      <c r="A843" s="419" t="s">
        <v>303</v>
      </c>
      <c r="B843" s="814"/>
      <c r="C843" s="814"/>
      <c r="D843" s="814"/>
      <c r="E843" s="454">
        <v>135</v>
      </c>
      <c r="F843" s="411">
        <v>4.51</v>
      </c>
      <c r="G843" s="404">
        <f t="shared" si="66"/>
        <v>3.3407407407407406E-2</v>
      </c>
      <c r="H843" s="420" t="s">
        <v>554</v>
      </c>
      <c r="I843" s="238">
        <f t="shared" si="65"/>
        <v>58</v>
      </c>
      <c r="O843" s="2"/>
    </row>
    <row r="844" spans="1:15" ht="15.75" customHeight="1" x14ac:dyDescent="0.25">
      <c r="A844" s="419" t="s">
        <v>305</v>
      </c>
      <c r="B844" s="814"/>
      <c r="C844" s="814"/>
      <c r="D844" s="814"/>
      <c r="E844" s="454">
        <v>135</v>
      </c>
      <c r="F844" s="409">
        <v>4.57</v>
      </c>
      <c r="G844" s="410">
        <f t="shared" si="66"/>
        <v>3.3851851851851855E-2</v>
      </c>
      <c r="H844" s="420" t="s">
        <v>628</v>
      </c>
      <c r="I844" s="238">
        <f t="shared" si="65"/>
        <v>57</v>
      </c>
      <c r="O844" s="2"/>
    </row>
    <row r="845" spans="1:15" ht="15.75" customHeight="1" x14ac:dyDescent="0.25">
      <c r="A845" s="419" t="s">
        <v>306</v>
      </c>
      <c r="B845" s="814"/>
      <c r="C845" s="814"/>
      <c r="D845" s="814"/>
      <c r="E845" s="454">
        <v>135</v>
      </c>
      <c r="F845" s="455">
        <v>5.3</v>
      </c>
      <c r="G845" s="410">
        <f>F845/E845</f>
        <v>3.9259259259259258E-2</v>
      </c>
      <c r="H845" s="420" t="s">
        <v>637</v>
      </c>
      <c r="I845" s="238">
        <f t="shared" si="65"/>
        <v>58</v>
      </c>
      <c r="O845" s="2"/>
    </row>
    <row r="846" spans="1:15" ht="15.75" customHeight="1" x14ac:dyDescent="0.25">
      <c r="A846" s="419" t="s">
        <v>272</v>
      </c>
      <c r="B846" s="814"/>
      <c r="C846" s="814"/>
      <c r="D846" s="814"/>
      <c r="E846" s="454">
        <v>135</v>
      </c>
      <c r="F846" s="455">
        <v>5.3</v>
      </c>
      <c r="G846" s="410">
        <f>F846/E846</f>
        <v>3.9259259259259258E-2</v>
      </c>
      <c r="H846" s="420" t="s">
        <v>642</v>
      </c>
      <c r="I846" s="238">
        <f t="shared" si="65"/>
        <v>58</v>
      </c>
      <c r="O846" s="2"/>
    </row>
    <row r="847" spans="1:15" ht="15.75" customHeight="1" x14ac:dyDescent="0.25">
      <c r="A847" s="419" t="s">
        <v>278</v>
      </c>
      <c r="B847" s="814"/>
      <c r="C847" s="814"/>
      <c r="D847" s="814"/>
      <c r="E847" s="454">
        <v>135</v>
      </c>
      <c r="F847" s="403">
        <v>6.27</v>
      </c>
      <c r="G847" s="404">
        <f t="shared" si="66"/>
        <v>4.6444444444444441E-2</v>
      </c>
      <c r="H847" s="420" t="s">
        <v>677</v>
      </c>
      <c r="I847" s="238">
        <f t="shared" si="65"/>
        <v>58</v>
      </c>
      <c r="O847" s="2"/>
    </row>
    <row r="848" spans="1:15" ht="15.75" customHeight="1" x14ac:dyDescent="0.25">
      <c r="A848" s="419" t="s">
        <v>279</v>
      </c>
      <c r="B848" s="814"/>
      <c r="C848" s="814"/>
      <c r="D848" s="814"/>
      <c r="E848" s="454">
        <v>135</v>
      </c>
      <c r="F848" s="403">
        <v>6.65</v>
      </c>
      <c r="G848" s="404">
        <f t="shared" si="66"/>
        <v>4.925925925925926E-2</v>
      </c>
      <c r="H848" s="420" t="s">
        <v>678</v>
      </c>
      <c r="I848" s="238">
        <f t="shared" si="65"/>
        <v>62</v>
      </c>
      <c r="O848" s="2"/>
    </row>
    <row r="849" spans="1:15" ht="15.75" customHeight="1" x14ac:dyDescent="0.25">
      <c r="A849" s="419" t="s">
        <v>280</v>
      </c>
      <c r="B849" s="814"/>
      <c r="C849" s="814"/>
      <c r="D849" s="814"/>
      <c r="E849" s="454">
        <v>135</v>
      </c>
      <c r="F849" s="403"/>
      <c r="G849" s="404">
        <f t="shared" si="66"/>
        <v>0</v>
      </c>
      <c r="H849" s="420"/>
      <c r="I849" s="238">
        <f t="shared" si="65"/>
        <v>0</v>
      </c>
      <c r="O849" s="2"/>
    </row>
    <row r="850" spans="1:15" ht="15.75" customHeight="1" x14ac:dyDescent="0.25">
      <c r="A850" s="419" t="s">
        <v>281</v>
      </c>
      <c r="B850" s="814"/>
      <c r="C850" s="814"/>
      <c r="D850" s="814"/>
      <c r="E850" s="454">
        <v>135</v>
      </c>
      <c r="F850" s="403"/>
      <c r="G850" s="404">
        <f t="shared" si="66"/>
        <v>0</v>
      </c>
      <c r="H850" s="420"/>
      <c r="I850" s="238">
        <f t="shared" si="65"/>
        <v>0</v>
      </c>
      <c r="O850" s="2"/>
    </row>
    <row r="851" spans="1:15" ht="15.75" customHeight="1" x14ac:dyDescent="0.25">
      <c r="A851" s="422" t="s">
        <v>282</v>
      </c>
      <c r="B851" s="911"/>
      <c r="C851" s="911"/>
      <c r="D851" s="911"/>
      <c r="E851" s="456">
        <v>135</v>
      </c>
      <c r="F851" s="424"/>
      <c r="G851" s="425">
        <f t="shared" si="66"/>
        <v>0</v>
      </c>
      <c r="H851" s="427"/>
      <c r="I851" s="238">
        <f t="shared" si="65"/>
        <v>0</v>
      </c>
      <c r="O851" s="2"/>
    </row>
    <row r="852" spans="1:15" ht="15.75" customHeight="1" x14ac:dyDescent="0.25">
      <c r="I852" s="239"/>
      <c r="O852" s="2"/>
    </row>
    <row r="853" spans="1:15" ht="15.75" customHeight="1" x14ac:dyDescent="0.25">
      <c r="I853" s="239"/>
      <c r="O853" s="2"/>
    </row>
    <row r="854" spans="1:15" ht="30.75" customHeight="1" x14ac:dyDescent="0.25">
      <c r="A854" s="85" t="s">
        <v>28</v>
      </c>
      <c r="B854" s="91" t="s">
        <v>451</v>
      </c>
      <c r="C854" s="148" t="s">
        <v>321</v>
      </c>
      <c r="D854" s="86" t="s">
        <v>367</v>
      </c>
      <c r="E854" s="148" t="s">
        <v>531</v>
      </c>
      <c r="F854" s="148" t="s">
        <v>532</v>
      </c>
      <c r="G854" s="148" t="s">
        <v>533</v>
      </c>
      <c r="H854" s="93" t="s">
        <v>388</v>
      </c>
      <c r="I854" s="239"/>
      <c r="O854" s="2"/>
    </row>
    <row r="855" spans="1:15" ht="15.75" customHeight="1" x14ac:dyDescent="0.25">
      <c r="A855" s="419" t="s">
        <v>284</v>
      </c>
      <c r="B855" s="916"/>
      <c r="C855" s="916" t="s">
        <v>458</v>
      </c>
      <c r="D855" s="997"/>
      <c r="E855" s="454">
        <v>590</v>
      </c>
      <c r="F855" s="411">
        <v>0</v>
      </c>
      <c r="G855" s="404">
        <v>0</v>
      </c>
      <c r="H855" s="420" t="s">
        <v>535</v>
      </c>
      <c r="I855" s="238">
        <f t="shared" ref="I855:I866" si="67">LEN(H855)</f>
        <v>178</v>
      </c>
      <c r="O855" s="2"/>
    </row>
    <row r="856" spans="1:15" ht="15.75" customHeight="1" x14ac:dyDescent="0.25">
      <c r="A856" s="419" t="s">
        <v>293</v>
      </c>
      <c r="B856" s="814"/>
      <c r="C856" s="814"/>
      <c r="D856" s="814"/>
      <c r="E856" s="454">
        <v>590</v>
      </c>
      <c r="F856" s="411">
        <v>0</v>
      </c>
      <c r="G856" s="404">
        <v>0</v>
      </c>
      <c r="H856" s="420" t="s">
        <v>376</v>
      </c>
      <c r="I856" s="238">
        <f t="shared" si="67"/>
        <v>183</v>
      </c>
      <c r="O856" s="2"/>
    </row>
    <row r="857" spans="1:15" ht="15.75" customHeight="1" x14ac:dyDescent="0.25">
      <c r="A857" s="419" t="s">
        <v>302</v>
      </c>
      <c r="B857" s="814"/>
      <c r="C857" s="814"/>
      <c r="D857" s="814"/>
      <c r="E857" s="454">
        <v>590</v>
      </c>
      <c r="F857" s="411">
        <v>0</v>
      </c>
      <c r="G857" s="404">
        <v>0</v>
      </c>
      <c r="H857" s="421" t="s">
        <v>545</v>
      </c>
      <c r="I857" s="238">
        <f t="shared" si="67"/>
        <v>181</v>
      </c>
      <c r="O857" s="2"/>
    </row>
    <row r="858" spans="1:15" ht="15.75" customHeight="1" x14ac:dyDescent="0.25">
      <c r="A858" s="419" t="s">
        <v>303</v>
      </c>
      <c r="B858" s="814"/>
      <c r="C858" s="814"/>
      <c r="D858" s="814"/>
      <c r="E858" s="454">
        <v>590</v>
      </c>
      <c r="F858" s="411">
        <v>0</v>
      </c>
      <c r="G858" s="404">
        <v>0</v>
      </c>
      <c r="H858" s="420" t="s">
        <v>556</v>
      </c>
      <c r="I858" s="238">
        <f t="shared" si="67"/>
        <v>181</v>
      </c>
      <c r="O858" s="2"/>
    </row>
    <row r="859" spans="1:15" ht="15.75" customHeight="1" x14ac:dyDescent="0.25">
      <c r="A859" s="419" t="s">
        <v>305</v>
      </c>
      <c r="B859" s="814"/>
      <c r="C859" s="814"/>
      <c r="D859" s="814"/>
      <c r="E859" s="454">
        <v>590</v>
      </c>
      <c r="F859" s="409">
        <v>22.36</v>
      </c>
      <c r="G859" s="404">
        <f>F859/E859</f>
        <v>3.7898305084745759E-2</v>
      </c>
      <c r="H859" s="420" t="s">
        <v>626</v>
      </c>
      <c r="I859" s="353">
        <f t="shared" si="67"/>
        <v>85</v>
      </c>
      <c r="O859" s="2"/>
    </row>
    <row r="860" spans="1:15" ht="15.75" customHeight="1" x14ac:dyDescent="0.25">
      <c r="A860" s="419" t="s">
        <v>306</v>
      </c>
      <c r="B860" s="814"/>
      <c r="C860" s="814"/>
      <c r="D860" s="814"/>
      <c r="E860" s="454">
        <v>590</v>
      </c>
      <c r="F860" s="409">
        <v>173.64</v>
      </c>
      <c r="G860" s="404">
        <f>F860/E860</f>
        <v>0.29430508474576267</v>
      </c>
      <c r="H860" s="420" t="s">
        <v>638</v>
      </c>
      <c r="I860" s="238">
        <f t="shared" si="67"/>
        <v>87</v>
      </c>
      <c r="O860" s="2"/>
    </row>
    <row r="861" spans="1:15" ht="15.75" customHeight="1" x14ac:dyDescent="0.25">
      <c r="A861" s="419" t="s">
        <v>272</v>
      </c>
      <c r="B861" s="814"/>
      <c r="C861" s="814"/>
      <c r="D861" s="814"/>
      <c r="E861" s="454">
        <v>590</v>
      </c>
      <c r="F861" s="409">
        <v>474.92</v>
      </c>
      <c r="G861" s="404">
        <f>F861/E861</f>
        <v>0.80494915254237287</v>
      </c>
      <c r="H861" s="420" t="s">
        <v>641</v>
      </c>
      <c r="I861" s="238">
        <f t="shared" si="67"/>
        <v>87</v>
      </c>
      <c r="O861" s="2"/>
    </row>
    <row r="862" spans="1:15" ht="15.75" customHeight="1" x14ac:dyDescent="0.25">
      <c r="A862" s="419" t="s">
        <v>278</v>
      </c>
      <c r="B862" s="814"/>
      <c r="C862" s="814"/>
      <c r="D862" s="814"/>
      <c r="E862" s="454">
        <v>590</v>
      </c>
      <c r="F862" s="403">
        <v>477.74</v>
      </c>
      <c r="G862" s="404">
        <f>F862/E862</f>
        <v>0.80972881355932202</v>
      </c>
      <c r="H862" s="420" t="s">
        <v>679</v>
      </c>
      <c r="I862" s="238">
        <f t="shared" si="67"/>
        <v>87</v>
      </c>
      <c r="O862" s="2"/>
    </row>
    <row r="863" spans="1:15" ht="15.75" customHeight="1" x14ac:dyDescent="0.25">
      <c r="A863" s="419" t="s">
        <v>279</v>
      </c>
      <c r="B863" s="814"/>
      <c r="C863" s="814"/>
      <c r="D863" s="814"/>
      <c r="E863" s="454">
        <v>590</v>
      </c>
      <c r="F863" s="403">
        <v>542.57000000000005</v>
      </c>
      <c r="G863" s="404">
        <f>F863/E863</f>
        <v>0.91961016949152552</v>
      </c>
      <c r="H863" s="420" t="s">
        <v>680</v>
      </c>
      <c r="I863" s="238">
        <f t="shared" si="67"/>
        <v>91</v>
      </c>
      <c r="O863" s="2"/>
    </row>
    <row r="864" spans="1:15" ht="15.75" customHeight="1" x14ac:dyDescent="0.25">
      <c r="A864" s="419" t="s">
        <v>280</v>
      </c>
      <c r="B864" s="814"/>
      <c r="C864" s="814"/>
      <c r="D864" s="814"/>
      <c r="E864" s="454">
        <v>590</v>
      </c>
      <c r="F864" s="403"/>
      <c r="G864" s="404"/>
      <c r="H864" s="420"/>
      <c r="I864" s="238">
        <f t="shared" si="67"/>
        <v>0</v>
      </c>
      <c r="O864" s="2"/>
    </row>
    <row r="865" spans="1:15" ht="15.75" customHeight="1" x14ac:dyDescent="0.25">
      <c r="A865" s="419" t="s">
        <v>281</v>
      </c>
      <c r="B865" s="814"/>
      <c r="C865" s="814"/>
      <c r="D865" s="814"/>
      <c r="E865" s="454">
        <v>590</v>
      </c>
      <c r="F865" s="403"/>
      <c r="G865" s="404"/>
      <c r="H865" s="420"/>
      <c r="I865" s="238">
        <f t="shared" si="67"/>
        <v>0</v>
      </c>
      <c r="O865" s="2"/>
    </row>
    <row r="866" spans="1:15" ht="15.75" customHeight="1" x14ac:dyDescent="0.25">
      <c r="A866" s="422" t="s">
        <v>282</v>
      </c>
      <c r="B866" s="911"/>
      <c r="C866" s="911"/>
      <c r="D866" s="911"/>
      <c r="E866" s="456">
        <v>590</v>
      </c>
      <c r="F866" s="424"/>
      <c r="G866" s="425"/>
      <c r="H866" s="427"/>
      <c r="I866" s="238">
        <f t="shared" si="67"/>
        <v>0</v>
      </c>
      <c r="O866" s="2"/>
    </row>
    <row r="867" spans="1:15" ht="15.75" customHeight="1" x14ac:dyDescent="0.25">
      <c r="I867" s="239"/>
      <c r="O867" s="2"/>
    </row>
    <row r="868" spans="1:15" ht="15.75" customHeight="1" x14ac:dyDescent="0.25">
      <c r="I868" s="239"/>
      <c r="O868" s="2"/>
    </row>
    <row r="869" spans="1:15" ht="31.5" customHeight="1" x14ac:dyDescent="0.25">
      <c r="A869" s="85" t="s">
        <v>28</v>
      </c>
      <c r="B869" s="91" t="s">
        <v>451</v>
      </c>
      <c r="C869" s="148" t="s">
        <v>321</v>
      </c>
      <c r="D869" s="86" t="s">
        <v>367</v>
      </c>
      <c r="E869" s="148" t="s">
        <v>531</v>
      </c>
      <c r="F869" s="148" t="s">
        <v>532</v>
      </c>
      <c r="G869" s="148" t="s">
        <v>533</v>
      </c>
      <c r="H869" s="93" t="s">
        <v>388</v>
      </c>
      <c r="I869" s="239"/>
      <c r="O869" s="2"/>
    </row>
    <row r="870" spans="1:15" ht="15.75" customHeight="1" x14ac:dyDescent="0.25">
      <c r="A870" s="419" t="s">
        <v>284</v>
      </c>
      <c r="B870" s="916" t="s">
        <v>459</v>
      </c>
      <c r="C870" s="916" t="s">
        <v>460</v>
      </c>
      <c r="D870" s="928">
        <v>33</v>
      </c>
      <c r="E870" s="454">
        <v>1</v>
      </c>
      <c r="F870" s="411">
        <v>0</v>
      </c>
      <c r="G870" s="457">
        <f>F870/E870</f>
        <v>0</v>
      </c>
      <c r="H870" s="420" t="s">
        <v>529</v>
      </c>
      <c r="I870" s="238">
        <f t="shared" ref="I870:I881" si="68">LEN(H870)</f>
        <v>197</v>
      </c>
      <c r="O870" s="2"/>
    </row>
    <row r="871" spans="1:15" ht="15.75" customHeight="1" x14ac:dyDescent="0.25">
      <c r="A871" s="419" t="s">
        <v>293</v>
      </c>
      <c r="B871" s="814"/>
      <c r="C871" s="814"/>
      <c r="D871" s="814"/>
      <c r="E871" s="454">
        <v>1</v>
      </c>
      <c r="F871" s="411">
        <v>0.09</v>
      </c>
      <c r="G871" s="457">
        <v>0</v>
      </c>
      <c r="H871" s="431" t="s">
        <v>360</v>
      </c>
      <c r="I871" s="238">
        <f t="shared" si="68"/>
        <v>183</v>
      </c>
      <c r="O871" s="2"/>
    </row>
    <row r="872" spans="1:15" ht="15.75" customHeight="1" x14ac:dyDescent="0.25">
      <c r="A872" s="419" t="s">
        <v>302</v>
      </c>
      <c r="B872" s="814"/>
      <c r="C872" s="814"/>
      <c r="D872" s="814"/>
      <c r="E872" s="454">
        <v>1</v>
      </c>
      <c r="F872" s="411">
        <v>0.18</v>
      </c>
      <c r="G872" s="457">
        <v>0</v>
      </c>
      <c r="H872" s="432" t="s">
        <v>360</v>
      </c>
      <c r="I872" s="238">
        <f t="shared" si="68"/>
        <v>183</v>
      </c>
      <c r="O872" s="2"/>
    </row>
    <row r="873" spans="1:15" ht="15.75" customHeight="1" x14ac:dyDescent="0.25">
      <c r="A873" s="419" t="s">
        <v>303</v>
      </c>
      <c r="B873" s="814"/>
      <c r="C873" s="814"/>
      <c r="D873" s="814"/>
      <c r="E873" s="454">
        <v>1</v>
      </c>
      <c r="F873" s="411">
        <v>0.27</v>
      </c>
      <c r="G873" s="457">
        <v>0</v>
      </c>
      <c r="H873" s="433" t="s">
        <v>360</v>
      </c>
      <c r="I873" s="238">
        <f t="shared" si="68"/>
        <v>183</v>
      </c>
      <c r="O873" s="2"/>
    </row>
    <row r="874" spans="1:15" ht="15.75" customHeight="1" x14ac:dyDescent="0.25">
      <c r="A874" s="419" t="s">
        <v>305</v>
      </c>
      <c r="B874" s="814"/>
      <c r="C874" s="814"/>
      <c r="D874" s="814"/>
      <c r="E874" s="454">
        <v>1</v>
      </c>
      <c r="F874" s="409">
        <v>0.36</v>
      </c>
      <c r="G874" s="457">
        <f>F874/E874</f>
        <v>0.36</v>
      </c>
      <c r="H874" s="433" t="s">
        <v>360</v>
      </c>
      <c r="I874" s="238">
        <f t="shared" si="68"/>
        <v>183</v>
      </c>
      <c r="O874" s="2"/>
    </row>
    <row r="875" spans="1:15" ht="15.75" customHeight="1" x14ac:dyDescent="0.25">
      <c r="A875" s="419" t="s">
        <v>306</v>
      </c>
      <c r="B875" s="814"/>
      <c r="C875" s="814"/>
      <c r="D875" s="814"/>
      <c r="E875" s="454">
        <v>1</v>
      </c>
      <c r="F875" s="409">
        <v>0.45</v>
      </c>
      <c r="G875" s="457">
        <f>F875/E875</f>
        <v>0.45</v>
      </c>
      <c r="H875" s="433" t="s">
        <v>360</v>
      </c>
      <c r="I875" s="238">
        <f t="shared" si="68"/>
        <v>183</v>
      </c>
      <c r="O875" s="2"/>
    </row>
    <row r="876" spans="1:15" ht="15.75" customHeight="1" x14ac:dyDescent="0.25">
      <c r="A876" s="419" t="s">
        <v>272</v>
      </c>
      <c r="B876" s="814"/>
      <c r="C876" s="814"/>
      <c r="D876" s="814"/>
      <c r="E876" s="454">
        <v>1</v>
      </c>
      <c r="F876" s="409">
        <v>0.54</v>
      </c>
      <c r="G876" s="457">
        <f>F876/E876</f>
        <v>0.54</v>
      </c>
      <c r="H876" s="433" t="s">
        <v>360</v>
      </c>
      <c r="I876" s="238">
        <f t="shared" si="68"/>
        <v>183</v>
      </c>
      <c r="O876" s="2"/>
    </row>
    <row r="877" spans="1:15" ht="15.75" customHeight="1" x14ac:dyDescent="0.25">
      <c r="A877" s="419" t="s">
        <v>278</v>
      </c>
      <c r="B877" s="814"/>
      <c r="C877" s="814"/>
      <c r="D877" s="814"/>
      <c r="E877" s="454">
        <v>1</v>
      </c>
      <c r="F877" s="403">
        <v>0.63</v>
      </c>
      <c r="G877" s="457">
        <f>F877/E877</f>
        <v>0.63</v>
      </c>
      <c r="H877" s="433" t="s">
        <v>543</v>
      </c>
      <c r="I877" s="238">
        <f t="shared" si="68"/>
        <v>122</v>
      </c>
      <c r="O877" s="2"/>
    </row>
    <row r="878" spans="1:15" ht="15.75" customHeight="1" x14ac:dyDescent="0.25">
      <c r="A878" s="419" t="s">
        <v>279</v>
      </c>
      <c r="B878" s="814"/>
      <c r="C878" s="814"/>
      <c r="D878" s="814"/>
      <c r="E878" s="454">
        <v>1</v>
      </c>
      <c r="F878" s="403">
        <v>0.72</v>
      </c>
      <c r="G878" s="457">
        <f>F878/E878</f>
        <v>0.72</v>
      </c>
      <c r="H878" s="433" t="s">
        <v>543</v>
      </c>
      <c r="I878" s="238">
        <f t="shared" si="68"/>
        <v>122</v>
      </c>
      <c r="O878" s="2"/>
    </row>
    <row r="879" spans="1:15" ht="15.75" customHeight="1" x14ac:dyDescent="0.25">
      <c r="A879" s="419" t="s">
        <v>280</v>
      </c>
      <c r="B879" s="814"/>
      <c r="C879" s="814"/>
      <c r="D879" s="814"/>
      <c r="E879" s="454">
        <v>1</v>
      </c>
      <c r="F879" s="403"/>
      <c r="G879" s="458"/>
      <c r="H879" s="431"/>
      <c r="I879" s="238">
        <f t="shared" si="68"/>
        <v>0</v>
      </c>
      <c r="O879" s="2"/>
    </row>
    <row r="880" spans="1:15" ht="15.75" customHeight="1" x14ac:dyDescent="0.25">
      <c r="A880" s="419" t="s">
        <v>281</v>
      </c>
      <c r="B880" s="814"/>
      <c r="C880" s="814"/>
      <c r="D880" s="814"/>
      <c r="E880" s="454">
        <v>1</v>
      </c>
      <c r="F880" s="411"/>
      <c r="G880" s="458"/>
      <c r="H880" s="431"/>
      <c r="I880" s="238">
        <f t="shared" si="68"/>
        <v>0</v>
      </c>
      <c r="O880" s="2"/>
    </row>
    <row r="881" spans="1:15" ht="15.75" customHeight="1" thickBot="1" x14ac:dyDescent="0.3">
      <c r="A881" s="422" t="s">
        <v>282</v>
      </c>
      <c r="B881" s="911"/>
      <c r="C881" s="911"/>
      <c r="D881" s="911"/>
      <c r="E881" s="456">
        <v>1</v>
      </c>
      <c r="F881" s="434"/>
      <c r="G881" s="459"/>
      <c r="H881" s="435"/>
      <c r="I881" s="238">
        <f t="shared" si="68"/>
        <v>0</v>
      </c>
      <c r="O881" s="2"/>
    </row>
    <row r="882" spans="1:15" ht="15.75" hidden="1" customHeight="1" x14ac:dyDescent="0.25">
      <c r="A882" s="81" t="s">
        <v>280</v>
      </c>
      <c r="B882" s="40"/>
      <c r="C882" s="40"/>
      <c r="D882" s="40"/>
      <c r="E882" s="40"/>
      <c r="F882" s="40"/>
      <c r="G882" s="40" t="e">
        <f>F882/E882</f>
        <v>#DIV/0!</v>
      </c>
      <c r="H882" s="88"/>
      <c r="O882" s="2"/>
    </row>
    <row r="883" spans="1:15" ht="15.75" hidden="1" customHeight="1" x14ac:dyDescent="0.25">
      <c r="A883" s="81" t="s">
        <v>281</v>
      </c>
      <c r="B883" s="40"/>
      <c r="C883" s="40"/>
      <c r="D883" s="40"/>
      <c r="E883" s="40"/>
      <c r="F883" s="40"/>
      <c r="G883" s="40" t="e">
        <f>F883/E883</f>
        <v>#DIV/0!</v>
      </c>
      <c r="H883" s="88"/>
      <c r="O883" s="2"/>
    </row>
    <row r="884" spans="1:15" ht="15.75" hidden="1" customHeight="1" x14ac:dyDescent="0.25">
      <c r="A884" s="82" t="s">
        <v>282</v>
      </c>
      <c r="B884" s="41"/>
      <c r="C884" s="41"/>
      <c r="D884" s="41"/>
      <c r="E884" s="41"/>
      <c r="F884" s="41"/>
      <c r="G884" s="41" t="e">
        <f>F884/E884</f>
        <v>#DIV/0!</v>
      </c>
      <c r="H884" s="127"/>
      <c r="O884" s="2"/>
    </row>
    <row r="885" spans="1:15" ht="15.75" customHeight="1" x14ac:dyDescent="0.25">
      <c r="O885" s="2"/>
    </row>
    <row r="886" spans="1:15" ht="15.75" hidden="1" customHeight="1" x14ac:dyDescent="0.3">
      <c r="A886" s="918" t="s">
        <v>536</v>
      </c>
      <c r="B886" s="688"/>
      <c r="C886" s="688"/>
      <c r="D886" s="688"/>
      <c r="E886" s="688"/>
      <c r="F886" s="688"/>
      <c r="G886" s="688"/>
      <c r="H886" s="766"/>
      <c r="O886" s="2"/>
    </row>
    <row r="887" spans="1:15" ht="63.75" hidden="1" customHeight="1" x14ac:dyDescent="0.25">
      <c r="A887" s="85" t="s">
        <v>29</v>
      </c>
      <c r="B887" s="86" t="s">
        <v>451</v>
      </c>
      <c r="C887" s="181" t="s">
        <v>321</v>
      </c>
      <c r="D887" s="181" t="s">
        <v>537</v>
      </c>
      <c r="E887" s="181" t="s">
        <v>538</v>
      </c>
      <c r="F887" s="181" t="s">
        <v>539</v>
      </c>
      <c r="G887" s="181" t="s">
        <v>540</v>
      </c>
      <c r="H887" s="87" t="s">
        <v>388</v>
      </c>
      <c r="O887" s="2"/>
    </row>
    <row r="888" spans="1:15" ht="15.75" hidden="1" customHeight="1" x14ac:dyDescent="0.25">
      <c r="A888" s="81" t="s">
        <v>284</v>
      </c>
      <c r="B888" s="40"/>
      <c r="C888" s="40"/>
      <c r="D888" s="40"/>
      <c r="E888" s="40"/>
      <c r="F888" s="40"/>
      <c r="G888" s="40" t="e">
        <f t="shared" ref="G888:G899" si="69">F888/E888</f>
        <v>#DIV/0!</v>
      </c>
      <c r="H888" s="88"/>
      <c r="O888" s="2"/>
    </row>
    <row r="889" spans="1:15" ht="15.75" hidden="1" customHeight="1" x14ac:dyDescent="0.25">
      <c r="A889" s="81" t="s">
        <v>293</v>
      </c>
      <c r="B889" s="40"/>
      <c r="C889" s="40"/>
      <c r="D889" s="40"/>
      <c r="E889" s="40"/>
      <c r="F889" s="40"/>
      <c r="G889" s="40" t="e">
        <f t="shared" si="69"/>
        <v>#DIV/0!</v>
      </c>
      <c r="H889" s="88"/>
      <c r="O889" s="2"/>
    </row>
    <row r="890" spans="1:15" ht="15.75" hidden="1" customHeight="1" x14ac:dyDescent="0.25">
      <c r="A890" s="81" t="s">
        <v>302</v>
      </c>
      <c r="B890" s="40"/>
      <c r="C890" s="40"/>
      <c r="D890" s="40"/>
      <c r="E890" s="40"/>
      <c r="F890" s="40"/>
      <c r="G890" s="40" t="e">
        <f t="shared" si="69"/>
        <v>#DIV/0!</v>
      </c>
      <c r="H890" s="88"/>
      <c r="O890" s="2"/>
    </row>
    <row r="891" spans="1:15" ht="15.75" hidden="1" customHeight="1" x14ac:dyDescent="0.25">
      <c r="A891" s="81" t="s">
        <v>303</v>
      </c>
      <c r="B891" s="40"/>
      <c r="C891" s="40"/>
      <c r="D891" s="40"/>
      <c r="E891" s="40"/>
      <c r="F891" s="40"/>
      <c r="G891" s="40" t="e">
        <f t="shared" si="69"/>
        <v>#DIV/0!</v>
      </c>
      <c r="H891" s="88"/>
      <c r="O891" s="2"/>
    </row>
    <row r="892" spans="1:15" ht="15.75" hidden="1" customHeight="1" x14ac:dyDescent="0.25">
      <c r="A892" s="81" t="s">
        <v>305</v>
      </c>
      <c r="B892" s="40"/>
      <c r="C892" s="40"/>
      <c r="D892" s="40"/>
      <c r="E892" s="40"/>
      <c r="F892" s="40"/>
      <c r="G892" s="40" t="e">
        <f t="shared" si="69"/>
        <v>#DIV/0!</v>
      </c>
      <c r="H892" s="88"/>
      <c r="O892" s="2"/>
    </row>
    <row r="893" spans="1:15" ht="15.75" hidden="1" customHeight="1" x14ac:dyDescent="0.25">
      <c r="A893" s="81" t="s">
        <v>306</v>
      </c>
      <c r="B893" s="40"/>
      <c r="C893" s="40"/>
      <c r="D893" s="40"/>
      <c r="E893" s="40"/>
      <c r="F893" s="40"/>
      <c r="G893" s="40" t="e">
        <f t="shared" si="69"/>
        <v>#DIV/0!</v>
      </c>
      <c r="H893" s="88"/>
      <c r="O893" s="2"/>
    </row>
    <row r="894" spans="1:15" ht="15.75" hidden="1" customHeight="1" x14ac:dyDescent="0.25">
      <c r="A894" s="81" t="s">
        <v>272</v>
      </c>
      <c r="B894" s="40"/>
      <c r="C894" s="40"/>
      <c r="D894" s="40"/>
      <c r="E894" s="40"/>
      <c r="F894" s="40"/>
      <c r="G894" s="40" t="e">
        <f t="shared" si="69"/>
        <v>#DIV/0!</v>
      </c>
      <c r="H894" s="88"/>
      <c r="O894" s="2"/>
    </row>
    <row r="895" spans="1:15" ht="15.75" hidden="1" customHeight="1" x14ac:dyDescent="0.25">
      <c r="A895" s="81" t="s">
        <v>278</v>
      </c>
      <c r="B895" s="40"/>
      <c r="C895" s="40"/>
      <c r="D895" s="40"/>
      <c r="E895" s="40"/>
      <c r="F895" s="40"/>
      <c r="G895" s="40" t="e">
        <f t="shared" si="69"/>
        <v>#DIV/0!</v>
      </c>
      <c r="H895" s="88"/>
      <c r="O895" s="2"/>
    </row>
    <row r="896" spans="1:15" ht="15.75" hidden="1" customHeight="1" x14ac:dyDescent="0.25">
      <c r="A896" s="81" t="s">
        <v>279</v>
      </c>
      <c r="B896" s="40"/>
      <c r="C896" s="40"/>
      <c r="D896" s="40"/>
      <c r="E896" s="40"/>
      <c r="F896" s="40"/>
      <c r="G896" s="40" t="e">
        <f t="shared" si="69"/>
        <v>#DIV/0!</v>
      </c>
      <c r="H896" s="88"/>
      <c r="O896" s="2"/>
    </row>
    <row r="897" spans="1:18" ht="15.75" hidden="1" customHeight="1" x14ac:dyDescent="0.25">
      <c r="A897" s="81" t="s">
        <v>280</v>
      </c>
      <c r="B897" s="40"/>
      <c r="C897" s="40"/>
      <c r="D897" s="40"/>
      <c r="E897" s="40"/>
      <c r="F897" s="40"/>
      <c r="G897" s="40" t="e">
        <f t="shared" si="69"/>
        <v>#DIV/0!</v>
      </c>
      <c r="H897" s="88"/>
      <c r="O897" s="2"/>
    </row>
    <row r="898" spans="1:18" ht="15.75" hidden="1" customHeight="1" x14ac:dyDescent="0.25">
      <c r="A898" s="81" t="s">
        <v>281</v>
      </c>
      <c r="B898" s="40"/>
      <c r="C898" s="40"/>
      <c r="D898" s="40"/>
      <c r="E898" s="40"/>
      <c r="F898" s="40"/>
      <c r="G898" s="40" t="e">
        <f t="shared" si="69"/>
        <v>#DIV/0!</v>
      </c>
      <c r="H898" s="88"/>
      <c r="O898" s="2"/>
    </row>
    <row r="899" spans="1:18" ht="15.75" hidden="1" customHeight="1" x14ac:dyDescent="0.25">
      <c r="A899" s="82" t="s">
        <v>282</v>
      </c>
      <c r="B899" s="41"/>
      <c r="C899" s="41"/>
      <c r="D899" s="41"/>
      <c r="E899" s="41"/>
      <c r="F899" s="41"/>
      <c r="G899" s="41" t="e">
        <f t="shared" si="69"/>
        <v>#DIV/0!</v>
      </c>
      <c r="H899" s="127"/>
      <c r="O899" s="2"/>
    </row>
    <row r="900" spans="1:18" ht="15.75" customHeight="1" x14ac:dyDescent="0.25">
      <c r="O900" s="2"/>
    </row>
    <row r="902" spans="1:18" ht="15" customHeight="1" x14ac:dyDescent="0.25">
      <c r="A902" s="16"/>
      <c r="B902" s="790" t="s">
        <v>80</v>
      </c>
      <c r="C902" s="791"/>
      <c r="D902" s="791"/>
      <c r="E902" s="791"/>
      <c r="F902" s="791"/>
      <c r="G902" s="791"/>
      <c r="H902" s="791"/>
      <c r="I902" s="791"/>
      <c r="J902" s="791"/>
      <c r="K902" s="791"/>
      <c r="L902" s="791"/>
      <c r="M902" s="791"/>
      <c r="N902" s="791"/>
      <c r="O902" s="791"/>
      <c r="P902" s="791"/>
      <c r="Q902" s="791"/>
      <c r="R902" s="792"/>
    </row>
    <row r="903" spans="1:18" ht="15" customHeight="1" x14ac:dyDescent="0.25">
      <c r="A903" s="13" t="s">
        <v>81</v>
      </c>
      <c r="B903" s="686" t="s">
        <v>82</v>
      </c>
      <c r="C903" s="683"/>
      <c r="D903" s="683"/>
      <c r="E903" s="683"/>
      <c r="F903" s="683"/>
      <c r="G903" s="683"/>
      <c r="H903" s="684"/>
      <c r="I903" s="687" t="s">
        <v>83</v>
      </c>
      <c r="J903" s="683"/>
      <c r="K903" s="683"/>
      <c r="L903" s="683"/>
      <c r="M903" s="683"/>
      <c r="N903" s="683"/>
      <c r="O903" s="684"/>
      <c r="P903" s="17"/>
      <c r="Q903" s="17"/>
      <c r="R903" s="17"/>
    </row>
    <row r="904" spans="1:18" ht="15" customHeight="1" x14ac:dyDescent="0.25">
      <c r="A904" s="15">
        <v>13</v>
      </c>
      <c r="B904" s="682" t="s">
        <v>161</v>
      </c>
      <c r="C904" s="683"/>
      <c r="D904" s="683"/>
      <c r="E904" s="683"/>
      <c r="F904" s="683"/>
      <c r="G904" s="683"/>
      <c r="H904" s="684"/>
      <c r="I904" s="682" t="s">
        <v>85</v>
      </c>
      <c r="J904" s="683"/>
      <c r="K904" s="683"/>
      <c r="L904" s="683"/>
      <c r="M904" s="683"/>
      <c r="N904" s="683"/>
      <c r="O904" s="684"/>
      <c r="P904" s="17"/>
      <c r="Q904" s="17"/>
      <c r="R904" s="17"/>
    </row>
    <row r="905" spans="1:18" ht="15" customHeight="1" x14ac:dyDescent="0.25">
      <c r="A905" s="15">
        <v>14</v>
      </c>
      <c r="B905" s="682" t="s">
        <v>86</v>
      </c>
      <c r="C905" s="683"/>
      <c r="D905" s="683"/>
      <c r="E905" s="683"/>
      <c r="F905" s="683"/>
      <c r="G905" s="683"/>
      <c r="H905" s="684"/>
      <c r="I905" s="685" t="s">
        <v>162</v>
      </c>
      <c r="J905" s="683"/>
      <c r="K905" s="683"/>
      <c r="L905" s="683"/>
      <c r="M905" s="683"/>
      <c r="N905" s="683"/>
      <c r="O905" s="684"/>
      <c r="P905" s="17"/>
      <c r="Q905" s="17"/>
      <c r="R905" s="17"/>
    </row>
  </sheetData>
  <mergeCells count="342">
    <mergeCell ref="B902:R902"/>
    <mergeCell ref="B903:H903"/>
    <mergeCell ref="I903:O903"/>
    <mergeCell ref="B904:H904"/>
    <mergeCell ref="I904:O904"/>
    <mergeCell ref="B905:H905"/>
    <mergeCell ref="I905:O905"/>
    <mergeCell ref="A370:N370"/>
    <mergeCell ref="C825:C836"/>
    <mergeCell ref="D825:D836"/>
    <mergeCell ref="D840:D851"/>
    <mergeCell ref="D855:D866"/>
    <mergeCell ref="D675:D680"/>
    <mergeCell ref="B718:B729"/>
    <mergeCell ref="B794:B805"/>
    <mergeCell ref="B764:B775"/>
    <mergeCell ref="B693:B698"/>
    <mergeCell ref="B733:B744"/>
    <mergeCell ref="C733:C744"/>
    <mergeCell ref="C619:C630"/>
    <mergeCell ref="C684:C689"/>
    <mergeCell ref="C693:C698"/>
    <mergeCell ref="C703:C714"/>
    <mergeCell ref="A762:H762"/>
    <mergeCell ref="B224:B229"/>
    <mergeCell ref="B215:B220"/>
    <mergeCell ref="C215:C220"/>
    <mergeCell ref="D215:D220"/>
    <mergeCell ref="E215:E220"/>
    <mergeCell ref="F215:F220"/>
    <mergeCell ref="B233:B238"/>
    <mergeCell ref="C224:C229"/>
    <mergeCell ref="D224:D229"/>
    <mergeCell ref="E224:E229"/>
    <mergeCell ref="F224:F229"/>
    <mergeCell ref="C233:C238"/>
    <mergeCell ref="D233:D238"/>
    <mergeCell ref="G224:G229"/>
    <mergeCell ref="E341:E352"/>
    <mergeCell ref="F341:F352"/>
    <mergeCell ref="G341:G352"/>
    <mergeCell ref="A309:N309"/>
    <mergeCell ref="G311:G322"/>
    <mergeCell ref="F372:F383"/>
    <mergeCell ref="A213:N213"/>
    <mergeCell ref="G215:G220"/>
    <mergeCell ref="B372:B383"/>
    <mergeCell ref="C372:C383"/>
    <mergeCell ref="C356:C367"/>
    <mergeCell ref="D356:D367"/>
    <mergeCell ref="E356:E367"/>
    <mergeCell ref="F356:F367"/>
    <mergeCell ref="G356:G367"/>
    <mergeCell ref="C311:C322"/>
    <mergeCell ref="D311:D322"/>
    <mergeCell ref="C295:C306"/>
    <mergeCell ref="D295:D306"/>
    <mergeCell ref="E295:E306"/>
    <mergeCell ref="F295:F306"/>
    <mergeCell ref="G295:G306"/>
    <mergeCell ref="E311:E322"/>
    <mergeCell ref="B356:B367"/>
    <mergeCell ref="C341:C352"/>
    <mergeCell ref="D341:D352"/>
    <mergeCell ref="B242:B247"/>
    <mergeCell ref="C242:C247"/>
    <mergeCell ref="D242:D247"/>
    <mergeCell ref="B341:B352"/>
    <mergeCell ref="B311:B322"/>
    <mergeCell ref="B295:B306"/>
    <mergeCell ref="B280:B291"/>
    <mergeCell ref="C280:C291"/>
    <mergeCell ref="D280:D291"/>
    <mergeCell ref="B266:B277"/>
    <mergeCell ref="C266:C277"/>
    <mergeCell ref="D266:D277"/>
    <mergeCell ref="B326:B337"/>
    <mergeCell ref="C326:C337"/>
    <mergeCell ref="D326:D337"/>
    <mergeCell ref="A129:A137"/>
    <mergeCell ref="A138:A146"/>
    <mergeCell ref="A111:A119"/>
    <mergeCell ref="A120:A128"/>
    <mergeCell ref="A42:A49"/>
    <mergeCell ref="A34:A38"/>
    <mergeCell ref="A24:A28"/>
    <mergeCell ref="A29:A33"/>
    <mergeCell ref="E266:E277"/>
    <mergeCell ref="A250:N250"/>
    <mergeCell ref="B252:B263"/>
    <mergeCell ref="G252:G263"/>
    <mergeCell ref="E165:E169"/>
    <mergeCell ref="E170:E174"/>
    <mergeCell ref="A165:A169"/>
    <mergeCell ref="A183:H183"/>
    <mergeCell ref="A198:H198"/>
    <mergeCell ref="F165:F169"/>
    <mergeCell ref="G165:G169"/>
    <mergeCell ref="H165:H169"/>
    <mergeCell ref="A170:A174"/>
    <mergeCell ref="H170:H174"/>
    <mergeCell ref="C252:C263"/>
    <mergeCell ref="D252:D263"/>
    <mergeCell ref="A14:A18"/>
    <mergeCell ref="A19:A23"/>
    <mergeCell ref="A93:A101"/>
    <mergeCell ref="A102:A110"/>
    <mergeCell ref="A75:A83"/>
    <mergeCell ref="A84:A92"/>
    <mergeCell ref="A58:A65"/>
    <mergeCell ref="A66:A74"/>
    <mergeCell ref="A50:A57"/>
    <mergeCell ref="F160:F164"/>
    <mergeCell ref="G160:G164"/>
    <mergeCell ref="A148:H148"/>
    <mergeCell ref="A150:A154"/>
    <mergeCell ref="E150:E154"/>
    <mergeCell ref="F150:F154"/>
    <mergeCell ref="G150:G154"/>
    <mergeCell ref="H150:H154"/>
    <mergeCell ref="F170:F174"/>
    <mergeCell ref="G170:G174"/>
    <mergeCell ref="F155:F159"/>
    <mergeCell ref="G155:G159"/>
    <mergeCell ref="H155:H159"/>
    <mergeCell ref="E160:E164"/>
    <mergeCell ref="H160:H164"/>
    <mergeCell ref="A155:A159"/>
    <mergeCell ref="A160:A164"/>
    <mergeCell ref="G138:G146"/>
    <mergeCell ref="H138:H146"/>
    <mergeCell ref="E120:E128"/>
    <mergeCell ref="F120:F128"/>
    <mergeCell ref="G120:G128"/>
    <mergeCell ref="H120:H128"/>
    <mergeCell ref="E155:E159"/>
    <mergeCell ref="E129:E137"/>
    <mergeCell ref="F129:F137"/>
    <mergeCell ref="G129:G137"/>
    <mergeCell ref="H129:H137"/>
    <mergeCell ref="E138:E146"/>
    <mergeCell ref="F138:F146"/>
    <mergeCell ref="E93:E101"/>
    <mergeCell ref="E102:E110"/>
    <mergeCell ref="F50:F57"/>
    <mergeCell ref="G50:G57"/>
    <mergeCell ref="F58:F65"/>
    <mergeCell ref="G58:G65"/>
    <mergeCell ref="H58:H65"/>
    <mergeCell ref="F42:F49"/>
    <mergeCell ref="G42:G49"/>
    <mergeCell ref="H42:H49"/>
    <mergeCell ref="H50:H57"/>
    <mergeCell ref="E58:E65"/>
    <mergeCell ref="G75:G83"/>
    <mergeCell ref="H75:H83"/>
    <mergeCell ref="E84:E92"/>
    <mergeCell ref="F84:F92"/>
    <mergeCell ref="E24:E28"/>
    <mergeCell ref="F24:F28"/>
    <mergeCell ref="G24:G28"/>
    <mergeCell ref="H24:H28"/>
    <mergeCell ref="E29:E33"/>
    <mergeCell ref="F29:F33"/>
    <mergeCell ref="E42:E49"/>
    <mergeCell ref="E50:E57"/>
    <mergeCell ref="E34:E38"/>
    <mergeCell ref="F34:F38"/>
    <mergeCell ref="G34:G38"/>
    <mergeCell ref="H34:H38"/>
    <mergeCell ref="A40:H40"/>
    <mergeCell ref="G29:G33"/>
    <mergeCell ref="H29:H33"/>
    <mergeCell ref="A5:B5"/>
    <mergeCell ref="A1:B3"/>
    <mergeCell ref="A4:B4"/>
    <mergeCell ref="C1:N1"/>
    <mergeCell ref="C2:N2"/>
    <mergeCell ref="C3:G3"/>
    <mergeCell ref="H3:N3"/>
    <mergeCell ref="C4:N4"/>
    <mergeCell ref="C5:N5"/>
    <mergeCell ref="A7:H7"/>
    <mergeCell ref="A9:A13"/>
    <mergeCell ref="E9:E13"/>
    <mergeCell ref="F9:F13"/>
    <mergeCell ref="G9:G13"/>
    <mergeCell ref="H9:H13"/>
    <mergeCell ref="F102:F110"/>
    <mergeCell ref="G102:G110"/>
    <mergeCell ref="F111:F119"/>
    <mergeCell ref="G111:G119"/>
    <mergeCell ref="H111:H119"/>
    <mergeCell ref="F93:F101"/>
    <mergeCell ref="G93:G101"/>
    <mergeCell ref="H93:H101"/>
    <mergeCell ref="H102:H110"/>
    <mergeCell ref="G84:G92"/>
    <mergeCell ref="H84:H92"/>
    <mergeCell ref="E66:E74"/>
    <mergeCell ref="F66:F74"/>
    <mergeCell ref="G66:G74"/>
    <mergeCell ref="H66:H74"/>
    <mergeCell ref="E111:E119"/>
    <mergeCell ref="E75:E83"/>
    <mergeCell ref="F75:F83"/>
    <mergeCell ref="E14:E18"/>
    <mergeCell ref="F14:F18"/>
    <mergeCell ref="G14:G18"/>
    <mergeCell ref="H14:H18"/>
    <mergeCell ref="E19:E23"/>
    <mergeCell ref="F19:F23"/>
    <mergeCell ref="G19:G23"/>
    <mergeCell ref="H19:H23"/>
    <mergeCell ref="B684:B689"/>
    <mergeCell ref="B666:B671"/>
    <mergeCell ref="E402:E413"/>
    <mergeCell ref="F402:F413"/>
    <mergeCell ref="G402:G413"/>
    <mergeCell ref="B543:B554"/>
    <mergeCell ref="B497:B508"/>
    <mergeCell ref="B449:B454"/>
    <mergeCell ref="B431:B436"/>
    <mergeCell ref="E417:E428"/>
    <mergeCell ref="F417:F428"/>
    <mergeCell ref="A465:G465"/>
    <mergeCell ref="C449:C454"/>
    <mergeCell ref="D449:D454"/>
    <mergeCell ref="B458:B463"/>
    <mergeCell ref="A429:G429"/>
    <mergeCell ref="A701:H701"/>
    <mergeCell ref="B703:B714"/>
    <mergeCell ref="B634:B645"/>
    <mergeCell ref="C718:C729"/>
    <mergeCell ref="D718:D729"/>
    <mergeCell ref="D684:D689"/>
    <mergeCell ref="D693:D698"/>
    <mergeCell ref="A664:H664"/>
    <mergeCell ref="C666:C671"/>
    <mergeCell ref="D666:D671"/>
    <mergeCell ref="B675:B680"/>
    <mergeCell ref="C675:C680"/>
    <mergeCell ref="A526:G526"/>
    <mergeCell ref="B528:B539"/>
    <mergeCell ref="C528:C539"/>
    <mergeCell ref="D528:D539"/>
    <mergeCell ref="G417:G428"/>
    <mergeCell ref="B402:B413"/>
    <mergeCell ref="C402:C413"/>
    <mergeCell ref="D402:D413"/>
    <mergeCell ref="B619:B630"/>
    <mergeCell ref="C431:C436"/>
    <mergeCell ref="B417:B428"/>
    <mergeCell ref="B440:B445"/>
    <mergeCell ref="D604:D615"/>
    <mergeCell ref="C417:C428"/>
    <mergeCell ref="D417:D428"/>
    <mergeCell ref="B558:B569"/>
    <mergeCell ref="C558:C569"/>
    <mergeCell ref="D558:D569"/>
    <mergeCell ref="D431:D436"/>
    <mergeCell ref="C440:C445"/>
    <mergeCell ref="D440:D445"/>
    <mergeCell ref="D573:D584"/>
    <mergeCell ref="C543:C554"/>
    <mergeCell ref="D543:D554"/>
    <mergeCell ref="G372:G383"/>
    <mergeCell ref="B387:B398"/>
    <mergeCell ref="C387:C398"/>
    <mergeCell ref="D387:D398"/>
    <mergeCell ref="E387:E398"/>
    <mergeCell ref="F387:F398"/>
    <mergeCell ref="G387:G398"/>
    <mergeCell ref="B467:B478"/>
    <mergeCell ref="C467:C478"/>
    <mergeCell ref="C458:C463"/>
    <mergeCell ref="D458:D463"/>
    <mergeCell ref="D372:D383"/>
    <mergeCell ref="E372:E383"/>
    <mergeCell ref="B482:B493"/>
    <mergeCell ref="C482:C493"/>
    <mergeCell ref="C497:C508"/>
    <mergeCell ref="D497:D508"/>
    <mergeCell ref="D467:D478"/>
    <mergeCell ref="D482:D493"/>
    <mergeCell ref="C764:C775"/>
    <mergeCell ref="C870:C881"/>
    <mergeCell ref="B855:B866"/>
    <mergeCell ref="C855:C866"/>
    <mergeCell ref="B870:B881"/>
    <mergeCell ref="D733:D744"/>
    <mergeCell ref="B748:B759"/>
    <mergeCell ref="C748:C759"/>
    <mergeCell ref="D748:D759"/>
    <mergeCell ref="B825:B836"/>
    <mergeCell ref="A823:H823"/>
    <mergeCell ref="D870:D881"/>
    <mergeCell ref="B512:B523"/>
    <mergeCell ref="C512:C523"/>
    <mergeCell ref="D512:D523"/>
    <mergeCell ref="C634:C645"/>
    <mergeCell ref="D634:D645"/>
    <mergeCell ref="D703:D714"/>
    <mergeCell ref="A886:H886"/>
    <mergeCell ref="D764:D775"/>
    <mergeCell ref="B779:B790"/>
    <mergeCell ref="C779:C790"/>
    <mergeCell ref="D779:D790"/>
    <mergeCell ref="B840:B851"/>
    <mergeCell ref="C840:C851"/>
    <mergeCell ref="C794:C805"/>
    <mergeCell ref="D794:D805"/>
    <mergeCell ref="B809:B820"/>
    <mergeCell ref="C809:C820"/>
    <mergeCell ref="D809:D820"/>
    <mergeCell ref="B573:B584"/>
    <mergeCell ref="C573:C584"/>
    <mergeCell ref="D619:D630"/>
    <mergeCell ref="A648:G648"/>
    <mergeCell ref="A587:G587"/>
    <mergeCell ref="B589:B600"/>
    <mergeCell ref="C589:C600"/>
    <mergeCell ref="D589:D600"/>
    <mergeCell ref="B604:B615"/>
    <mergeCell ref="C604:C615"/>
    <mergeCell ref="G326:G337"/>
    <mergeCell ref="E252:E263"/>
    <mergeCell ref="F252:F263"/>
    <mergeCell ref="E242:E247"/>
    <mergeCell ref="F242:F247"/>
    <mergeCell ref="G242:G247"/>
    <mergeCell ref="E233:E238"/>
    <mergeCell ref="F233:F238"/>
    <mergeCell ref="G233:G238"/>
    <mergeCell ref="F266:F277"/>
    <mergeCell ref="G266:G277"/>
    <mergeCell ref="F311:F322"/>
    <mergeCell ref="E280:E291"/>
    <mergeCell ref="F280:F291"/>
    <mergeCell ref="G280:G291"/>
    <mergeCell ref="E326:E337"/>
    <mergeCell ref="F326:F337"/>
  </mergeCells>
  <hyperlinks>
    <hyperlink ref="C311" r:id="rId1" location="1797075@455265" xr:uid="{00000000-0004-0000-0500-000000000000}"/>
    <hyperlink ref="C372" r:id="rId2" location="1797075@455265" xr:uid="{00000000-0004-0000-0500-000001000000}"/>
  </hyperlinks>
  <pageMargins left="0.7" right="0.7" top="0.75" bottom="0.75" header="0" footer="0"/>
  <pageSetup orientation="landscape" r:id="rId3"/>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
  <sheetViews>
    <sheetView workbookViewId="0">
      <selection sqref="A1:C3"/>
    </sheetView>
  </sheetViews>
  <sheetFormatPr baseColWidth="10" defaultRowHeight="15" x14ac:dyDescent="0.25"/>
  <cols>
    <col min="1" max="1" width="51" customWidth="1"/>
    <col min="2" max="2" width="17.7109375" customWidth="1"/>
    <col min="3" max="3" width="19.85546875" bestFit="1" customWidth="1"/>
  </cols>
  <sheetData>
    <row r="1" spans="1:3" ht="31.5" thickTop="1" thickBot="1" x14ac:dyDescent="0.3">
      <c r="A1" s="381" t="s">
        <v>644</v>
      </c>
      <c r="B1" s="382" t="s">
        <v>645</v>
      </c>
      <c r="C1" s="382" t="s">
        <v>646</v>
      </c>
    </row>
    <row r="2" spans="1:3" ht="76.5" thickTop="1" thickBot="1" x14ac:dyDescent="0.3">
      <c r="A2" s="383" t="s">
        <v>66</v>
      </c>
      <c r="B2" s="384">
        <v>32461390719</v>
      </c>
      <c r="C2" s="384">
        <v>3521604494</v>
      </c>
    </row>
    <row r="3" spans="1:3" ht="61.5" thickTop="1" thickBot="1" x14ac:dyDescent="0.3">
      <c r="A3" s="385" t="s">
        <v>73</v>
      </c>
      <c r="B3" s="384">
        <v>42833198544</v>
      </c>
      <c r="C3" s="384">
        <v>7181707363</v>
      </c>
    </row>
    <row r="4" spans="1:3" ht="15.75" thickTop="1" x14ac:dyDescent="0.25"/>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3"/>
  <sheetViews>
    <sheetView workbookViewId="0">
      <selection activeCell="B5" sqref="B5"/>
    </sheetView>
  </sheetViews>
  <sheetFormatPr baseColWidth="10" defaultRowHeight="15" x14ac:dyDescent="0.25"/>
  <cols>
    <col min="2" max="2" width="73" customWidth="1"/>
  </cols>
  <sheetData>
    <row r="1" spans="1:3" ht="21" x14ac:dyDescent="0.25">
      <c r="A1" s="998" t="s">
        <v>629</v>
      </c>
      <c r="B1" s="999"/>
      <c r="C1" s="358"/>
    </row>
    <row r="2" spans="1:3" ht="47.25" x14ac:dyDescent="0.25">
      <c r="A2" s="359" t="s">
        <v>284</v>
      </c>
      <c r="B2" s="360" t="s">
        <v>630</v>
      </c>
      <c r="C2" s="361">
        <f>LEN(B2)</f>
        <v>190</v>
      </c>
    </row>
    <row r="3" spans="1:3" ht="60" x14ac:dyDescent="0.25">
      <c r="A3" s="359" t="s">
        <v>293</v>
      </c>
      <c r="B3" s="362" t="s">
        <v>631</v>
      </c>
      <c r="C3" s="361">
        <f t="shared" ref="C3:C13" si="0">LEN(B3)</f>
        <v>240</v>
      </c>
    </row>
    <row r="4" spans="1:3" ht="63" x14ac:dyDescent="0.25">
      <c r="A4" s="359" t="s">
        <v>302</v>
      </c>
      <c r="B4" s="360" t="s">
        <v>632</v>
      </c>
      <c r="C4" s="361">
        <f t="shared" si="0"/>
        <v>249</v>
      </c>
    </row>
    <row r="5" spans="1:3" ht="93.75" x14ac:dyDescent="0.25">
      <c r="A5" s="359" t="s">
        <v>303</v>
      </c>
      <c r="B5" s="363" t="s">
        <v>633</v>
      </c>
      <c r="C5" s="361">
        <f t="shared" si="0"/>
        <v>249</v>
      </c>
    </row>
    <row r="6" spans="1:3" ht="18.75" x14ac:dyDescent="0.25">
      <c r="A6" s="359" t="s">
        <v>305</v>
      </c>
      <c r="B6" s="363"/>
      <c r="C6" s="361">
        <f t="shared" si="0"/>
        <v>0</v>
      </c>
    </row>
    <row r="7" spans="1:3" ht="18.75" x14ac:dyDescent="0.25">
      <c r="A7" s="359" t="s">
        <v>306</v>
      </c>
      <c r="B7" s="363"/>
      <c r="C7" s="361">
        <f t="shared" si="0"/>
        <v>0</v>
      </c>
    </row>
    <row r="8" spans="1:3" ht="18.75" x14ac:dyDescent="0.25">
      <c r="A8" s="359" t="s">
        <v>272</v>
      </c>
      <c r="B8" s="363"/>
      <c r="C8" s="361">
        <f t="shared" si="0"/>
        <v>0</v>
      </c>
    </row>
    <row r="9" spans="1:3" ht="18.75" x14ac:dyDescent="0.25">
      <c r="A9" s="359" t="s">
        <v>278</v>
      </c>
      <c r="B9" s="363"/>
      <c r="C9" s="361">
        <f t="shared" si="0"/>
        <v>0</v>
      </c>
    </row>
    <row r="10" spans="1:3" ht="18.75" x14ac:dyDescent="0.25">
      <c r="A10" s="359" t="s">
        <v>279</v>
      </c>
      <c r="B10" s="363"/>
      <c r="C10" s="361">
        <f t="shared" si="0"/>
        <v>0</v>
      </c>
    </row>
    <row r="11" spans="1:3" ht="18.75" x14ac:dyDescent="0.25">
      <c r="A11" s="359" t="s">
        <v>280</v>
      </c>
      <c r="B11" s="363"/>
      <c r="C11" s="361">
        <f t="shared" si="0"/>
        <v>0</v>
      </c>
    </row>
    <row r="12" spans="1:3" ht="18.75" x14ac:dyDescent="0.25">
      <c r="A12" s="359" t="s">
        <v>281</v>
      </c>
      <c r="B12" s="363"/>
      <c r="C12" s="361">
        <f t="shared" si="0"/>
        <v>0</v>
      </c>
    </row>
    <row r="13" spans="1:3" ht="19.5" thickBot="1" x14ac:dyDescent="0.3">
      <c r="A13" s="364" t="s">
        <v>282</v>
      </c>
      <c r="B13" s="365"/>
      <c r="C13" s="366">
        <f t="shared" si="0"/>
        <v>0</v>
      </c>
    </row>
  </sheetData>
  <mergeCells count="1">
    <mergeCell ref="A1:B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K8"/>
  <sheetViews>
    <sheetView zoomScale="90" zoomScaleNormal="90" workbookViewId="0">
      <selection activeCell="E8" sqref="E8"/>
    </sheetView>
  </sheetViews>
  <sheetFormatPr baseColWidth="10" defaultRowHeight="15" x14ac:dyDescent="0.25"/>
  <cols>
    <col min="1" max="1" width="28.42578125" customWidth="1"/>
    <col min="2" max="2" width="30.85546875" customWidth="1"/>
    <col min="3" max="3" width="12.85546875" customWidth="1"/>
    <col min="4" max="4" width="12.28515625" customWidth="1"/>
    <col min="5" max="5" width="13.140625" customWidth="1"/>
    <col min="6" max="6" width="13.5703125" customWidth="1"/>
    <col min="7" max="7" width="16.42578125" customWidth="1"/>
    <col min="8" max="8" width="15.42578125" bestFit="1" customWidth="1"/>
  </cols>
  <sheetData>
    <row r="2" spans="1:11" s="391" customFormat="1" ht="38.25" x14ac:dyDescent="0.25">
      <c r="A2" s="387" t="s">
        <v>653</v>
      </c>
      <c r="B2" s="387" t="s">
        <v>654</v>
      </c>
      <c r="C2" s="387" t="s">
        <v>655</v>
      </c>
      <c r="D2" s="387" t="s">
        <v>656</v>
      </c>
      <c r="E2" s="387" t="s">
        <v>657</v>
      </c>
      <c r="F2" s="387" t="s">
        <v>658</v>
      </c>
      <c r="G2" s="392" t="s">
        <v>660</v>
      </c>
      <c r="H2" s="392" t="s">
        <v>659</v>
      </c>
    </row>
    <row r="3" spans="1:11" ht="38.25" x14ac:dyDescent="0.25">
      <c r="A3" s="1000" t="s">
        <v>66</v>
      </c>
      <c r="B3" s="388" t="s">
        <v>67</v>
      </c>
      <c r="C3" s="389">
        <v>5.49</v>
      </c>
      <c r="D3" s="389">
        <v>14.19</v>
      </c>
      <c r="E3" s="389">
        <v>66.47</v>
      </c>
      <c r="F3" s="389">
        <v>6.274</v>
      </c>
      <c r="G3" s="389">
        <f>K3-F3</f>
        <v>248.066</v>
      </c>
      <c r="H3" s="389">
        <v>29.51</v>
      </c>
      <c r="K3">
        <v>254.34</v>
      </c>
    </row>
    <row r="4" spans="1:11" ht="25.5" x14ac:dyDescent="0.25">
      <c r="A4" s="1001"/>
      <c r="B4" s="388" t="s">
        <v>71</v>
      </c>
      <c r="C4" s="390">
        <v>2900</v>
      </c>
      <c r="D4" s="390">
        <v>30019</v>
      </c>
      <c r="E4" s="390">
        <v>55282</v>
      </c>
      <c r="F4" s="390">
        <v>41725</v>
      </c>
      <c r="G4" s="390">
        <f>K4-F4</f>
        <v>283504</v>
      </c>
      <c r="H4" s="390">
        <v>36570</v>
      </c>
      <c r="K4">
        <v>325229</v>
      </c>
    </row>
    <row r="7" spans="1:11" s="391" customFormat="1" ht="38.25" x14ac:dyDescent="0.25">
      <c r="A7" s="387" t="s">
        <v>653</v>
      </c>
      <c r="B7" s="387" t="s">
        <v>654</v>
      </c>
      <c r="C7" s="387" t="s">
        <v>655</v>
      </c>
      <c r="D7" s="387" t="s">
        <v>656</v>
      </c>
      <c r="E7" s="387" t="s">
        <v>657</v>
      </c>
      <c r="F7" s="387" t="s">
        <v>658</v>
      </c>
      <c r="G7" s="392" t="s">
        <v>660</v>
      </c>
      <c r="H7" s="392" t="s">
        <v>659</v>
      </c>
    </row>
    <row r="8" spans="1:11" ht="120" x14ac:dyDescent="0.25">
      <c r="A8" s="393" t="s">
        <v>73</v>
      </c>
      <c r="B8" s="379" t="s">
        <v>74</v>
      </c>
      <c r="C8" s="380">
        <v>5.24</v>
      </c>
      <c r="D8" s="380">
        <v>60.559999999999995</v>
      </c>
      <c r="E8" s="380">
        <v>75.73</v>
      </c>
      <c r="F8" s="380">
        <v>477.73999999999995</v>
      </c>
      <c r="G8" s="380">
        <f>H8-F8</f>
        <v>112.26000000000005</v>
      </c>
      <c r="H8" s="380">
        <v>590</v>
      </c>
    </row>
  </sheetData>
  <mergeCells count="1">
    <mergeCell ref="A3:A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GESTIÓN</vt:lpstr>
      <vt:lpstr>INVERSIÓN</vt:lpstr>
      <vt:lpstr>ACTIVIDADES</vt:lpstr>
      <vt:lpstr>Hoja1</vt:lpstr>
      <vt:lpstr>TERRITORIALIZACION</vt:lpstr>
      <vt:lpstr>SPI</vt:lpstr>
      <vt:lpstr>Hoja3</vt:lpstr>
      <vt:lpstr>Hoja2</vt:lpstr>
      <vt:lpstr>Hoja4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2020-01-27T23:43:22Z</cp:lastPrinted>
  <dcterms:created xsi:type="dcterms:W3CDTF">2010-03-25T16:40:43Z</dcterms:created>
  <dcterms:modified xsi:type="dcterms:W3CDTF">2023-10-30T14:04:00Z</dcterms:modified>
</cp:coreProperties>
</file>