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YULIED.PENARANDA.SDA\Desktop\2023\4-ABRIL\PLAN DE ACCIÓN MARZO 2023\PLAN DE ACCIÓN MARZO 2023\"/>
    </mc:Choice>
  </mc:AlternateContent>
  <xr:revisionPtr revIDLastSave="0" documentId="13_ncr:1_{BF427C20-420B-4FBE-9442-6B78E3D2EA10}" xr6:coauthVersionLast="47" xr6:coauthVersionMax="47" xr10:uidLastSave="{00000000-0000-0000-0000-000000000000}"/>
  <bookViews>
    <workbookView xWindow="0" yWindow="30" windowWidth="20460" windowHeight="10890" activeTab="1" xr2:uid="{00000000-000D-0000-FFFF-FFFF00000000}"/>
  </bookViews>
  <sheets>
    <sheet name="GESTIÓN" sheetId="1" r:id="rId1"/>
    <sheet name="INVERSIÓN" sheetId="2" r:id="rId2"/>
    <sheet name="ACTIVIDADES" sheetId="3" r:id="rId3"/>
    <sheet name="TERRITORIALIZACIÓN" sheetId="8" r:id="rId4"/>
    <sheet name="Hoja1" sheetId="5" state="hidden" r:id="rId5"/>
    <sheet name="SPI" sheetId="6" r:id="rId6"/>
    <sheet name="PMR" sheetId="7" state="hidden" r:id="rId7"/>
  </sheets>
  <externalReferences>
    <externalReference r:id="rId8"/>
  </externalReferences>
  <definedNames>
    <definedName name="_xlnm._FilterDatabase" localSheetId="1" hidden="1">INVERSIÓN!$A$9:$FA$40</definedName>
    <definedName name="GRUPO_ETAREOS">#REF!</definedName>
    <definedName name="GRUPO_ETARIO">#REF!</definedName>
    <definedName name="GRUPO_ETNICO">#REF!</definedName>
    <definedName name="GRUPOETNICO">#REF!</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T16" i="1" l="1"/>
  <c r="EV33" i="2"/>
  <c r="ET34" i="2"/>
  <c r="ES34" i="2"/>
  <c r="ER34" i="2"/>
  <c r="EV26" i="2"/>
  <c r="EV27" i="2"/>
  <c r="EU27" i="2"/>
  <c r="ET27" i="2"/>
  <c r="ES24" i="2"/>
  <c r="ES29" i="2"/>
  <c r="ER29" i="2"/>
  <c r="ES27" i="2"/>
  <c r="ER27" i="2"/>
  <c r="ER24" i="2"/>
  <c r="EV19" i="2"/>
  <c r="ES20" i="2"/>
  <c r="ER20" i="2"/>
  <c r="EV13" i="2"/>
  <c r="EV12" i="2"/>
  <c r="EU13" i="2"/>
  <c r="ET13" i="2"/>
  <c r="ES13" i="2"/>
  <c r="ER13" i="2"/>
  <c r="Q80" i="8" l="1"/>
  <c r="AE65" i="8"/>
  <c r="AD65" i="8"/>
  <c r="AC65" i="8"/>
  <c r="AB65" i="8"/>
  <c r="AA65" i="8"/>
  <c r="Z65" i="8"/>
  <c r="Y65" i="8"/>
  <c r="X65" i="8"/>
  <c r="W65" i="8"/>
  <c r="V65" i="8"/>
  <c r="U65" i="8"/>
  <c r="T65" i="8"/>
  <c r="R65" i="8"/>
  <c r="H65" i="8"/>
  <c r="F65" i="8"/>
  <c r="E65" i="8"/>
  <c r="AE64" i="8"/>
  <c r="AD64" i="8"/>
  <c r="AD66" i="8" s="1"/>
  <c r="AC64" i="8"/>
  <c r="AC66" i="8" s="1"/>
  <c r="AB64" i="8"/>
  <c r="AA64" i="8"/>
  <c r="Z64" i="8"/>
  <c r="Z66" i="8" s="1"/>
  <c r="Y64" i="8"/>
  <c r="Y66" i="8" s="1"/>
  <c r="X64" i="8"/>
  <c r="X66" i="8" s="1"/>
  <c r="W64" i="8"/>
  <c r="V64" i="8"/>
  <c r="V66" i="8" s="1"/>
  <c r="U64" i="8"/>
  <c r="U66" i="8" s="1"/>
  <c r="T64" i="8"/>
  <c r="R64" i="8"/>
  <c r="Q64" i="8"/>
  <c r="P64" i="8"/>
  <c r="O64" i="8"/>
  <c r="N64" i="8"/>
  <c r="M64" i="8"/>
  <c r="L64" i="8"/>
  <c r="K64" i="8"/>
  <c r="J64" i="8"/>
  <c r="I64" i="8"/>
  <c r="H64" i="8"/>
  <c r="H66" i="8" s="1"/>
  <c r="G64" i="8"/>
  <c r="F64" i="8"/>
  <c r="E64" i="8"/>
  <c r="Q62" i="8"/>
  <c r="AD61" i="8"/>
  <c r="AC61" i="8"/>
  <c r="AB61" i="8"/>
  <c r="AA61" i="8"/>
  <c r="Z61" i="8"/>
  <c r="Y61" i="8"/>
  <c r="X61" i="8"/>
  <c r="W61" i="8"/>
  <c r="V61" i="8"/>
  <c r="U61" i="8"/>
  <c r="T61" i="8"/>
  <c r="Q61" i="8"/>
  <c r="Q65" i="8" s="1"/>
  <c r="Q66" i="8" s="1"/>
  <c r="P61" i="8"/>
  <c r="P65" i="8" s="1"/>
  <c r="O61" i="8"/>
  <c r="O65" i="8" s="1"/>
  <c r="N61" i="8"/>
  <c r="N65" i="8" s="1"/>
  <c r="M61" i="8"/>
  <c r="M65" i="8" s="1"/>
  <c r="L61" i="8"/>
  <c r="L65" i="8" s="1"/>
  <c r="K61" i="8"/>
  <c r="K65" i="8" s="1"/>
  <c r="J61" i="8"/>
  <c r="J65" i="8" s="1"/>
  <c r="I61" i="8"/>
  <c r="I65" i="8" s="1"/>
  <c r="I66" i="8" s="1"/>
  <c r="H61" i="8"/>
  <c r="G61" i="8"/>
  <c r="G65" i="8" s="1"/>
  <c r="F61" i="8"/>
  <c r="E61" i="8"/>
  <c r="AD60" i="8"/>
  <c r="AC60" i="8"/>
  <c r="AB60" i="8"/>
  <c r="AA60" i="8"/>
  <c r="Z60" i="8"/>
  <c r="Y60" i="8"/>
  <c r="X60" i="8"/>
  <c r="W60" i="8"/>
  <c r="V60" i="8"/>
  <c r="U60" i="8"/>
  <c r="T60" i="8"/>
  <c r="Q60" i="8"/>
  <c r="P60" i="8"/>
  <c r="O60" i="8"/>
  <c r="N60" i="8"/>
  <c r="M60" i="8"/>
  <c r="L60" i="8"/>
  <c r="K60" i="8"/>
  <c r="J60" i="8"/>
  <c r="I60" i="8"/>
  <c r="H60" i="8"/>
  <c r="G60" i="8"/>
  <c r="F60" i="8"/>
  <c r="E60" i="8"/>
  <c r="AD59" i="8"/>
  <c r="AC59" i="8"/>
  <c r="AB59" i="8"/>
  <c r="AA59" i="8"/>
  <c r="Z59" i="8"/>
  <c r="Y59" i="8"/>
  <c r="X59" i="8"/>
  <c r="W59" i="8"/>
  <c r="V59" i="8"/>
  <c r="U59" i="8"/>
  <c r="T59" i="8"/>
  <c r="Q59" i="8"/>
  <c r="P59" i="8"/>
  <c r="O59" i="8"/>
  <c r="N59" i="8"/>
  <c r="M59" i="8"/>
  <c r="L59" i="8"/>
  <c r="K59" i="8"/>
  <c r="J59" i="8"/>
  <c r="I59" i="8"/>
  <c r="H59" i="8"/>
  <c r="G59" i="8"/>
  <c r="F59" i="8"/>
  <c r="E59" i="8"/>
  <c r="E63" i="8" s="1"/>
  <c r="AD58" i="8"/>
  <c r="AC58" i="8"/>
  <c r="AC62" i="8" s="1"/>
  <c r="AB58" i="8"/>
  <c r="AA58" i="8"/>
  <c r="Z58" i="8"/>
  <c r="Y58" i="8"/>
  <c r="X58" i="8"/>
  <c r="W58" i="8"/>
  <c r="V58" i="8"/>
  <c r="U58" i="8"/>
  <c r="T58" i="8"/>
  <c r="Q58" i="8"/>
  <c r="P58" i="8"/>
  <c r="O58" i="8"/>
  <c r="N58" i="8"/>
  <c r="M58" i="8"/>
  <c r="L58" i="8"/>
  <c r="K58" i="8"/>
  <c r="J58" i="8"/>
  <c r="I58" i="8"/>
  <c r="H58" i="8"/>
  <c r="G58" i="8"/>
  <c r="F58" i="8"/>
  <c r="E58" i="8"/>
  <c r="E62" i="8" s="1"/>
  <c r="AD57" i="8"/>
  <c r="AC57" i="8"/>
  <c r="AB57" i="8"/>
  <c r="AA57" i="8"/>
  <c r="Z57" i="8"/>
  <c r="Y57" i="8"/>
  <c r="X57" i="8"/>
  <c r="W57" i="8"/>
  <c r="V57" i="8"/>
  <c r="U57" i="8"/>
  <c r="T57" i="8"/>
  <c r="Q57" i="8"/>
  <c r="P57" i="8"/>
  <c r="O57" i="8"/>
  <c r="N57" i="8"/>
  <c r="M57" i="8"/>
  <c r="L57" i="8"/>
  <c r="K57" i="8"/>
  <c r="J57" i="8"/>
  <c r="I57" i="8"/>
  <c r="G57" i="8"/>
  <c r="F57" i="8"/>
  <c r="E57" i="8"/>
  <c r="AD56" i="8"/>
  <c r="AC56" i="8"/>
  <c r="AB56" i="8"/>
  <c r="AA56" i="8"/>
  <c r="Z56" i="8"/>
  <c r="Y56" i="8"/>
  <c r="X56" i="8"/>
  <c r="W56" i="8"/>
  <c r="V56" i="8"/>
  <c r="U56" i="8"/>
  <c r="T56" i="8"/>
  <c r="P56" i="8"/>
  <c r="O56" i="8"/>
  <c r="N56" i="8"/>
  <c r="M56" i="8"/>
  <c r="L56" i="8"/>
  <c r="K56" i="8"/>
  <c r="J56" i="8"/>
  <c r="H56" i="8"/>
  <c r="G56" i="8"/>
  <c r="F56" i="8"/>
  <c r="E56" i="8"/>
  <c r="AN52" i="8"/>
  <c r="AD51" i="8"/>
  <c r="AC51" i="8"/>
  <c r="AB51" i="8"/>
  <c r="AA51" i="8"/>
  <c r="Z51" i="8"/>
  <c r="Y51" i="8"/>
  <c r="X51" i="8"/>
  <c r="W51" i="8"/>
  <c r="V51" i="8"/>
  <c r="U51" i="8"/>
  <c r="T51" i="8"/>
  <c r="Q51" i="8"/>
  <c r="P51" i="8"/>
  <c r="O51" i="8"/>
  <c r="N51" i="8"/>
  <c r="M51" i="8"/>
  <c r="L51" i="8"/>
  <c r="K51" i="8"/>
  <c r="J51" i="8"/>
  <c r="I51" i="8"/>
  <c r="H51" i="8"/>
  <c r="G51" i="8"/>
  <c r="F51" i="8"/>
  <c r="E51" i="8"/>
  <c r="AD50" i="8"/>
  <c r="AC50" i="8"/>
  <c r="AB50" i="8"/>
  <c r="AA50" i="8"/>
  <c r="Z50" i="8"/>
  <c r="Y50" i="8"/>
  <c r="X50" i="8"/>
  <c r="W50" i="8"/>
  <c r="V50" i="8"/>
  <c r="U50" i="8"/>
  <c r="T50" i="8"/>
  <c r="P50" i="8"/>
  <c r="O50" i="8"/>
  <c r="N50" i="8"/>
  <c r="M50" i="8"/>
  <c r="L50" i="8"/>
  <c r="K50" i="8"/>
  <c r="J50" i="8"/>
  <c r="F50" i="8"/>
  <c r="E50" i="8"/>
  <c r="AN46" i="8"/>
  <c r="AD45" i="8"/>
  <c r="AC45" i="8"/>
  <c r="AB45" i="8"/>
  <c r="AA45" i="8"/>
  <c r="Z45" i="8"/>
  <c r="Y45" i="8"/>
  <c r="X45" i="8"/>
  <c r="W45" i="8"/>
  <c r="V45" i="8"/>
  <c r="U45" i="8"/>
  <c r="T45" i="8"/>
  <c r="Q45" i="8"/>
  <c r="P45" i="8"/>
  <c r="O45" i="8"/>
  <c r="N45" i="8"/>
  <c r="M45" i="8"/>
  <c r="L45" i="8"/>
  <c r="K45" i="8"/>
  <c r="J45" i="8"/>
  <c r="I45" i="8"/>
  <c r="H45" i="8"/>
  <c r="G45" i="8"/>
  <c r="F45" i="8"/>
  <c r="E45" i="8"/>
  <c r="AD44" i="8"/>
  <c r="AC44" i="8"/>
  <c r="AB44" i="8"/>
  <c r="AA44" i="8"/>
  <c r="Z44" i="8"/>
  <c r="Y44" i="8"/>
  <c r="X44" i="8"/>
  <c r="W44" i="8"/>
  <c r="V44" i="8"/>
  <c r="U44" i="8"/>
  <c r="T44" i="8"/>
  <c r="P44" i="8"/>
  <c r="P62" i="8" s="1"/>
  <c r="O44" i="8"/>
  <c r="O62" i="8" s="1"/>
  <c r="N44" i="8"/>
  <c r="M44" i="8"/>
  <c r="L44" i="8"/>
  <c r="K44" i="8"/>
  <c r="J44" i="8"/>
  <c r="H44" i="8"/>
  <c r="G44" i="8"/>
  <c r="F44" i="8"/>
  <c r="E44" i="8"/>
  <c r="AN40" i="8"/>
  <c r="AD39" i="8"/>
  <c r="AC39" i="8"/>
  <c r="AB39" i="8"/>
  <c r="AA39" i="8"/>
  <c r="Z39" i="8"/>
  <c r="Y39" i="8"/>
  <c r="X39" i="8"/>
  <c r="W39" i="8"/>
  <c r="V39" i="8"/>
  <c r="U39" i="8"/>
  <c r="T39" i="8"/>
  <c r="Q39" i="8"/>
  <c r="P39" i="8"/>
  <c r="O39" i="8"/>
  <c r="N39" i="8"/>
  <c r="M39" i="8"/>
  <c r="L39" i="8"/>
  <c r="K39" i="8"/>
  <c r="J39" i="8"/>
  <c r="I39" i="8"/>
  <c r="H39" i="8"/>
  <c r="G39" i="8"/>
  <c r="G63" i="8" s="1"/>
  <c r="F39" i="8"/>
  <c r="E39" i="8"/>
  <c r="AD38" i="8"/>
  <c r="AC38" i="8"/>
  <c r="AB38" i="8"/>
  <c r="AA38" i="8"/>
  <c r="Z38" i="8"/>
  <c r="Y38" i="8"/>
  <c r="X38" i="8"/>
  <c r="W38" i="8"/>
  <c r="V38" i="8"/>
  <c r="U38" i="8"/>
  <c r="T38" i="8"/>
  <c r="K38" i="8"/>
  <c r="J38" i="8"/>
  <c r="H38" i="8"/>
  <c r="G38" i="8"/>
  <c r="F38" i="8"/>
  <c r="E38" i="8"/>
  <c r="AN34" i="8"/>
  <c r="AD33" i="8"/>
  <c r="AC33" i="8"/>
  <c r="AB33" i="8"/>
  <c r="AA33" i="8"/>
  <c r="Z33" i="8"/>
  <c r="Y33" i="8"/>
  <c r="X33" i="8"/>
  <c r="W33" i="8"/>
  <c r="V33" i="8"/>
  <c r="U33" i="8"/>
  <c r="T33" i="8"/>
  <c r="Q33" i="8"/>
  <c r="P33" i="8"/>
  <c r="O33" i="8"/>
  <c r="N33" i="8"/>
  <c r="M33" i="8"/>
  <c r="L33" i="8"/>
  <c r="K33" i="8"/>
  <c r="J33" i="8"/>
  <c r="I33" i="8"/>
  <c r="H33" i="8"/>
  <c r="G33" i="8"/>
  <c r="F33" i="8"/>
  <c r="E33" i="8"/>
  <c r="AD32" i="8"/>
  <c r="AC32" i="8"/>
  <c r="AB32" i="8"/>
  <c r="AA32" i="8"/>
  <c r="Z32" i="8"/>
  <c r="Y32" i="8"/>
  <c r="X32" i="8"/>
  <c r="W32" i="8"/>
  <c r="V32" i="8"/>
  <c r="U32" i="8"/>
  <c r="T32" i="8"/>
  <c r="K32" i="8"/>
  <c r="J32" i="8"/>
  <c r="I32" i="8"/>
  <c r="I62" i="8" s="1"/>
  <c r="H32" i="8"/>
  <c r="G32" i="8"/>
  <c r="F32" i="8"/>
  <c r="E32" i="8"/>
  <c r="AN28" i="8"/>
  <c r="AD27" i="8"/>
  <c r="AC27" i="8"/>
  <c r="AB27" i="8"/>
  <c r="AA27" i="8"/>
  <c r="Z27" i="8"/>
  <c r="Y27" i="8"/>
  <c r="X27" i="8"/>
  <c r="W27" i="8"/>
  <c r="V27" i="8"/>
  <c r="U27" i="8"/>
  <c r="T27" i="8"/>
  <c r="Q27" i="8"/>
  <c r="P27" i="8"/>
  <c r="O27" i="8"/>
  <c r="N27" i="8"/>
  <c r="M27" i="8"/>
  <c r="L27" i="8"/>
  <c r="K27" i="8"/>
  <c r="J27" i="8"/>
  <c r="I27" i="8"/>
  <c r="H27" i="8"/>
  <c r="G27" i="8"/>
  <c r="F27" i="8"/>
  <c r="E27" i="8"/>
  <c r="AD26" i="8"/>
  <c r="AC26" i="8"/>
  <c r="AB26" i="8"/>
  <c r="AA26" i="8"/>
  <c r="Z26" i="8"/>
  <c r="Y26" i="8"/>
  <c r="X26" i="8"/>
  <c r="W26" i="8"/>
  <c r="V26" i="8"/>
  <c r="U26" i="8"/>
  <c r="T26" i="8"/>
  <c r="Q26" i="8"/>
  <c r="P26" i="8"/>
  <c r="O26" i="8"/>
  <c r="N26" i="8"/>
  <c r="M26" i="8"/>
  <c r="L26" i="8"/>
  <c r="K26" i="8"/>
  <c r="J26" i="8"/>
  <c r="I26" i="8"/>
  <c r="H26" i="8"/>
  <c r="G26" i="8"/>
  <c r="F26" i="8"/>
  <c r="E26" i="8"/>
  <c r="AN22" i="8"/>
  <c r="AD21" i="8"/>
  <c r="AC21" i="8"/>
  <c r="AB21" i="8"/>
  <c r="AA21" i="8"/>
  <c r="Z21" i="8"/>
  <c r="Y21" i="8"/>
  <c r="X21" i="8"/>
  <c r="W21" i="8"/>
  <c r="V21" i="8"/>
  <c r="U21" i="8"/>
  <c r="T21" i="8"/>
  <c r="Q21" i="8"/>
  <c r="P21" i="8"/>
  <c r="O21" i="8"/>
  <c r="N21" i="8"/>
  <c r="M21" i="8"/>
  <c r="L21" i="8"/>
  <c r="K21" i="8"/>
  <c r="J21" i="8"/>
  <c r="I21" i="8"/>
  <c r="H21" i="8"/>
  <c r="G21" i="8"/>
  <c r="F21" i="8"/>
  <c r="E21" i="8"/>
  <c r="AD20" i="8"/>
  <c r="AC20" i="8"/>
  <c r="AB20" i="8"/>
  <c r="AA20" i="8"/>
  <c r="Z20" i="8"/>
  <c r="Y20" i="8"/>
  <c r="X20" i="8"/>
  <c r="W20" i="8"/>
  <c r="V20" i="8"/>
  <c r="U20" i="8"/>
  <c r="T20" i="8"/>
  <c r="Q20" i="8"/>
  <c r="P20" i="8"/>
  <c r="O20" i="8"/>
  <c r="N20" i="8"/>
  <c r="M20" i="8"/>
  <c r="L20" i="8"/>
  <c r="K20" i="8"/>
  <c r="J20" i="8"/>
  <c r="I20" i="8"/>
  <c r="H20" i="8"/>
  <c r="G20" i="8"/>
  <c r="F20" i="8"/>
  <c r="E20" i="8"/>
  <c r="AN16" i="8"/>
  <c r="AD15" i="8"/>
  <c r="AC15" i="8"/>
  <c r="AB15" i="8"/>
  <c r="AA15" i="8"/>
  <c r="Z15" i="8"/>
  <c r="Y15" i="8"/>
  <c r="X15" i="8"/>
  <c r="W15" i="8"/>
  <c r="V15" i="8"/>
  <c r="U15" i="8"/>
  <c r="T15" i="8"/>
  <c r="Q15" i="8"/>
  <c r="P15" i="8"/>
  <c r="O15" i="8"/>
  <c r="N15" i="8"/>
  <c r="M15" i="8"/>
  <c r="L15" i="8"/>
  <c r="K15" i="8"/>
  <c r="J15" i="8"/>
  <c r="I15" i="8"/>
  <c r="H15" i="8"/>
  <c r="G15" i="8"/>
  <c r="F15" i="8"/>
  <c r="E15" i="8"/>
  <c r="AD14" i="8"/>
  <c r="AC14" i="8"/>
  <c r="AB14" i="8"/>
  <c r="AA14" i="8"/>
  <c r="Z14" i="8"/>
  <c r="Y14" i="8"/>
  <c r="X14" i="8"/>
  <c r="W14" i="8"/>
  <c r="V14" i="8"/>
  <c r="U14" i="8"/>
  <c r="T14" i="8"/>
  <c r="Q14" i="8"/>
  <c r="P14" i="8"/>
  <c r="O14" i="8"/>
  <c r="N14" i="8"/>
  <c r="M14" i="8"/>
  <c r="L14" i="8"/>
  <c r="K14" i="8"/>
  <c r="J14" i="8"/>
  <c r="I14" i="8"/>
  <c r="H14" i="8"/>
  <c r="G14" i="8"/>
  <c r="F14" i="8"/>
  <c r="E14" i="8"/>
  <c r="AN10" i="8"/>
  <c r="J62" i="8" l="1"/>
  <c r="Y62" i="8"/>
  <c r="K66" i="8"/>
  <c r="T66" i="8"/>
  <c r="AB66" i="8"/>
  <c r="U62" i="8"/>
  <c r="K63" i="8"/>
  <c r="U63" i="8"/>
  <c r="AC63" i="8"/>
  <c r="W62" i="8"/>
  <c r="O63" i="8"/>
  <c r="Y63" i="8"/>
  <c r="F62" i="8"/>
  <c r="V62" i="8"/>
  <c r="L63" i="8"/>
  <c r="V63" i="8"/>
  <c r="AD63" i="8"/>
  <c r="G62" i="8"/>
  <c r="J66" i="8"/>
  <c r="R66" i="8"/>
  <c r="AA66" i="8"/>
  <c r="K62" i="8"/>
  <c r="AA62" i="8"/>
  <c r="Q63" i="8"/>
  <c r="H62" i="8"/>
  <c r="T62" i="8"/>
  <c r="AB62" i="8"/>
  <c r="J63" i="8"/>
  <c r="T63" i="8"/>
  <c r="AB63" i="8"/>
  <c r="Z62" i="8"/>
  <c r="H63" i="8"/>
  <c r="P63" i="8"/>
  <c r="Z63" i="8"/>
  <c r="X62" i="8"/>
  <c r="X63" i="8"/>
  <c r="N63" i="8"/>
  <c r="L66" i="8"/>
  <c r="N62" i="8"/>
  <c r="L62" i="8"/>
  <c r="E66" i="8"/>
  <c r="M66" i="8"/>
  <c r="M62" i="8"/>
  <c r="F63" i="8"/>
  <c r="M63" i="8"/>
  <c r="W63" i="8"/>
  <c r="F66" i="8"/>
  <c r="W66" i="8"/>
  <c r="AE66" i="8"/>
  <c r="AD62" i="8"/>
  <c r="I63" i="8"/>
  <c r="AA63" i="8"/>
  <c r="N66" i="8"/>
  <c r="G66" i="8"/>
  <c r="O66" i="8"/>
  <c r="P66" i="8"/>
  <c r="EU15" i="2" l="1"/>
  <c r="EU10" i="2"/>
  <c r="ET14" i="1" l="1"/>
  <c r="ET15" i="1"/>
  <c r="ET17" i="1"/>
  <c r="ET13" i="1"/>
  <c r="ER18" i="2"/>
  <c r="ER19" i="2"/>
  <c r="ES19" i="2"/>
  <c r="ER21" i="2"/>
  <c r="ER25" i="2"/>
  <c r="ER26" i="2"/>
  <c r="ER28" i="2"/>
  <c r="ES28" i="2"/>
  <c r="ES30" i="2"/>
  <c r="ER31" i="2"/>
  <c r="ER32" i="2"/>
  <c r="ER33" i="2"/>
  <c r="ER35" i="2"/>
  <c r="ER17" i="2"/>
  <c r="ER12" i="2"/>
  <c r="ER14" i="2"/>
  <c r="DK35" i="2"/>
  <c r="ES35" i="2" s="1"/>
  <c r="DJ35" i="2"/>
  <c r="DK34" i="2"/>
  <c r="DJ34" i="2"/>
  <c r="DK33" i="2"/>
  <c r="ES33" i="2" s="1"/>
  <c r="DJ33" i="2"/>
  <c r="DK32" i="2"/>
  <c r="DK37" i="2" s="1"/>
  <c r="DJ32" i="2"/>
  <c r="DK31" i="2"/>
  <c r="ES31" i="2" s="1"/>
  <c r="DJ31" i="2"/>
  <c r="DK30" i="2"/>
  <c r="DK28" i="2"/>
  <c r="DJ28" i="2"/>
  <c r="DJ27" i="2"/>
  <c r="DK26" i="2"/>
  <c r="ES26" i="2" s="1"/>
  <c r="DJ26" i="2"/>
  <c r="DK25" i="2"/>
  <c r="ES25" i="2" s="1"/>
  <c r="DJ25" i="2"/>
  <c r="DJ30" i="2" s="1"/>
  <c r="DK24" i="2"/>
  <c r="DJ24" i="2"/>
  <c r="DK21" i="2"/>
  <c r="ES21" i="2" s="1"/>
  <c r="DJ21" i="2"/>
  <c r="DK20" i="2"/>
  <c r="DJ20" i="2"/>
  <c r="DK19" i="2"/>
  <c r="DJ19" i="2"/>
  <c r="DK18" i="2"/>
  <c r="ES18" i="2" s="1"/>
  <c r="DJ18" i="2"/>
  <c r="DJ23" i="2" s="1"/>
  <c r="DK17" i="2"/>
  <c r="ES17" i="2" s="1"/>
  <c r="DJ17" i="2"/>
  <c r="DJ12" i="2"/>
  <c r="DK12" i="2"/>
  <c r="ES12" i="2" s="1"/>
  <c r="DJ13" i="2"/>
  <c r="DK13" i="2"/>
  <c r="DJ14" i="2"/>
  <c r="DK14" i="2"/>
  <c r="ES14" i="2" s="1"/>
  <c r="DK11" i="2"/>
  <c r="DK38" i="2" s="1"/>
  <c r="DJ11" i="2"/>
  <c r="DK10" i="2"/>
  <c r="DN38" i="2"/>
  <c r="DN39" i="2"/>
  <c r="AB38" i="2"/>
  <c r="AC38" i="2"/>
  <c r="AD38" i="2"/>
  <c r="AE38" i="2"/>
  <c r="AF38" i="2"/>
  <c r="AG38" i="2"/>
  <c r="AG40" i="2" s="1"/>
  <c r="AH38" i="2"/>
  <c r="AI38" i="2"/>
  <c r="AJ38" i="2"/>
  <c r="AK38" i="2"/>
  <c r="AL38" i="2"/>
  <c r="AN38" i="2"/>
  <c r="AP38" i="2"/>
  <c r="AR38" i="2"/>
  <c r="AT38" i="2"/>
  <c r="AV38" i="2"/>
  <c r="AW38" i="2"/>
  <c r="AW40" i="2" s="1"/>
  <c r="AX38" i="2"/>
  <c r="AY38" i="2"/>
  <c r="AZ38" i="2"/>
  <c r="BF38" i="2"/>
  <c r="BG38" i="2"/>
  <c r="BH38" i="2"/>
  <c r="BI38" i="2"/>
  <c r="BJ38" i="2"/>
  <c r="BK38" i="2"/>
  <c r="BL38" i="2"/>
  <c r="BM38" i="2"/>
  <c r="BN38" i="2"/>
  <c r="BO38" i="2"/>
  <c r="BP38" i="2"/>
  <c r="BR38" i="2"/>
  <c r="BT38" i="2"/>
  <c r="BU38" i="2"/>
  <c r="BU40" i="2" s="1"/>
  <c r="BV38" i="2"/>
  <c r="BW38" i="2"/>
  <c r="BX38" i="2"/>
  <c r="BZ38" i="2"/>
  <c r="CB38" i="2"/>
  <c r="CD38" i="2"/>
  <c r="CJ38" i="2"/>
  <c r="CK38" i="2"/>
  <c r="CK40" i="2" s="1"/>
  <c r="CL38" i="2"/>
  <c r="CM38" i="2"/>
  <c r="CN38" i="2"/>
  <c r="CO38" i="2"/>
  <c r="CO40" i="2" s="1"/>
  <c r="CP38" i="2"/>
  <c r="CQ38" i="2"/>
  <c r="CR38" i="2"/>
  <c r="CS38" i="2"/>
  <c r="CS40" i="2" s="1"/>
  <c r="CT38" i="2"/>
  <c r="CV38" i="2"/>
  <c r="CW38" i="2"/>
  <c r="CW40" i="2" s="1"/>
  <c r="CX38" i="2"/>
  <c r="CY38" i="2"/>
  <c r="CZ38" i="2"/>
  <c r="DA38" i="2"/>
  <c r="DA40" i="2" s="1"/>
  <c r="DB38" i="2"/>
  <c r="DC38" i="2"/>
  <c r="DD38" i="2"/>
  <c r="DE38" i="2"/>
  <c r="DE40" i="2" s="1"/>
  <c r="DF38" i="2"/>
  <c r="DG38" i="2"/>
  <c r="DH38" i="2"/>
  <c r="AB39" i="2"/>
  <c r="AC39" i="2"/>
  <c r="AD39" i="2"/>
  <c r="AD40" i="2" s="1"/>
  <c r="AE39" i="2"/>
  <c r="AF39" i="2"/>
  <c r="AG39" i="2"/>
  <c r="AH39" i="2"/>
  <c r="AH40" i="2" s="1"/>
  <c r="AI39" i="2"/>
  <c r="AJ39" i="2"/>
  <c r="AK39" i="2"/>
  <c r="AL39" i="2"/>
  <c r="AL40" i="2" s="1"/>
  <c r="AN39" i="2"/>
  <c r="AO39" i="2"/>
  <c r="AP39" i="2"/>
  <c r="AP40" i="2" s="1"/>
  <c r="AR39" i="2"/>
  <c r="AS39" i="2"/>
  <c r="AT39" i="2"/>
  <c r="AT40" i="2" s="1"/>
  <c r="AU39" i="2"/>
  <c r="AV39" i="2"/>
  <c r="AW39" i="2"/>
  <c r="AX39" i="2"/>
  <c r="AX40" i="2" s="1"/>
  <c r="AY39" i="2"/>
  <c r="AZ39" i="2"/>
  <c r="BG39" i="2"/>
  <c r="BJ39" i="2"/>
  <c r="BJ40" i="2" s="1"/>
  <c r="BN39" i="2"/>
  <c r="BN40" i="2" s="1"/>
  <c r="BO39" i="2"/>
  <c r="BP39" i="2"/>
  <c r="BR39" i="2"/>
  <c r="BR40" i="2" s="1"/>
  <c r="BT39" i="2"/>
  <c r="BU39" i="2"/>
  <c r="BV39" i="2"/>
  <c r="BV40" i="2" s="1"/>
  <c r="BW39" i="2"/>
  <c r="BX39" i="2"/>
  <c r="BY39" i="2"/>
  <c r="BZ39" i="2"/>
  <c r="BZ40" i="2" s="1"/>
  <c r="CA39" i="2"/>
  <c r="CB39" i="2"/>
  <c r="CC39" i="2"/>
  <c r="CD39" i="2"/>
  <c r="CD40" i="2" s="1"/>
  <c r="CJ39" i="2"/>
  <c r="CK39" i="2"/>
  <c r="CL39" i="2"/>
  <c r="CM39" i="2"/>
  <c r="CM40" i="2" s="1"/>
  <c r="CN39" i="2"/>
  <c r="CO39" i="2"/>
  <c r="CP39" i="2"/>
  <c r="CQ39" i="2"/>
  <c r="CQ40" i="2" s="1"/>
  <c r="CR39" i="2"/>
  <c r="CS39" i="2"/>
  <c r="CT39" i="2"/>
  <c r="CU39" i="2"/>
  <c r="CV39" i="2"/>
  <c r="CW39" i="2"/>
  <c r="CX39" i="2"/>
  <c r="CY39" i="2"/>
  <c r="CY40" i="2" s="1"/>
  <c r="CZ39" i="2"/>
  <c r="DA39" i="2"/>
  <c r="DB39" i="2"/>
  <c r="DC39" i="2"/>
  <c r="DC40" i="2" s="1"/>
  <c r="DD39" i="2"/>
  <c r="DE39" i="2"/>
  <c r="DF39" i="2"/>
  <c r="DG39" i="2"/>
  <c r="DG40" i="2" s="1"/>
  <c r="DH39" i="2"/>
  <c r="DH40" i="2" s="1"/>
  <c r="AB40" i="2"/>
  <c r="AC40" i="2"/>
  <c r="AE40" i="2"/>
  <c r="AF40" i="2"/>
  <c r="AI40" i="2"/>
  <c r="AJ40" i="2"/>
  <c r="AK40" i="2"/>
  <c r="AN40" i="2"/>
  <c r="AR40" i="2"/>
  <c r="AV40" i="2"/>
  <c r="AY40" i="2"/>
  <c r="AZ40" i="2"/>
  <c r="BG40" i="2"/>
  <c r="BO40" i="2"/>
  <c r="BP40" i="2"/>
  <c r="BT40" i="2"/>
  <c r="BW40" i="2"/>
  <c r="BX40" i="2"/>
  <c r="CB40" i="2"/>
  <c r="CJ40" i="2"/>
  <c r="CL40" i="2"/>
  <c r="CN40" i="2"/>
  <c r="CP40" i="2"/>
  <c r="CR40" i="2"/>
  <c r="CT40" i="2"/>
  <c r="CV40" i="2"/>
  <c r="CX40" i="2"/>
  <c r="CZ40" i="2"/>
  <c r="DB40" i="2"/>
  <c r="DD40" i="2"/>
  <c r="DF40" i="2"/>
  <c r="H38" i="2"/>
  <c r="I38" i="2"/>
  <c r="K38" i="2"/>
  <c r="M38" i="2"/>
  <c r="M40" i="2" s="1"/>
  <c r="O38" i="2"/>
  <c r="O40" i="2" s="1"/>
  <c r="Q38" i="2"/>
  <c r="S38" i="2"/>
  <c r="U38" i="2"/>
  <c r="U40" i="2" s="1"/>
  <c r="V38" i="2"/>
  <c r="W38" i="2"/>
  <c r="W40" i="2" s="1"/>
  <c r="X38" i="2"/>
  <c r="Y38" i="2"/>
  <c r="Y40" i="2" s="1"/>
  <c r="Z38" i="2"/>
  <c r="AA38" i="2"/>
  <c r="H39" i="2"/>
  <c r="I39" i="2"/>
  <c r="I40" i="2" s="1"/>
  <c r="J39" i="2"/>
  <c r="K39" i="2"/>
  <c r="K40" i="2" s="1"/>
  <c r="L39" i="2"/>
  <c r="M39" i="2"/>
  <c r="N39" i="2"/>
  <c r="O39" i="2"/>
  <c r="P39" i="2"/>
  <c r="Q39" i="2"/>
  <c r="R39" i="2"/>
  <c r="S39" i="2"/>
  <c r="S40" i="2" s="1"/>
  <c r="U39" i="2"/>
  <c r="V39" i="2"/>
  <c r="W39" i="2"/>
  <c r="X39" i="2"/>
  <c r="Y39" i="2"/>
  <c r="Z39" i="2"/>
  <c r="Z40" i="2" s="1"/>
  <c r="AA39" i="2"/>
  <c r="AA40" i="2" s="1"/>
  <c r="H40" i="2"/>
  <c r="Q40" i="2"/>
  <c r="V40" i="2"/>
  <c r="X40" i="2"/>
  <c r="G15" i="2"/>
  <c r="ES32" i="2" l="1"/>
  <c r="DK23" i="2"/>
  <c r="ES23" i="2" s="1"/>
  <c r="DJ37" i="2"/>
  <c r="ES37" i="2" s="1"/>
  <c r="DJ38" i="2"/>
  <c r="DN40" i="2"/>
  <c r="DJ39" i="2"/>
  <c r="DK39" i="2"/>
  <c r="DJ40" i="2"/>
  <c r="DK40" i="2"/>
  <c r="ES11" i="2"/>
  <c r="DJ10" i="2" l="1"/>
  <c r="ES10" i="2" s="1"/>
  <c r="DL17" i="1"/>
  <c r="DL14" i="1"/>
  <c r="DL15" i="1"/>
  <c r="DI17" i="2"/>
  <c r="CN27" i="2"/>
  <c r="DK27" i="2" s="1"/>
  <c r="DI21" i="2"/>
  <c r="C13" i="7" l="1"/>
  <c r="C5" i="7"/>
  <c r="C6" i="7"/>
  <c r="C7" i="7"/>
  <c r="C8" i="7"/>
  <c r="C9" i="7"/>
  <c r="C10" i="7"/>
  <c r="C11" i="7"/>
  <c r="C12" i="7"/>
  <c r="C3" i="7"/>
  <c r="C4" i="7"/>
  <c r="C2" i="7"/>
  <c r="J360" i="6" l="1"/>
  <c r="O360" i="6"/>
  <c r="J345" i="6"/>
  <c r="O345" i="6"/>
  <c r="J330" i="6"/>
  <c r="M330" i="6"/>
  <c r="O330" i="6"/>
  <c r="J315" i="6"/>
  <c r="O315" i="6"/>
  <c r="H187" i="6"/>
  <c r="DL13" i="1" l="1"/>
  <c r="DK13" i="1"/>
  <c r="CP16" i="2" l="1"/>
  <c r="ER11" i="2"/>
  <c r="CU18" i="2"/>
  <c r="CU38" i="2" s="1"/>
  <c r="CU40" i="2" s="1"/>
  <c r="DI11" i="2"/>
  <c r="DC33" i="2"/>
  <c r="DG26" i="2"/>
  <c r="CY26" i="2"/>
  <c r="DG19" i="2"/>
  <c r="DI12" i="2"/>
  <c r="DM11" i="2" l="1"/>
  <c r="DL11" i="2"/>
  <c r="DI10" i="2"/>
  <c r="ER10" i="2"/>
  <c r="ET11" i="2" l="1"/>
  <c r="G901" i="6" l="1"/>
  <c r="G900" i="6"/>
  <c r="G899" i="6"/>
  <c r="G898" i="6"/>
  <c r="G897" i="6"/>
  <c r="G896" i="6"/>
  <c r="G895" i="6"/>
  <c r="G894" i="6"/>
  <c r="G893" i="6"/>
  <c r="G892" i="6"/>
  <c r="G891" i="6"/>
  <c r="G890" i="6"/>
  <c r="G886" i="6"/>
  <c r="G885" i="6"/>
  <c r="G884" i="6"/>
  <c r="I883" i="6"/>
  <c r="I882" i="6"/>
  <c r="I881" i="6"/>
  <c r="I880" i="6"/>
  <c r="I879" i="6"/>
  <c r="I878" i="6"/>
  <c r="I877" i="6"/>
  <c r="I876" i="6"/>
  <c r="I875" i="6"/>
  <c r="I874" i="6"/>
  <c r="I873" i="6"/>
  <c r="I872" i="6"/>
  <c r="G872" i="6"/>
  <c r="I868" i="6"/>
  <c r="I867" i="6"/>
  <c r="I866" i="6"/>
  <c r="I865" i="6"/>
  <c r="I864" i="6"/>
  <c r="I863" i="6"/>
  <c r="I862" i="6"/>
  <c r="I861" i="6"/>
  <c r="I860" i="6"/>
  <c r="I859" i="6"/>
  <c r="I858" i="6"/>
  <c r="I857" i="6"/>
  <c r="I853" i="6"/>
  <c r="G853" i="6"/>
  <c r="I852" i="6"/>
  <c r="G852" i="6"/>
  <c r="I851" i="6"/>
  <c r="G851" i="6"/>
  <c r="I850" i="6"/>
  <c r="G850" i="6"/>
  <c r="I849" i="6"/>
  <c r="G849" i="6"/>
  <c r="I848" i="6"/>
  <c r="G848" i="6"/>
  <c r="I847" i="6"/>
  <c r="G847" i="6"/>
  <c r="I846" i="6"/>
  <c r="G846" i="6"/>
  <c r="I845" i="6"/>
  <c r="G845" i="6"/>
  <c r="I844" i="6"/>
  <c r="G844" i="6"/>
  <c r="I843" i="6"/>
  <c r="I842" i="6"/>
  <c r="I838" i="6"/>
  <c r="G838" i="6"/>
  <c r="I837" i="6"/>
  <c r="G837" i="6"/>
  <c r="I836" i="6"/>
  <c r="G836" i="6"/>
  <c r="I835" i="6"/>
  <c r="G835" i="6"/>
  <c r="I834" i="6"/>
  <c r="G834" i="6"/>
  <c r="I833" i="6"/>
  <c r="G833" i="6"/>
  <c r="I832" i="6"/>
  <c r="G832" i="6"/>
  <c r="I831" i="6"/>
  <c r="G831" i="6"/>
  <c r="I830" i="6"/>
  <c r="G830" i="6"/>
  <c r="I829" i="6"/>
  <c r="G829" i="6"/>
  <c r="I828" i="6"/>
  <c r="G828" i="6"/>
  <c r="I827" i="6"/>
  <c r="G827" i="6"/>
  <c r="I822" i="6"/>
  <c r="G822" i="6"/>
  <c r="I821" i="6"/>
  <c r="G821" i="6"/>
  <c r="I820" i="6"/>
  <c r="G820" i="6"/>
  <c r="I819" i="6"/>
  <c r="G819" i="6"/>
  <c r="I818" i="6"/>
  <c r="G818" i="6"/>
  <c r="I817" i="6"/>
  <c r="G817" i="6"/>
  <c r="I816" i="6"/>
  <c r="G816" i="6"/>
  <c r="I815" i="6"/>
  <c r="G815" i="6"/>
  <c r="I814" i="6"/>
  <c r="G814" i="6"/>
  <c r="I813" i="6"/>
  <c r="G813" i="6"/>
  <c r="I812" i="6"/>
  <c r="G812" i="6"/>
  <c r="I811" i="6"/>
  <c r="G811" i="6"/>
  <c r="I807" i="6"/>
  <c r="G807" i="6"/>
  <c r="I806" i="6"/>
  <c r="G806" i="6"/>
  <c r="I805" i="6"/>
  <c r="G805" i="6"/>
  <c r="I804" i="6"/>
  <c r="G804" i="6"/>
  <c r="I803" i="6"/>
  <c r="G803" i="6"/>
  <c r="I802" i="6"/>
  <c r="G802" i="6"/>
  <c r="I801" i="6"/>
  <c r="G801" i="6"/>
  <c r="I800" i="6"/>
  <c r="G800" i="6"/>
  <c r="I799" i="6"/>
  <c r="G799" i="6"/>
  <c r="I798" i="6"/>
  <c r="G798" i="6"/>
  <c r="I797" i="6"/>
  <c r="I796" i="6"/>
  <c r="I792" i="6"/>
  <c r="G792" i="6"/>
  <c r="I791" i="6"/>
  <c r="G791" i="6"/>
  <c r="I790" i="6"/>
  <c r="G790" i="6"/>
  <c r="I789" i="6"/>
  <c r="G789" i="6"/>
  <c r="I788" i="6"/>
  <c r="G788" i="6"/>
  <c r="I787" i="6"/>
  <c r="G787" i="6"/>
  <c r="I786" i="6"/>
  <c r="G786" i="6"/>
  <c r="I785" i="6"/>
  <c r="G785" i="6"/>
  <c r="I784" i="6"/>
  <c r="G784" i="6"/>
  <c r="I783" i="6"/>
  <c r="G783" i="6"/>
  <c r="I782" i="6"/>
  <c r="I781" i="6"/>
  <c r="I777" i="6"/>
  <c r="G777" i="6"/>
  <c r="I776" i="6"/>
  <c r="G776" i="6"/>
  <c r="I775" i="6"/>
  <c r="G775" i="6"/>
  <c r="I774" i="6"/>
  <c r="G774" i="6"/>
  <c r="I773" i="6"/>
  <c r="G773" i="6"/>
  <c r="I772" i="6"/>
  <c r="G772" i="6"/>
  <c r="I771" i="6"/>
  <c r="G771" i="6"/>
  <c r="I770" i="6"/>
  <c r="G770" i="6"/>
  <c r="I769" i="6"/>
  <c r="G769" i="6"/>
  <c r="I768" i="6"/>
  <c r="G768" i="6"/>
  <c r="I767" i="6"/>
  <c r="G767" i="6"/>
  <c r="I766" i="6"/>
  <c r="G766" i="6"/>
  <c r="I761" i="6"/>
  <c r="G761" i="6"/>
  <c r="I760" i="6"/>
  <c r="G760" i="6"/>
  <c r="I759" i="6"/>
  <c r="G759" i="6"/>
  <c r="I758" i="6"/>
  <c r="G758" i="6"/>
  <c r="I757" i="6"/>
  <c r="G757" i="6"/>
  <c r="I756" i="6"/>
  <c r="G756" i="6"/>
  <c r="I755" i="6"/>
  <c r="G755" i="6"/>
  <c r="I754" i="6"/>
  <c r="G754" i="6"/>
  <c r="I753" i="6"/>
  <c r="G753" i="6"/>
  <c r="I752" i="6"/>
  <c r="G752" i="6"/>
  <c r="I751" i="6"/>
  <c r="G751" i="6"/>
  <c r="I750" i="6"/>
  <c r="G750" i="6"/>
  <c r="I746" i="6"/>
  <c r="G746" i="6"/>
  <c r="I745" i="6"/>
  <c r="G745" i="6"/>
  <c r="I744" i="6"/>
  <c r="G744" i="6"/>
  <c r="I743" i="6"/>
  <c r="G743" i="6"/>
  <c r="I742" i="6"/>
  <c r="G742" i="6"/>
  <c r="I741" i="6"/>
  <c r="G741" i="6"/>
  <c r="I740" i="6"/>
  <c r="G740" i="6"/>
  <c r="I739" i="6"/>
  <c r="G739" i="6"/>
  <c r="I738" i="6"/>
  <c r="G738" i="6"/>
  <c r="I737" i="6"/>
  <c r="G737" i="6"/>
  <c r="I736" i="6"/>
  <c r="G736" i="6"/>
  <c r="I735" i="6"/>
  <c r="G735" i="6"/>
  <c r="I731" i="6"/>
  <c r="G731" i="6"/>
  <c r="I730" i="6"/>
  <c r="G730" i="6"/>
  <c r="I729" i="6"/>
  <c r="G729" i="6"/>
  <c r="I728" i="6"/>
  <c r="G728" i="6"/>
  <c r="I727" i="6"/>
  <c r="G727" i="6"/>
  <c r="I726" i="6"/>
  <c r="G726" i="6"/>
  <c r="I725" i="6"/>
  <c r="G725" i="6"/>
  <c r="I724" i="6"/>
  <c r="G724" i="6"/>
  <c r="I723" i="6"/>
  <c r="G723" i="6"/>
  <c r="I722" i="6"/>
  <c r="G722" i="6"/>
  <c r="I721" i="6"/>
  <c r="G721" i="6"/>
  <c r="I720" i="6"/>
  <c r="G720" i="6"/>
  <c r="I716" i="6"/>
  <c r="G716" i="6"/>
  <c r="I715" i="6"/>
  <c r="G715" i="6"/>
  <c r="I714" i="6"/>
  <c r="G714" i="6"/>
  <c r="I713" i="6"/>
  <c r="G713" i="6"/>
  <c r="I712" i="6"/>
  <c r="G712" i="6"/>
  <c r="I711" i="6"/>
  <c r="G711" i="6"/>
  <c r="I710" i="6"/>
  <c r="G710" i="6"/>
  <c r="I709" i="6"/>
  <c r="G709" i="6"/>
  <c r="I708" i="6"/>
  <c r="G708" i="6"/>
  <c r="I707" i="6"/>
  <c r="G707" i="6"/>
  <c r="I706" i="6"/>
  <c r="G706" i="6"/>
  <c r="I705" i="6"/>
  <c r="G705" i="6"/>
  <c r="I700" i="6"/>
  <c r="G700" i="6"/>
  <c r="I699" i="6"/>
  <c r="G699" i="6"/>
  <c r="I698" i="6"/>
  <c r="G698" i="6"/>
  <c r="I697" i="6"/>
  <c r="G697" i="6"/>
  <c r="I696" i="6"/>
  <c r="G696" i="6"/>
  <c r="I695" i="6"/>
  <c r="G695" i="6"/>
  <c r="I691" i="6"/>
  <c r="G691" i="6"/>
  <c r="I690" i="6"/>
  <c r="G690" i="6"/>
  <c r="I689" i="6"/>
  <c r="G689" i="6"/>
  <c r="I688" i="6"/>
  <c r="G688" i="6"/>
  <c r="I687" i="6"/>
  <c r="G687" i="6"/>
  <c r="I686" i="6"/>
  <c r="G686" i="6"/>
  <c r="I682" i="6"/>
  <c r="G682" i="6"/>
  <c r="I681" i="6"/>
  <c r="G681" i="6"/>
  <c r="I680" i="6"/>
  <c r="G680" i="6"/>
  <c r="I679" i="6"/>
  <c r="G679" i="6"/>
  <c r="I678" i="6"/>
  <c r="G678" i="6"/>
  <c r="I677" i="6"/>
  <c r="G677" i="6"/>
  <c r="I673" i="6"/>
  <c r="G673" i="6"/>
  <c r="I672" i="6"/>
  <c r="G672" i="6"/>
  <c r="I671" i="6"/>
  <c r="G671" i="6"/>
  <c r="I670" i="6"/>
  <c r="G670" i="6"/>
  <c r="I669" i="6"/>
  <c r="G669" i="6"/>
  <c r="I668" i="6"/>
  <c r="G668" i="6"/>
  <c r="H647" i="6"/>
  <c r="H646" i="6"/>
  <c r="H645" i="6"/>
  <c r="H644" i="6"/>
  <c r="H643" i="6"/>
  <c r="H642" i="6"/>
  <c r="H641" i="6"/>
  <c r="H640" i="6"/>
  <c r="H639" i="6"/>
  <c r="H638" i="6"/>
  <c r="H637" i="6"/>
  <c r="H636" i="6"/>
  <c r="H632" i="6"/>
  <c r="H631" i="6"/>
  <c r="H630" i="6"/>
  <c r="H629" i="6"/>
  <c r="H628" i="6"/>
  <c r="H627" i="6"/>
  <c r="H626" i="6"/>
  <c r="H625" i="6"/>
  <c r="H624" i="6"/>
  <c r="H623" i="6"/>
  <c r="H622" i="6"/>
  <c r="H621" i="6"/>
  <c r="H617" i="6"/>
  <c r="H616" i="6"/>
  <c r="H615" i="6"/>
  <c r="H614" i="6"/>
  <c r="H613" i="6"/>
  <c r="H612" i="6"/>
  <c r="H611" i="6"/>
  <c r="H610" i="6"/>
  <c r="H609" i="6"/>
  <c r="H608" i="6"/>
  <c r="H607" i="6"/>
  <c r="H606" i="6"/>
  <c r="H602" i="6"/>
  <c r="H601" i="6"/>
  <c r="H600" i="6"/>
  <c r="H599" i="6"/>
  <c r="H598" i="6"/>
  <c r="H597" i="6"/>
  <c r="H596" i="6"/>
  <c r="H595" i="6"/>
  <c r="H594" i="6"/>
  <c r="H593" i="6"/>
  <c r="H592" i="6"/>
  <c r="H591" i="6"/>
  <c r="H586" i="6"/>
  <c r="H585" i="6"/>
  <c r="H584" i="6"/>
  <c r="H583" i="6"/>
  <c r="H582" i="6"/>
  <c r="H581" i="6"/>
  <c r="H580" i="6"/>
  <c r="H579" i="6"/>
  <c r="H578" i="6"/>
  <c r="H577" i="6"/>
  <c r="H576" i="6"/>
  <c r="H575" i="6"/>
  <c r="H571" i="6"/>
  <c r="H570" i="6"/>
  <c r="H569" i="6"/>
  <c r="H568" i="6"/>
  <c r="H567" i="6"/>
  <c r="H566" i="6"/>
  <c r="H565" i="6"/>
  <c r="H564" i="6"/>
  <c r="H563" i="6"/>
  <c r="H562" i="6"/>
  <c r="H561" i="6"/>
  <c r="H560" i="6"/>
  <c r="H556" i="6"/>
  <c r="H555" i="6"/>
  <c r="H554" i="6"/>
  <c r="H553" i="6"/>
  <c r="H552" i="6"/>
  <c r="H551" i="6"/>
  <c r="H550" i="6"/>
  <c r="H549" i="6"/>
  <c r="H548" i="6"/>
  <c r="H547" i="6"/>
  <c r="H546" i="6"/>
  <c r="H545" i="6"/>
  <c r="H541" i="6"/>
  <c r="H540" i="6"/>
  <c r="H539" i="6"/>
  <c r="H538" i="6"/>
  <c r="H537" i="6"/>
  <c r="H536" i="6"/>
  <c r="H535" i="6"/>
  <c r="H534" i="6"/>
  <c r="H533" i="6"/>
  <c r="H532" i="6"/>
  <c r="H531" i="6"/>
  <c r="H530" i="6"/>
  <c r="H525" i="6"/>
  <c r="H524" i="6"/>
  <c r="H523" i="6"/>
  <c r="H522" i="6"/>
  <c r="H521" i="6"/>
  <c r="H520" i="6"/>
  <c r="H519" i="6"/>
  <c r="H518" i="6"/>
  <c r="H517" i="6"/>
  <c r="H516" i="6"/>
  <c r="H515" i="6"/>
  <c r="H514" i="6"/>
  <c r="H510" i="6"/>
  <c r="H509" i="6"/>
  <c r="H508" i="6"/>
  <c r="H507" i="6"/>
  <c r="H506" i="6"/>
  <c r="H505" i="6"/>
  <c r="H504" i="6"/>
  <c r="H503" i="6"/>
  <c r="H502" i="6"/>
  <c r="H501" i="6"/>
  <c r="H500" i="6"/>
  <c r="H499" i="6"/>
  <c r="H495" i="6"/>
  <c r="H494" i="6"/>
  <c r="H493" i="6"/>
  <c r="H492" i="6"/>
  <c r="H491" i="6"/>
  <c r="H490" i="6"/>
  <c r="H489" i="6"/>
  <c r="H488" i="6"/>
  <c r="H487" i="6"/>
  <c r="H486" i="6"/>
  <c r="H485" i="6"/>
  <c r="H484" i="6"/>
  <c r="H480" i="6"/>
  <c r="H479" i="6"/>
  <c r="H478" i="6"/>
  <c r="H477" i="6"/>
  <c r="H476" i="6"/>
  <c r="H475" i="6"/>
  <c r="H474" i="6"/>
  <c r="H473" i="6"/>
  <c r="H472" i="6"/>
  <c r="H471" i="6"/>
  <c r="H470" i="6"/>
  <c r="H469" i="6"/>
  <c r="H465" i="6"/>
  <c r="H464" i="6"/>
  <c r="H463" i="6"/>
  <c r="H462" i="6"/>
  <c r="H461" i="6"/>
  <c r="H460" i="6"/>
  <c r="H456" i="6"/>
  <c r="H455" i="6"/>
  <c r="H454" i="6"/>
  <c r="H453" i="6"/>
  <c r="H452" i="6"/>
  <c r="H451" i="6"/>
  <c r="H447" i="6"/>
  <c r="H446" i="6"/>
  <c r="H445" i="6"/>
  <c r="H444" i="6"/>
  <c r="H443" i="6"/>
  <c r="H442" i="6"/>
  <c r="H438" i="6"/>
  <c r="H437" i="6"/>
  <c r="H436" i="6"/>
  <c r="H435" i="6"/>
  <c r="H434" i="6"/>
  <c r="H433" i="6"/>
  <c r="O430" i="6"/>
  <c r="O429" i="6"/>
  <c r="O428" i="6"/>
  <c r="O427" i="6"/>
  <c r="O426" i="6"/>
  <c r="O425" i="6"/>
  <c r="O424" i="6"/>
  <c r="O423" i="6"/>
  <c r="O422" i="6"/>
  <c r="O421" i="6"/>
  <c r="O420" i="6"/>
  <c r="O419" i="6"/>
  <c r="O415" i="6"/>
  <c r="O414" i="6"/>
  <c r="O413" i="6"/>
  <c r="O412" i="6"/>
  <c r="O411" i="6"/>
  <c r="O410" i="6"/>
  <c r="O409" i="6"/>
  <c r="O408" i="6"/>
  <c r="O407" i="6"/>
  <c r="O406" i="6"/>
  <c r="O405" i="6"/>
  <c r="O404" i="6"/>
  <c r="O400" i="6"/>
  <c r="O399" i="6"/>
  <c r="O398" i="6"/>
  <c r="O397" i="6"/>
  <c r="O396" i="6"/>
  <c r="O395" i="6"/>
  <c r="O394" i="6"/>
  <c r="O393" i="6"/>
  <c r="O392" i="6"/>
  <c r="O391" i="6"/>
  <c r="O390" i="6"/>
  <c r="O389" i="6"/>
  <c r="O385" i="6"/>
  <c r="O384" i="6"/>
  <c r="O383" i="6"/>
  <c r="O382" i="6"/>
  <c r="O381" i="6"/>
  <c r="O380" i="6"/>
  <c r="O379" i="6"/>
  <c r="O378" i="6"/>
  <c r="O377" i="6"/>
  <c r="O376" i="6"/>
  <c r="O375" i="6"/>
  <c r="O374" i="6"/>
  <c r="O369" i="6"/>
  <c r="J369" i="6"/>
  <c r="O368" i="6"/>
  <c r="J368" i="6"/>
  <c r="O367" i="6"/>
  <c r="J367" i="6"/>
  <c r="O366" i="6"/>
  <c r="J366" i="6"/>
  <c r="O365" i="6"/>
  <c r="J365" i="6"/>
  <c r="O364" i="6"/>
  <c r="J364" i="6"/>
  <c r="O363" i="6"/>
  <c r="J363" i="6"/>
  <c r="O362" i="6"/>
  <c r="J362" i="6"/>
  <c r="O361" i="6"/>
  <c r="J361" i="6"/>
  <c r="O359" i="6"/>
  <c r="J359" i="6"/>
  <c r="O358" i="6"/>
  <c r="J358" i="6"/>
  <c r="O354" i="6"/>
  <c r="J354" i="6"/>
  <c r="O353" i="6"/>
  <c r="J353" i="6"/>
  <c r="O352" i="6"/>
  <c r="J352" i="6"/>
  <c r="O351" i="6"/>
  <c r="J351" i="6"/>
  <c r="O350" i="6"/>
  <c r="J350" i="6"/>
  <c r="O349" i="6"/>
  <c r="J349" i="6"/>
  <c r="O348" i="6"/>
  <c r="J348" i="6"/>
  <c r="O347" i="6"/>
  <c r="J347" i="6"/>
  <c r="O346" i="6"/>
  <c r="J346" i="6"/>
  <c r="O344" i="6"/>
  <c r="J344" i="6"/>
  <c r="O343" i="6"/>
  <c r="J343" i="6"/>
  <c r="O339" i="6"/>
  <c r="M339" i="6"/>
  <c r="J339" i="6"/>
  <c r="O338" i="6"/>
  <c r="M338" i="6"/>
  <c r="J338" i="6"/>
  <c r="O337" i="6"/>
  <c r="M337" i="6"/>
  <c r="J337" i="6"/>
  <c r="O336" i="6"/>
  <c r="M336" i="6"/>
  <c r="J336" i="6"/>
  <c r="O335" i="6"/>
  <c r="M335" i="6"/>
  <c r="J335" i="6"/>
  <c r="O334" i="6"/>
  <c r="M334" i="6"/>
  <c r="J334" i="6"/>
  <c r="O333" i="6"/>
  <c r="M333" i="6"/>
  <c r="J333" i="6"/>
  <c r="O332" i="6"/>
  <c r="M332" i="6"/>
  <c r="J332" i="6"/>
  <c r="O331" i="6"/>
  <c r="M331" i="6"/>
  <c r="J331" i="6"/>
  <c r="O329" i="6"/>
  <c r="M329" i="6"/>
  <c r="J329" i="6"/>
  <c r="O328" i="6"/>
  <c r="M328" i="6"/>
  <c r="J328" i="6"/>
  <c r="O324" i="6"/>
  <c r="O323" i="6"/>
  <c r="O322" i="6"/>
  <c r="O321" i="6"/>
  <c r="O320" i="6"/>
  <c r="O319" i="6"/>
  <c r="O318" i="6"/>
  <c r="O317" i="6"/>
  <c r="O316" i="6"/>
  <c r="O314" i="6"/>
  <c r="J314" i="6"/>
  <c r="O313" i="6"/>
  <c r="J313" i="6"/>
  <c r="O308" i="6"/>
  <c r="J308" i="6"/>
  <c r="O307" i="6"/>
  <c r="J307" i="6"/>
  <c r="O306" i="6"/>
  <c r="J306" i="6"/>
  <c r="O305" i="6"/>
  <c r="J305" i="6"/>
  <c r="O304" i="6"/>
  <c r="J304" i="6"/>
  <c r="O303" i="6"/>
  <c r="J303" i="6"/>
  <c r="O302" i="6"/>
  <c r="J302" i="6"/>
  <c r="O301" i="6"/>
  <c r="M301" i="6"/>
  <c r="J301" i="6"/>
  <c r="O300" i="6"/>
  <c r="M300" i="6"/>
  <c r="J300" i="6"/>
  <c r="O299" i="6"/>
  <c r="M299" i="6"/>
  <c r="J299" i="6"/>
  <c r="O298" i="6"/>
  <c r="M298" i="6"/>
  <c r="J298" i="6"/>
  <c r="O297" i="6"/>
  <c r="M297" i="6"/>
  <c r="J297" i="6"/>
  <c r="O293" i="6"/>
  <c r="J293" i="6"/>
  <c r="O292" i="6"/>
  <c r="J292" i="6"/>
  <c r="O291" i="6"/>
  <c r="J291" i="6"/>
  <c r="O290" i="6"/>
  <c r="J290" i="6"/>
  <c r="O289" i="6"/>
  <c r="J289" i="6"/>
  <c r="O288" i="6"/>
  <c r="J288" i="6"/>
  <c r="O287" i="6"/>
  <c r="J287" i="6"/>
  <c r="O286" i="6"/>
  <c r="J286" i="6"/>
  <c r="O285" i="6"/>
  <c r="J285" i="6"/>
  <c r="O284" i="6"/>
  <c r="J284" i="6"/>
  <c r="O283" i="6"/>
  <c r="J283" i="6"/>
  <c r="O282" i="6"/>
  <c r="J282" i="6"/>
  <c r="O278" i="6"/>
  <c r="J278" i="6"/>
  <c r="O277" i="6"/>
  <c r="J277" i="6"/>
  <c r="O276" i="6"/>
  <c r="J276" i="6"/>
  <c r="O275" i="6"/>
  <c r="J275" i="6"/>
  <c r="O274" i="6"/>
  <c r="J274" i="6"/>
  <c r="O273" i="6"/>
  <c r="J273" i="6"/>
  <c r="O272" i="6"/>
  <c r="J272" i="6"/>
  <c r="O271" i="6"/>
  <c r="J271" i="6"/>
  <c r="O270" i="6"/>
  <c r="J270" i="6"/>
  <c r="O269" i="6"/>
  <c r="J269" i="6"/>
  <c r="O268" i="6"/>
  <c r="J268" i="6"/>
  <c r="O267" i="6"/>
  <c r="J267" i="6"/>
  <c r="O263" i="6"/>
  <c r="J263" i="6"/>
  <c r="O262" i="6"/>
  <c r="J262" i="6"/>
  <c r="O261" i="6"/>
  <c r="J261" i="6"/>
  <c r="O260" i="6"/>
  <c r="J260" i="6"/>
  <c r="O259" i="6"/>
  <c r="J259" i="6"/>
  <c r="O258" i="6"/>
  <c r="J258" i="6"/>
  <c r="O257" i="6"/>
  <c r="J257" i="6"/>
  <c r="O256" i="6"/>
  <c r="J256" i="6"/>
  <c r="O255" i="6"/>
  <c r="J255" i="6"/>
  <c r="O254" i="6"/>
  <c r="J254" i="6"/>
  <c r="O253" i="6"/>
  <c r="J253" i="6"/>
  <c r="O252" i="6"/>
  <c r="J252" i="6"/>
  <c r="O247" i="6"/>
  <c r="J247" i="6"/>
  <c r="O246" i="6"/>
  <c r="J246" i="6"/>
  <c r="O245" i="6"/>
  <c r="J245" i="6"/>
  <c r="O244" i="6"/>
  <c r="J244" i="6"/>
  <c r="O243" i="6"/>
  <c r="J243" i="6"/>
  <c r="O242" i="6"/>
  <c r="J242" i="6"/>
  <c r="O238" i="6"/>
  <c r="J238" i="6"/>
  <c r="O237" i="6"/>
  <c r="J237" i="6"/>
  <c r="O236" i="6"/>
  <c r="J236" i="6"/>
  <c r="O235" i="6"/>
  <c r="J235" i="6"/>
  <c r="O234" i="6"/>
  <c r="J234" i="6"/>
  <c r="O233" i="6"/>
  <c r="J233" i="6"/>
  <c r="O229" i="6"/>
  <c r="J229" i="6"/>
  <c r="O228" i="6"/>
  <c r="J228" i="6"/>
  <c r="O227" i="6"/>
  <c r="J227" i="6"/>
  <c r="O226" i="6"/>
  <c r="J226" i="6"/>
  <c r="O225" i="6"/>
  <c r="J225" i="6"/>
  <c r="O224" i="6"/>
  <c r="J224" i="6"/>
  <c r="O220" i="6"/>
  <c r="O219" i="6"/>
  <c r="J219" i="6"/>
  <c r="Q214" i="6" s="1"/>
  <c r="O218" i="6"/>
  <c r="J218" i="6"/>
  <c r="O217" i="6"/>
  <c r="J217" i="6"/>
  <c r="O216" i="6"/>
  <c r="J216" i="6"/>
  <c r="O215" i="6"/>
  <c r="J215" i="6"/>
  <c r="H211" i="6"/>
  <c r="H210" i="6"/>
  <c r="H209" i="6"/>
  <c r="H208" i="6"/>
  <c r="H207" i="6"/>
  <c r="H206" i="6"/>
  <c r="H205" i="6"/>
  <c r="H204" i="6"/>
  <c r="H203" i="6"/>
  <c r="H202" i="6"/>
  <c r="H201" i="6"/>
  <c r="H200" i="6"/>
  <c r="H186" i="6"/>
  <c r="H185" i="6"/>
  <c r="H181" i="6"/>
  <c r="H180" i="6"/>
  <c r="H179" i="6"/>
  <c r="H178" i="6"/>
  <c r="D178" i="6"/>
  <c r="H177" i="6"/>
  <c r="D177" i="6"/>
  <c r="H176" i="6"/>
  <c r="H175" i="6"/>
  <c r="H170" i="6"/>
  <c r="H165" i="6"/>
  <c r="H160" i="6"/>
  <c r="H155" i="6"/>
  <c r="H150" i="6"/>
  <c r="C144" i="6"/>
  <c r="D142" i="6"/>
  <c r="C135" i="6"/>
  <c r="H129" i="6"/>
  <c r="C126" i="6"/>
  <c r="H120" i="6"/>
  <c r="C117" i="6"/>
  <c r="H111" i="6"/>
  <c r="C108" i="6"/>
  <c r="H102" i="6"/>
  <c r="C99" i="6"/>
  <c r="H93" i="6"/>
  <c r="C90" i="6"/>
  <c r="H84" i="6"/>
  <c r="C81" i="6"/>
  <c r="H75" i="6"/>
  <c r="C72" i="6"/>
  <c r="H66" i="6"/>
  <c r="C63" i="6"/>
  <c r="H58" i="6"/>
  <c r="C55" i="6"/>
  <c r="D47" i="6"/>
  <c r="C47" i="6"/>
  <c r="G34" i="6"/>
  <c r="E34" i="6"/>
  <c r="F19" i="6"/>
  <c r="F14" i="6"/>
  <c r="F9" i="6"/>
  <c r="Y3" i="5"/>
  <c r="A3" i="5"/>
  <c r="Y2" i="5"/>
  <c r="A2" i="5"/>
  <c r="R4" i="5" s="1"/>
  <c r="R5" i="5" s="1"/>
  <c r="U41" i="3"/>
  <c r="S40" i="3"/>
  <c r="S39" i="3"/>
  <c r="S38" i="3"/>
  <c r="S37" i="3"/>
  <c r="S36" i="3"/>
  <c r="S35" i="3"/>
  <c r="S34" i="3"/>
  <c r="S33" i="3"/>
  <c r="S32" i="3"/>
  <c r="S31" i="3"/>
  <c r="S30" i="3"/>
  <c r="S29" i="3"/>
  <c r="S28" i="3"/>
  <c r="S27" i="3"/>
  <c r="S26" i="3"/>
  <c r="S25" i="3"/>
  <c r="S24" i="3"/>
  <c r="S23" i="3"/>
  <c r="S22" i="3"/>
  <c r="S21" i="3"/>
  <c r="S20" i="3"/>
  <c r="S19" i="3"/>
  <c r="S18" i="3"/>
  <c r="S17" i="3"/>
  <c r="S16" i="3"/>
  <c r="S15" i="3"/>
  <c r="S14" i="3"/>
  <c r="S13" i="3"/>
  <c r="S12" i="3"/>
  <c r="S11" i="3"/>
  <c r="S10" i="3"/>
  <c r="T9" i="3"/>
  <c r="T41" i="3" s="1"/>
  <c r="S9" i="3"/>
  <c r="EQ39" i="2"/>
  <c r="EP39" i="2"/>
  <c r="EP40" i="2" s="1"/>
  <c r="EO39" i="2"/>
  <c r="EO40" i="2" s="1"/>
  <c r="EN39" i="2"/>
  <c r="EN40" i="2" s="1"/>
  <c r="EM39" i="2"/>
  <c r="EM40" i="2" s="1"/>
  <c r="EL39" i="2"/>
  <c r="EK39" i="2"/>
  <c r="EK40" i="2" s="1"/>
  <c r="EJ39" i="2"/>
  <c r="EI39" i="2"/>
  <c r="EH39" i="2"/>
  <c r="EG39" i="2"/>
  <c r="EF39" i="2"/>
  <c r="EE39" i="2"/>
  <c r="ED39" i="2"/>
  <c r="EC39" i="2"/>
  <c r="EB39" i="2"/>
  <c r="EA39" i="2"/>
  <c r="DZ39" i="2"/>
  <c r="DY39" i="2"/>
  <c r="DX39" i="2"/>
  <c r="DW39" i="2"/>
  <c r="DV39" i="2"/>
  <c r="DU39" i="2"/>
  <c r="DT39" i="2"/>
  <c r="DS39" i="2"/>
  <c r="DR39" i="2"/>
  <c r="DQ39" i="2"/>
  <c r="DP39" i="2"/>
  <c r="DO39" i="2"/>
  <c r="EQ38" i="2"/>
  <c r="EL38" i="2"/>
  <c r="EJ38" i="2"/>
  <c r="EJ40" i="2" s="1"/>
  <c r="EI38" i="2"/>
  <c r="EH38" i="2"/>
  <c r="EH40" i="2" s="1"/>
  <c r="EG38" i="2"/>
  <c r="EF38" i="2"/>
  <c r="EF40" i="2" s="1"/>
  <c r="EE38" i="2"/>
  <c r="EE40" i="2" s="1"/>
  <c r="ED38" i="2"/>
  <c r="EC38" i="2"/>
  <c r="EB38" i="2"/>
  <c r="EB40" i="2" s="1"/>
  <c r="EA38" i="2"/>
  <c r="DZ38" i="2"/>
  <c r="DZ40" i="2" s="1"/>
  <c r="DY38" i="2"/>
  <c r="DX38" i="2"/>
  <c r="DX40" i="2" s="1"/>
  <c r="DW38" i="2"/>
  <c r="DW40" i="2" s="1"/>
  <c r="DV38" i="2"/>
  <c r="DV40" i="2" s="1"/>
  <c r="DU38" i="2"/>
  <c r="DT38" i="2"/>
  <c r="DT40" i="2" s="1"/>
  <c r="DS38" i="2"/>
  <c r="DR38" i="2"/>
  <c r="DR40" i="2" s="1"/>
  <c r="DQ38" i="2"/>
  <c r="DP38" i="2"/>
  <c r="DP40" i="2" s="1"/>
  <c r="DO38" i="2"/>
  <c r="DO40" i="2" s="1"/>
  <c r="DN37" i="2"/>
  <c r="DH37" i="2"/>
  <c r="DG37" i="2"/>
  <c r="DF37" i="2"/>
  <c r="DE37" i="2"/>
  <c r="DD37" i="2"/>
  <c r="DC37" i="2"/>
  <c r="DB37" i="2"/>
  <c r="DA37" i="2"/>
  <c r="CZ37" i="2"/>
  <c r="CY37" i="2"/>
  <c r="CX37" i="2"/>
  <c r="CW37" i="2"/>
  <c r="CV37" i="2"/>
  <c r="CU37" i="2"/>
  <c r="CT37" i="2"/>
  <c r="CS37" i="2"/>
  <c r="CR37" i="2"/>
  <c r="CQ37" i="2"/>
  <c r="CP37" i="2"/>
  <c r="ER37" i="2" s="1"/>
  <c r="CO37" i="2"/>
  <c r="CN37" i="2"/>
  <c r="CM37" i="2"/>
  <c r="CL37" i="2"/>
  <c r="CK37" i="2"/>
  <c r="CJ37" i="2"/>
  <c r="CD37" i="2"/>
  <c r="CB37" i="2"/>
  <c r="BZ37" i="2"/>
  <c r="BY37" i="2"/>
  <c r="BX37" i="2"/>
  <c r="BW37" i="2"/>
  <c r="BV37" i="2"/>
  <c r="BU37" i="2"/>
  <c r="BT37" i="2"/>
  <c r="BS37" i="2"/>
  <c r="BR37" i="2"/>
  <c r="BP37" i="2"/>
  <c r="BO37" i="2"/>
  <c r="BN37" i="2"/>
  <c r="BM37" i="2"/>
  <c r="BL37" i="2"/>
  <c r="BK37" i="2"/>
  <c r="BJ37" i="2"/>
  <c r="BG37" i="2"/>
  <c r="BF37" i="2"/>
  <c r="AZ37" i="2"/>
  <c r="AY37" i="2"/>
  <c r="AX37" i="2"/>
  <c r="AW37" i="2"/>
  <c r="AV37" i="2"/>
  <c r="AU37" i="2"/>
  <c r="AT37" i="2"/>
  <c r="AS37" i="2"/>
  <c r="AR37" i="2"/>
  <c r="AQ37" i="2"/>
  <c r="AP37" i="2"/>
  <c r="AO37" i="2"/>
  <c r="AN37" i="2"/>
  <c r="AL37" i="2"/>
  <c r="AK37" i="2"/>
  <c r="AJ37" i="2"/>
  <c r="AI37" i="2"/>
  <c r="AH37" i="2"/>
  <c r="AG37" i="2"/>
  <c r="AF37" i="2"/>
  <c r="AE37" i="2"/>
  <c r="AD37" i="2"/>
  <c r="AC37" i="2"/>
  <c r="AB37" i="2"/>
  <c r="T37" i="2"/>
  <c r="S37" i="2"/>
  <c r="Q37" i="2"/>
  <c r="O37" i="2"/>
  <c r="N37" i="2"/>
  <c r="M37" i="2"/>
  <c r="K37" i="2"/>
  <c r="I37" i="2"/>
  <c r="H37" i="2"/>
  <c r="DN36" i="2"/>
  <c r="DG36" i="2"/>
  <c r="DF36" i="2"/>
  <c r="DE36" i="2"/>
  <c r="DD36" i="2"/>
  <c r="DC36" i="2"/>
  <c r="DB36" i="2"/>
  <c r="DA36" i="2"/>
  <c r="CZ36" i="2"/>
  <c r="CY36" i="2"/>
  <c r="CX36" i="2"/>
  <c r="CW36" i="2"/>
  <c r="CV36" i="2"/>
  <c r="CU36" i="2"/>
  <c r="CT36" i="2"/>
  <c r="CS36" i="2"/>
  <c r="CR36" i="2"/>
  <c r="CQ36" i="2"/>
  <c r="CP36" i="2"/>
  <c r="CO36" i="2"/>
  <c r="CN36" i="2"/>
  <c r="CM36" i="2"/>
  <c r="CL36" i="2"/>
  <c r="CK36" i="2"/>
  <c r="DJ36" i="2" s="1"/>
  <c r="CJ36" i="2"/>
  <c r="CD36" i="2"/>
  <c r="CC36" i="2"/>
  <c r="CB36" i="2"/>
  <c r="CA36" i="2"/>
  <c r="BZ36" i="2"/>
  <c r="BY36" i="2"/>
  <c r="BX36" i="2"/>
  <c r="BW36" i="2"/>
  <c r="BV36" i="2"/>
  <c r="BU36" i="2"/>
  <c r="BT36" i="2"/>
  <c r="BS36" i="2"/>
  <c r="BR36" i="2"/>
  <c r="BQ36" i="2"/>
  <c r="BP36" i="2"/>
  <c r="BO36" i="2"/>
  <c r="BN36" i="2"/>
  <c r="BM36" i="2"/>
  <c r="BL36" i="2"/>
  <c r="BK36" i="2"/>
  <c r="BJ36" i="2"/>
  <c r="BI36" i="2"/>
  <c r="BH36" i="2"/>
  <c r="BG36" i="2"/>
  <c r="BF36" i="2"/>
  <c r="AZ36" i="2"/>
  <c r="AY36" i="2"/>
  <c r="AX36" i="2"/>
  <c r="AW36" i="2"/>
  <c r="AV36" i="2"/>
  <c r="AU36" i="2"/>
  <c r="AT36" i="2"/>
  <c r="AS36" i="2"/>
  <c r="AR36" i="2"/>
  <c r="AQ36" i="2"/>
  <c r="AP36" i="2"/>
  <c r="AO36" i="2"/>
  <c r="AN36" i="2"/>
  <c r="AM36" i="2"/>
  <c r="AL36" i="2"/>
  <c r="AK36" i="2"/>
  <c r="AJ36" i="2"/>
  <c r="AI36" i="2"/>
  <c r="AH36" i="2"/>
  <c r="AG36" i="2"/>
  <c r="AF36" i="2"/>
  <c r="AE36" i="2"/>
  <c r="AD36" i="2"/>
  <c r="AC36" i="2"/>
  <c r="AB36" i="2"/>
  <c r="S36" i="2"/>
  <c r="Q36" i="2"/>
  <c r="P36" i="2"/>
  <c r="O36" i="2"/>
  <c r="N36" i="2"/>
  <c r="M36" i="2"/>
  <c r="K36" i="2"/>
  <c r="I36" i="2"/>
  <c r="H36" i="2"/>
  <c r="DM35" i="2"/>
  <c r="DI35" i="2"/>
  <c r="BI35" i="2"/>
  <c r="BH35" i="2"/>
  <c r="BH39" i="2" s="1"/>
  <c r="BH40" i="2" s="1"/>
  <c r="BC35" i="2"/>
  <c r="BE35" i="2" s="1"/>
  <c r="AM35" i="2"/>
  <c r="BA35" i="2" s="1"/>
  <c r="BD35" i="2" s="1"/>
  <c r="DI34" i="2"/>
  <c r="CG34" i="2"/>
  <c r="CI34" i="2" s="1"/>
  <c r="CF34" i="2"/>
  <c r="CE34" i="2"/>
  <c r="CH34" i="2" s="1"/>
  <c r="BC34" i="2"/>
  <c r="BE34" i="2" s="1"/>
  <c r="BB34" i="2"/>
  <c r="BA34" i="2"/>
  <c r="DI33" i="2"/>
  <c r="DG33" i="2"/>
  <c r="CG33" i="2"/>
  <c r="CI33" i="2" s="1"/>
  <c r="CC33" i="2"/>
  <c r="CA33" i="2"/>
  <c r="BY33" i="2"/>
  <c r="BO33" i="2"/>
  <c r="BC33" i="2"/>
  <c r="BE33" i="2" s="1"/>
  <c r="AY33" i="2"/>
  <c r="AU33" i="2"/>
  <c r="BA33" i="2" s="1"/>
  <c r="BD33" i="2" s="1"/>
  <c r="DI32" i="2"/>
  <c r="CG32" i="2"/>
  <c r="CC32" i="2"/>
  <c r="CC37" i="2" s="1"/>
  <c r="CA32" i="2"/>
  <c r="BQ32" i="2"/>
  <c r="BC32" i="2"/>
  <c r="AM32" i="2"/>
  <c r="BB32" i="2" s="1"/>
  <c r="P32" i="2"/>
  <c r="P37" i="2" s="1"/>
  <c r="DL31" i="2"/>
  <c r="DM31" i="2"/>
  <c r="DI31" i="2"/>
  <c r="CG31" i="2"/>
  <c r="CI31" i="2" s="1"/>
  <c r="CF31" i="2"/>
  <c r="CE31" i="2"/>
  <c r="CE36" i="2" s="1"/>
  <c r="BC31" i="2"/>
  <c r="BB31" i="2"/>
  <c r="BA31" i="2"/>
  <c r="T31" i="2"/>
  <c r="T36" i="2" s="1"/>
  <c r="R31" i="2"/>
  <c r="R36" i="2" s="1"/>
  <c r="EQ30" i="2"/>
  <c r="EL30" i="2"/>
  <c r="EJ30" i="2"/>
  <c r="EI30" i="2"/>
  <c r="EH30" i="2"/>
  <c r="EG30" i="2"/>
  <c r="EF30" i="2"/>
  <c r="EE30" i="2"/>
  <c r="ED30" i="2"/>
  <c r="EC30" i="2"/>
  <c r="EB30" i="2"/>
  <c r="EA30" i="2"/>
  <c r="DZ30" i="2"/>
  <c r="DY30" i="2"/>
  <c r="DX30" i="2"/>
  <c r="DW30" i="2"/>
  <c r="DV30" i="2"/>
  <c r="DU30" i="2"/>
  <c r="DT30" i="2"/>
  <c r="DS30" i="2"/>
  <c r="DR30" i="2"/>
  <c r="DQ30" i="2"/>
  <c r="DP30" i="2"/>
  <c r="DO30" i="2"/>
  <c r="DN30" i="2"/>
  <c r="DH30" i="2"/>
  <c r="DG30" i="2"/>
  <c r="DF30" i="2"/>
  <c r="DE30" i="2"/>
  <c r="DD30" i="2"/>
  <c r="DC30" i="2"/>
  <c r="DB30" i="2"/>
  <c r="DA30" i="2"/>
  <c r="CZ30" i="2"/>
  <c r="CY30" i="2"/>
  <c r="CX30" i="2"/>
  <c r="CW30" i="2"/>
  <c r="CV30" i="2"/>
  <c r="CU30" i="2"/>
  <c r="CT30" i="2"/>
  <c r="CS30" i="2"/>
  <c r="CR30" i="2"/>
  <c r="CQ30" i="2"/>
  <c r="CP30" i="2"/>
  <c r="ER30" i="2" s="1"/>
  <c r="CO30" i="2"/>
  <c r="CN30" i="2"/>
  <c r="CM30" i="2"/>
  <c r="CL30" i="2"/>
  <c r="CK30" i="2"/>
  <c r="CJ30" i="2"/>
  <c r="CD30" i="2"/>
  <c r="CB30" i="2"/>
  <c r="CA30" i="2"/>
  <c r="BZ30" i="2"/>
  <c r="BY30" i="2"/>
  <c r="BX30" i="2"/>
  <c r="BW30" i="2"/>
  <c r="BV30" i="2"/>
  <c r="BU30" i="2"/>
  <c r="BT30" i="2"/>
  <c r="BR30" i="2"/>
  <c r="BP30" i="2"/>
  <c r="BO30" i="2"/>
  <c r="BN30" i="2"/>
  <c r="BL30" i="2"/>
  <c r="BJ30" i="2"/>
  <c r="BI30" i="2"/>
  <c r="BH30" i="2"/>
  <c r="BG30" i="2"/>
  <c r="BF30" i="2"/>
  <c r="AZ30" i="2"/>
  <c r="AY30" i="2"/>
  <c r="AX30" i="2"/>
  <c r="AW30" i="2"/>
  <c r="AV30" i="2"/>
  <c r="AT30" i="2"/>
  <c r="AS30" i="2"/>
  <c r="AR30" i="2"/>
  <c r="AQ30" i="2"/>
  <c r="AP30" i="2"/>
  <c r="AO30" i="2"/>
  <c r="AN30" i="2"/>
  <c r="AL30" i="2"/>
  <c r="AK30" i="2"/>
  <c r="AJ30" i="2"/>
  <c r="AI30" i="2"/>
  <c r="AH30" i="2"/>
  <c r="AG30" i="2"/>
  <c r="AF30" i="2"/>
  <c r="AE30" i="2"/>
  <c r="AD30" i="2"/>
  <c r="AC30" i="2"/>
  <c r="AB30" i="2"/>
  <c r="AA30" i="2"/>
  <c r="T30" i="2"/>
  <c r="S30" i="2"/>
  <c r="R30" i="2"/>
  <c r="Q30" i="2"/>
  <c r="O30" i="2"/>
  <c r="N30" i="2"/>
  <c r="M30" i="2"/>
  <c r="L30" i="2"/>
  <c r="L32" i="2" s="1"/>
  <c r="L38" i="2" s="1"/>
  <c r="L40" i="2" s="1"/>
  <c r="K30" i="2"/>
  <c r="J30" i="2"/>
  <c r="J32" i="2" s="1"/>
  <c r="I30" i="2"/>
  <c r="H30" i="2"/>
  <c r="EQ29" i="2"/>
  <c r="EL29" i="2"/>
  <c r="EJ29" i="2"/>
  <c r="EI29" i="2"/>
  <c r="EH29" i="2"/>
  <c r="EG29" i="2"/>
  <c r="EF29" i="2"/>
  <c r="EE29" i="2"/>
  <c r="ED29" i="2"/>
  <c r="EC29" i="2"/>
  <c r="EB29" i="2"/>
  <c r="EA29" i="2"/>
  <c r="DZ29" i="2"/>
  <c r="DY29" i="2"/>
  <c r="DX29" i="2"/>
  <c r="DW29" i="2"/>
  <c r="DV29" i="2"/>
  <c r="DU29" i="2"/>
  <c r="DT29" i="2"/>
  <c r="DS29" i="2"/>
  <c r="DR29" i="2"/>
  <c r="DQ29" i="2"/>
  <c r="DP29" i="2"/>
  <c r="DO29" i="2"/>
  <c r="DN29" i="2"/>
  <c r="DG29" i="2"/>
  <c r="DF29" i="2"/>
  <c r="DE29" i="2"/>
  <c r="DD29" i="2"/>
  <c r="DC29" i="2"/>
  <c r="DB29" i="2"/>
  <c r="DA29" i="2"/>
  <c r="CZ29" i="2"/>
  <c r="CY29" i="2"/>
  <c r="CX29" i="2"/>
  <c r="CW29" i="2"/>
  <c r="CV29" i="2"/>
  <c r="CU29" i="2"/>
  <c r="CT29" i="2"/>
  <c r="CS29" i="2"/>
  <c r="CR29" i="2"/>
  <c r="CQ29" i="2"/>
  <c r="CP29" i="2"/>
  <c r="CO29" i="2"/>
  <c r="CN29" i="2"/>
  <c r="CM29" i="2"/>
  <c r="CL29" i="2"/>
  <c r="DK29" i="2" s="1"/>
  <c r="CK29" i="2"/>
  <c r="CJ29" i="2"/>
  <c r="CD29" i="2"/>
  <c r="CC29" i="2"/>
  <c r="CB29" i="2"/>
  <c r="CA29" i="2"/>
  <c r="BZ29" i="2"/>
  <c r="BY29" i="2"/>
  <c r="BX29" i="2"/>
  <c r="BW29" i="2"/>
  <c r="BV29" i="2"/>
  <c r="BU29" i="2"/>
  <c r="BT29" i="2"/>
  <c r="BS29" i="2"/>
  <c r="BR29" i="2"/>
  <c r="BQ29" i="2"/>
  <c r="BP29" i="2"/>
  <c r="BO29" i="2"/>
  <c r="BN29" i="2"/>
  <c r="BM29" i="2"/>
  <c r="BL29" i="2"/>
  <c r="BK29" i="2"/>
  <c r="BJ29" i="2"/>
  <c r="BI29" i="2"/>
  <c r="BH29" i="2"/>
  <c r="BG29" i="2"/>
  <c r="BF29" i="2"/>
  <c r="AZ29" i="2"/>
  <c r="AY29" i="2"/>
  <c r="AX29" i="2"/>
  <c r="AW29" i="2"/>
  <c r="AV29" i="2"/>
  <c r="AU29" i="2"/>
  <c r="AT29" i="2"/>
  <c r="AS29" i="2"/>
  <c r="AR29" i="2"/>
  <c r="AQ29" i="2"/>
  <c r="AP29" i="2"/>
  <c r="AO29" i="2"/>
  <c r="AN29" i="2"/>
  <c r="AM29" i="2"/>
  <c r="AL29" i="2"/>
  <c r="AK29" i="2"/>
  <c r="AJ29" i="2"/>
  <c r="AI29" i="2"/>
  <c r="AH29" i="2"/>
  <c r="AG29" i="2"/>
  <c r="AF29" i="2"/>
  <c r="AE29" i="2"/>
  <c r="AD29" i="2"/>
  <c r="AC29" i="2"/>
  <c r="AB29" i="2"/>
  <c r="S29" i="2"/>
  <c r="R29" i="2"/>
  <c r="Q29" i="2"/>
  <c r="P29" i="2"/>
  <c r="O29" i="2"/>
  <c r="N29" i="2"/>
  <c r="M29" i="2"/>
  <c r="L29" i="2"/>
  <c r="L31" i="2" s="1"/>
  <c r="L36" i="2" s="1"/>
  <c r="K29" i="2"/>
  <c r="J29" i="2"/>
  <c r="J31" i="2" s="1"/>
  <c r="J36" i="2" s="1"/>
  <c r="I29" i="2"/>
  <c r="H29" i="2"/>
  <c r="DM28" i="2"/>
  <c r="DI28" i="2"/>
  <c r="CG28" i="2"/>
  <c r="CI28" i="2" s="1"/>
  <c r="BS28" i="2"/>
  <c r="BS30" i="2" s="1"/>
  <c r="BQ28" i="2"/>
  <c r="BQ39" i="2" s="1"/>
  <c r="BM28" i="2"/>
  <c r="BM30" i="2" s="1"/>
  <c r="BK28" i="2"/>
  <c r="BK30" i="2" s="1"/>
  <c r="BC28" i="2"/>
  <c r="BE28" i="2" s="1"/>
  <c r="AM28" i="2"/>
  <c r="AM39" i="2" s="1"/>
  <c r="DI27" i="2"/>
  <c r="DL27" i="2" s="1"/>
  <c r="CG27" i="2"/>
  <c r="CI27" i="2" s="1"/>
  <c r="CF27" i="2"/>
  <c r="CE27" i="2"/>
  <c r="CH27" i="2" s="1"/>
  <c r="BC27" i="2"/>
  <c r="BE27" i="2" s="1"/>
  <c r="BB27" i="2"/>
  <c r="BA27" i="2"/>
  <c r="BD27" i="2" s="1"/>
  <c r="DM26" i="2"/>
  <c r="CW26" i="2"/>
  <c r="CG26" i="2"/>
  <c r="CI26" i="2" s="1"/>
  <c r="CC26" i="2"/>
  <c r="CA26" i="2"/>
  <c r="CF26" i="2" s="1"/>
  <c r="BE26" i="2"/>
  <c r="BC26" i="2"/>
  <c r="AY26" i="2"/>
  <c r="AU26" i="2"/>
  <c r="DI25" i="2"/>
  <c r="CG25" i="2"/>
  <c r="CI25" i="2" s="1"/>
  <c r="CC25" i="2"/>
  <c r="BE25" i="2"/>
  <c r="BC25" i="2"/>
  <c r="AU25" i="2"/>
  <c r="AU30" i="2" s="1"/>
  <c r="AM25" i="2"/>
  <c r="AM38" i="2" s="1"/>
  <c r="AM40" i="2" s="1"/>
  <c r="P25" i="2"/>
  <c r="P30" i="2" s="1"/>
  <c r="DL24" i="2"/>
  <c r="DM24" i="2"/>
  <c r="ET24" i="2" s="1"/>
  <c r="DI24" i="2"/>
  <c r="CG24" i="2"/>
  <c r="CF24" i="2"/>
  <c r="CE24" i="2"/>
  <c r="CH24" i="2" s="1"/>
  <c r="BC24" i="2"/>
  <c r="BC29" i="2" s="1"/>
  <c r="BB24" i="2"/>
  <c r="BA24" i="2"/>
  <c r="T24" i="2"/>
  <c r="T29" i="2" s="1"/>
  <c r="EQ23" i="2"/>
  <c r="EP23" i="2"/>
  <c r="EO23" i="2"/>
  <c r="EN23" i="2"/>
  <c r="EM23" i="2"/>
  <c r="EL23" i="2"/>
  <c r="EK23" i="2"/>
  <c r="EJ23" i="2"/>
  <c r="EI23" i="2"/>
  <c r="EH23" i="2"/>
  <c r="EG23" i="2"/>
  <c r="EF23" i="2"/>
  <c r="EE23" i="2"/>
  <c r="ED23" i="2"/>
  <c r="EC23" i="2"/>
  <c r="EB23" i="2"/>
  <c r="EA23" i="2"/>
  <c r="DZ23" i="2"/>
  <c r="DY23" i="2"/>
  <c r="DX23" i="2"/>
  <c r="DW23" i="2"/>
  <c r="DV23" i="2"/>
  <c r="DU23" i="2"/>
  <c r="DT23" i="2"/>
  <c r="DS23" i="2"/>
  <c r="DR23" i="2"/>
  <c r="DQ23" i="2"/>
  <c r="DP23" i="2"/>
  <c r="DO23" i="2"/>
  <c r="DN23" i="2"/>
  <c r="DH23" i="2"/>
  <c r="DG23" i="2"/>
  <c r="DF23" i="2"/>
  <c r="DE23" i="2"/>
  <c r="DD23" i="2"/>
  <c r="DC23" i="2"/>
  <c r="DB23" i="2"/>
  <c r="DA23" i="2"/>
  <c r="CZ23" i="2"/>
  <c r="CY23" i="2"/>
  <c r="CX23" i="2"/>
  <c r="CW23" i="2"/>
  <c r="CV23" i="2"/>
  <c r="CT23" i="2"/>
  <c r="CR23" i="2"/>
  <c r="CP23" i="2"/>
  <c r="ER23" i="2" s="1"/>
  <c r="CO23" i="2"/>
  <c r="CN23" i="2"/>
  <c r="CL23" i="2"/>
  <c r="CK23" i="2"/>
  <c r="CJ23" i="2"/>
  <c r="CD23" i="2"/>
  <c r="CB23" i="2"/>
  <c r="BZ23" i="2"/>
  <c r="BY23" i="2"/>
  <c r="BX23" i="2"/>
  <c r="BW23" i="2"/>
  <c r="BV23" i="2"/>
  <c r="BU23" i="2"/>
  <c r="BT23" i="2"/>
  <c r="BR23" i="2"/>
  <c r="BQ23" i="2"/>
  <c r="BP23" i="2"/>
  <c r="BO23" i="2"/>
  <c r="BN23" i="2"/>
  <c r="BL23" i="2"/>
  <c r="BK23" i="2"/>
  <c r="BJ23" i="2"/>
  <c r="BI23" i="2"/>
  <c r="BH23" i="2"/>
  <c r="BG23" i="2"/>
  <c r="AZ23" i="2"/>
  <c r="AY23" i="2"/>
  <c r="AX23" i="2"/>
  <c r="AW23" i="2"/>
  <c r="AV23" i="2"/>
  <c r="AU23" i="2"/>
  <c r="AT23" i="2"/>
  <c r="AR23" i="2"/>
  <c r="AP23" i="2"/>
  <c r="AN23" i="2"/>
  <c r="AM23" i="2"/>
  <c r="AL23" i="2"/>
  <c r="AK23" i="2"/>
  <c r="AJ23" i="2"/>
  <c r="AI23" i="2"/>
  <c r="AH23" i="2"/>
  <c r="AG23" i="2"/>
  <c r="AF23" i="2"/>
  <c r="AE23" i="2"/>
  <c r="AD23" i="2"/>
  <c r="AC23" i="2"/>
  <c r="AB23" i="2"/>
  <c r="T23" i="2"/>
  <c r="S23" i="2"/>
  <c r="Q23" i="2"/>
  <c r="O23" i="2"/>
  <c r="N23" i="2"/>
  <c r="M23" i="2"/>
  <c r="K23" i="2"/>
  <c r="I23" i="2"/>
  <c r="H23" i="2"/>
  <c r="EQ22" i="2"/>
  <c r="EL22" i="2"/>
  <c r="EJ22" i="2"/>
  <c r="EI22" i="2"/>
  <c r="EH22" i="2"/>
  <c r="EG22" i="2"/>
  <c r="EF22" i="2"/>
  <c r="EE22" i="2"/>
  <c r="ED22" i="2"/>
  <c r="EC22" i="2"/>
  <c r="EB22" i="2"/>
  <c r="EA22" i="2"/>
  <c r="DZ22" i="2"/>
  <c r="DY22" i="2"/>
  <c r="DX22" i="2"/>
  <c r="DW22" i="2"/>
  <c r="DV22" i="2"/>
  <c r="DU22" i="2"/>
  <c r="DT22" i="2"/>
  <c r="DS22" i="2"/>
  <c r="DR22" i="2"/>
  <c r="DQ22" i="2"/>
  <c r="DP22" i="2"/>
  <c r="DO22" i="2"/>
  <c r="DN22" i="2"/>
  <c r="DH22" i="2"/>
  <c r="DG22" i="2"/>
  <c r="DF22" i="2"/>
  <c r="DE22" i="2"/>
  <c r="DD22" i="2"/>
  <c r="DC22" i="2"/>
  <c r="DB22" i="2"/>
  <c r="DA22" i="2"/>
  <c r="CZ22" i="2"/>
  <c r="CY22" i="2"/>
  <c r="CX22" i="2"/>
  <c r="CW22" i="2"/>
  <c r="CV22" i="2"/>
  <c r="CU22" i="2"/>
  <c r="CT22" i="2"/>
  <c r="CS22" i="2"/>
  <c r="CR22" i="2"/>
  <c r="CQ22" i="2"/>
  <c r="CP22" i="2"/>
  <c r="ER22" i="2" s="1"/>
  <c r="CO22" i="2"/>
  <c r="CN22" i="2"/>
  <c r="CM22" i="2"/>
  <c r="CL22" i="2"/>
  <c r="DK22" i="2" s="1"/>
  <c r="CK22" i="2"/>
  <c r="CJ22" i="2"/>
  <c r="CD22" i="2"/>
  <c r="CC22" i="2"/>
  <c r="CB22" i="2"/>
  <c r="CA22" i="2"/>
  <c r="BZ22" i="2"/>
  <c r="BY22" i="2"/>
  <c r="BX22" i="2"/>
  <c r="BW22" i="2"/>
  <c r="BV22" i="2"/>
  <c r="BU22" i="2"/>
  <c r="BT22" i="2"/>
  <c r="BS22" i="2"/>
  <c r="BR22" i="2"/>
  <c r="BQ22" i="2"/>
  <c r="BP22" i="2"/>
  <c r="BO22" i="2"/>
  <c r="BN22" i="2"/>
  <c r="BM22" i="2"/>
  <c r="BL22" i="2"/>
  <c r="BK22" i="2"/>
  <c r="BJ22" i="2"/>
  <c r="BI22" i="2"/>
  <c r="BH22" i="2"/>
  <c r="BG22" i="2"/>
  <c r="BF22" i="2"/>
  <c r="AZ22" i="2"/>
  <c r="AY22" i="2"/>
  <c r="AX22" i="2"/>
  <c r="AW22" i="2"/>
  <c r="AV22" i="2"/>
  <c r="AU22" i="2"/>
  <c r="AT22" i="2"/>
  <c r="AS22" i="2"/>
  <c r="AR22" i="2"/>
  <c r="AQ22" i="2"/>
  <c r="AP22" i="2"/>
  <c r="AO22" i="2"/>
  <c r="AN22" i="2"/>
  <c r="AM22" i="2"/>
  <c r="AL22" i="2"/>
  <c r="AK22" i="2"/>
  <c r="AJ22" i="2"/>
  <c r="AI22" i="2"/>
  <c r="AH22" i="2"/>
  <c r="AG22" i="2"/>
  <c r="AF22" i="2"/>
  <c r="AE22" i="2"/>
  <c r="AD22" i="2"/>
  <c r="AC22" i="2"/>
  <c r="AB22" i="2"/>
  <c r="R22" i="2"/>
  <c r="P22" i="2"/>
  <c r="DM21" i="2"/>
  <c r="CS23" i="2"/>
  <c r="CQ23" i="2"/>
  <c r="CG21" i="2"/>
  <c r="CI21" i="2" s="1"/>
  <c r="BS21" i="2"/>
  <c r="BM21" i="2"/>
  <c r="BM23" i="2" s="1"/>
  <c r="BF21" i="2"/>
  <c r="BF39" i="2" s="1"/>
  <c r="BF40" i="2" s="1"/>
  <c r="BC21" i="2"/>
  <c r="BE21" i="2" s="1"/>
  <c r="AQ21" i="2"/>
  <c r="AQ39" i="2" s="1"/>
  <c r="DM20" i="2"/>
  <c r="ET20" i="2" s="1"/>
  <c r="DI20" i="2"/>
  <c r="DL20" i="2" s="1"/>
  <c r="CG20" i="2"/>
  <c r="CI20" i="2" s="1"/>
  <c r="CF20" i="2"/>
  <c r="CE20" i="2"/>
  <c r="CH20" i="2" s="1"/>
  <c r="BD20" i="2"/>
  <c r="BC20" i="2"/>
  <c r="BE20" i="2" s="1"/>
  <c r="DM19" i="2"/>
  <c r="CG19" i="2"/>
  <c r="CI19" i="2" s="1"/>
  <c r="CC19" i="2"/>
  <c r="CE19" i="2" s="1"/>
  <c r="CH19" i="2" s="1"/>
  <c r="CA19" i="2"/>
  <c r="BO19" i="2"/>
  <c r="BC19" i="2"/>
  <c r="BE19" i="2" s="1"/>
  <c r="AY19" i="2"/>
  <c r="AS19" i="2"/>
  <c r="BB19" i="2" s="1"/>
  <c r="DM18" i="2"/>
  <c r="CG18" i="2"/>
  <c r="CC18" i="2"/>
  <c r="CC23" i="2" s="1"/>
  <c r="CA18" i="2"/>
  <c r="CA23" i="2" s="1"/>
  <c r="BS18" i="2"/>
  <c r="BC18" i="2"/>
  <c r="AS18" i="2"/>
  <c r="AS23" i="2" s="1"/>
  <c r="AO18" i="2"/>
  <c r="AO38" i="2" s="1"/>
  <c r="AO40" i="2" s="1"/>
  <c r="P18" i="2"/>
  <c r="P23" i="2" s="1"/>
  <c r="CG17" i="2"/>
  <c r="CF17" i="2"/>
  <c r="CE17" i="2"/>
  <c r="CH17" i="2" s="1"/>
  <c r="BC17" i="2"/>
  <c r="BC22" i="2" s="1"/>
  <c r="BB17" i="2"/>
  <c r="BB22" i="2" s="1"/>
  <c r="BA17" i="2"/>
  <c r="BA22" i="2" s="1"/>
  <c r="T17" i="2"/>
  <c r="T22" i="2" s="1"/>
  <c r="EQ16" i="2"/>
  <c r="EP16" i="2"/>
  <c r="EO16" i="2"/>
  <c r="EN16" i="2"/>
  <c r="EM16" i="2"/>
  <c r="EL16" i="2"/>
  <c r="EK16" i="2"/>
  <c r="EJ16" i="2"/>
  <c r="EI16" i="2"/>
  <c r="EH16" i="2"/>
  <c r="EG16" i="2"/>
  <c r="EF16" i="2"/>
  <c r="EE16" i="2"/>
  <c r="ED16" i="2"/>
  <c r="EC16" i="2"/>
  <c r="EB16" i="2"/>
  <c r="EA16" i="2"/>
  <c r="DZ16" i="2"/>
  <c r="DY16" i="2"/>
  <c r="DX16" i="2"/>
  <c r="DW16" i="2"/>
  <c r="DV16" i="2"/>
  <c r="DU16" i="2"/>
  <c r="DT16" i="2"/>
  <c r="DS16" i="2"/>
  <c r="DR16" i="2"/>
  <c r="DQ16" i="2"/>
  <c r="DP16" i="2"/>
  <c r="DO16" i="2"/>
  <c r="DN16" i="2"/>
  <c r="DH16" i="2"/>
  <c r="DG16" i="2"/>
  <c r="DF16" i="2"/>
  <c r="DE16" i="2"/>
  <c r="DD16" i="2"/>
  <c r="DC16" i="2"/>
  <c r="DB16" i="2"/>
  <c r="DA16" i="2"/>
  <c r="CZ16" i="2"/>
  <c r="CY16" i="2"/>
  <c r="CX16" i="2"/>
  <c r="CW16" i="2"/>
  <c r="CV16" i="2"/>
  <c r="CT16" i="2"/>
  <c r="CS16" i="2"/>
  <c r="CR16" i="2"/>
  <c r="CQ16" i="2"/>
  <c r="CO16" i="2"/>
  <c r="ER16" i="2" s="1"/>
  <c r="CL16" i="2"/>
  <c r="CK16" i="2"/>
  <c r="CJ16" i="2"/>
  <c r="CD16" i="2"/>
  <c r="CB16" i="2"/>
  <c r="BZ16" i="2"/>
  <c r="BX16" i="2"/>
  <c r="BW16" i="2"/>
  <c r="BV16" i="2"/>
  <c r="BU16" i="2"/>
  <c r="BT16" i="2"/>
  <c r="BR16" i="2"/>
  <c r="BQ16" i="2"/>
  <c r="BP16" i="2"/>
  <c r="BO16" i="2"/>
  <c r="BN16" i="2"/>
  <c r="BJ16" i="2"/>
  <c r="BI16" i="2"/>
  <c r="BH16" i="2"/>
  <c r="BG16" i="2"/>
  <c r="BF16" i="2"/>
  <c r="AZ16" i="2"/>
  <c r="AY16" i="2"/>
  <c r="AX16" i="2"/>
  <c r="AW16" i="2"/>
  <c r="AV16" i="2"/>
  <c r="AT16" i="2"/>
  <c r="AR16" i="2"/>
  <c r="AP16" i="2"/>
  <c r="AO16" i="2"/>
  <c r="AN16" i="2"/>
  <c r="AM16" i="2"/>
  <c r="AL16" i="2"/>
  <c r="AK16" i="2"/>
  <c r="AJ16" i="2"/>
  <c r="AI16" i="2"/>
  <c r="AH16" i="2"/>
  <c r="AG16" i="2"/>
  <c r="AF16" i="2"/>
  <c r="AE16" i="2"/>
  <c r="AD16" i="2"/>
  <c r="AC16" i="2"/>
  <c r="AB16" i="2"/>
  <c r="Z16" i="2"/>
  <c r="U16" i="2"/>
  <c r="S16" i="2"/>
  <c r="Q16" i="2"/>
  <c r="O16" i="2"/>
  <c r="M16" i="2"/>
  <c r="L16" i="2"/>
  <c r="K16" i="2"/>
  <c r="J16" i="2"/>
  <c r="I16" i="2"/>
  <c r="H16" i="2"/>
  <c r="DN15" i="2"/>
  <c r="DG15" i="2"/>
  <c r="DF15" i="2"/>
  <c r="DE15" i="2"/>
  <c r="DD15" i="2"/>
  <c r="DC15" i="2"/>
  <c r="DB15" i="2"/>
  <c r="DA15" i="2"/>
  <c r="CZ15" i="2"/>
  <c r="CY15" i="2"/>
  <c r="CX15" i="2"/>
  <c r="CW15" i="2"/>
  <c r="CV15" i="2"/>
  <c r="CU15" i="2"/>
  <c r="CT15" i="2"/>
  <c r="CS15" i="2"/>
  <c r="CR15" i="2"/>
  <c r="CQ15" i="2"/>
  <c r="CP15" i="2"/>
  <c r="ER15" i="2" s="1"/>
  <c r="CO15" i="2"/>
  <c r="CN15" i="2"/>
  <c r="CM15" i="2"/>
  <c r="CL15" i="2"/>
  <c r="DK15" i="2" s="1"/>
  <c r="CK15" i="2"/>
  <c r="DJ15" i="2" s="1"/>
  <c r="CJ15" i="2"/>
  <c r="CD15" i="2"/>
  <c r="CC15" i="2"/>
  <c r="CB15" i="2"/>
  <c r="CA15" i="2"/>
  <c r="BZ15" i="2"/>
  <c r="BY15" i="2"/>
  <c r="BX15" i="2"/>
  <c r="BW15" i="2"/>
  <c r="BV15" i="2"/>
  <c r="BU15" i="2"/>
  <c r="BT15" i="2"/>
  <c r="BS15" i="2"/>
  <c r="BR15" i="2"/>
  <c r="BQ15" i="2"/>
  <c r="BP15" i="2"/>
  <c r="BO15" i="2"/>
  <c r="BN15" i="2"/>
  <c r="BM15" i="2"/>
  <c r="BL15" i="2"/>
  <c r="BK15" i="2"/>
  <c r="BJ15" i="2"/>
  <c r="BI15" i="2"/>
  <c r="BH15" i="2"/>
  <c r="BG15" i="2"/>
  <c r="BF15" i="2"/>
  <c r="AZ15" i="2"/>
  <c r="AY15" i="2"/>
  <c r="AX15" i="2"/>
  <c r="AW15" i="2"/>
  <c r="AV15" i="2"/>
  <c r="AU15" i="2"/>
  <c r="AT15" i="2"/>
  <c r="AS15" i="2"/>
  <c r="AR15" i="2"/>
  <c r="AQ15" i="2"/>
  <c r="AP15" i="2"/>
  <c r="AO15" i="2"/>
  <c r="AN15" i="2"/>
  <c r="AM15" i="2"/>
  <c r="AL15" i="2"/>
  <c r="AK15" i="2"/>
  <c r="AJ15" i="2"/>
  <c r="AI15" i="2"/>
  <c r="AH15" i="2"/>
  <c r="AG15" i="2"/>
  <c r="AF15" i="2"/>
  <c r="AE15" i="2"/>
  <c r="AD15" i="2"/>
  <c r="AC15" i="2"/>
  <c r="AB15" i="2"/>
  <c r="S15" i="2"/>
  <c r="Q15" i="2"/>
  <c r="P15" i="2"/>
  <c r="O15" i="2"/>
  <c r="N15" i="2"/>
  <c r="M15" i="2"/>
  <c r="L15" i="2"/>
  <c r="K15" i="2"/>
  <c r="J15" i="2"/>
  <c r="I15" i="2"/>
  <c r="H15" i="2"/>
  <c r="DM14" i="2"/>
  <c r="CU16" i="2"/>
  <c r="BS14" i="2"/>
  <c r="BS39" i="2" s="1"/>
  <c r="BM14" i="2"/>
  <c r="BM39" i="2" s="1"/>
  <c r="BM40" i="2" s="1"/>
  <c r="BL14" i="2"/>
  <c r="BL39" i="2" s="1"/>
  <c r="BL40" i="2" s="1"/>
  <c r="BK14" i="2"/>
  <c r="BK39" i="2" s="1"/>
  <c r="BK40" i="2" s="1"/>
  <c r="BC14" i="2"/>
  <c r="BC39" i="2" s="1"/>
  <c r="BB14" i="2"/>
  <c r="BA14" i="2"/>
  <c r="T14" i="2"/>
  <c r="T39" i="2" s="1"/>
  <c r="DM13" i="2"/>
  <c r="DI13" i="2"/>
  <c r="DL13" i="2" s="1"/>
  <c r="CH13" i="2"/>
  <c r="CG13" i="2"/>
  <c r="CF13" i="2"/>
  <c r="BC13" i="2"/>
  <c r="BE13" i="2" s="1"/>
  <c r="BB13" i="2"/>
  <c r="BA13" i="2"/>
  <c r="BD13" i="2" s="1"/>
  <c r="T13" i="2"/>
  <c r="CG12" i="2"/>
  <c r="CI12" i="2" s="1"/>
  <c r="CC12" i="2"/>
  <c r="CA12" i="2"/>
  <c r="BY12" i="2"/>
  <c r="BQ12" i="2"/>
  <c r="BO12" i="2"/>
  <c r="BC12" i="2"/>
  <c r="BE12" i="2" s="1"/>
  <c r="AY12" i="2"/>
  <c r="AU12" i="2"/>
  <c r="AS12" i="2"/>
  <c r="CG11" i="2"/>
  <c r="CC11" i="2"/>
  <c r="CA11" i="2"/>
  <c r="BY11" i="2"/>
  <c r="BY38" i="2" s="1"/>
  <c r="BY40" i="2" s="1"/>
  <c r="BS11" i="2"/>
  <c r="BS38" i="2" s="1"/>
  <c r="BS40" i="2" s="1"/>
  <c r="BE11" i="2"/>
  <c r="BC11" i="2"/>
  <c r="BC38" i="2" s="1"/>
  <c r="BC40" i="2" s="1"/>
  <c r="AU11" i="2"/>
  <c r="AS11" i="2"/>
  <c r="AS38" i="2" s="1"/>
  <c r="AS40" i="2" s="1"/>
  <c r="AQ11" i="2"/>
  <c r="AQ38" i="2" s="1"/>
  <c r="AQ40" i="2" s="1"/>
  <c r="N11" i="2"/>
  <c r="N38" i="2" s="1"/>
  <c r="N40" i="2" s="1"/>
  <c r="CG10" i="2"/>
  <c r="CF10" i="2"/>
  <c r="CE10" i="2"/>
  <c r="CE15" i="2" s="1"/>
  <c r="BC10" i="2"/>
  <c r="BC15" i="2" s="1"/>
  <c r="BB10" i="2"/>
  <c r="BB15" i="2" s="1"/>
  <c r="BA10" i="2"/>
  <c r="BA15" i="2" s="1"/>
  <c r="T10" i="2"/>
  <c r="T15" i="2" s="1"/>
  <c r="R10" i="2"/>
  <c r="R15" i="2" s="1"/>
  <c r="DN17" i="1"/>
  <c r="DM17" i="1"/>
  <c r="DK17" i="1"/>
  <c r="CJ17" i="1"/>
  <c r="CI17" i="1"/>
  <c r="CK17" i="1" s="1"/>
  <c r="CH17" i="1"/>
  <c r="CG17" i="1"/>
  <c r="BF17" i="1"/>
  <c r="BE17" i="1"/>
  <c r="BD17" i="1"/>
  <c r="BC17" i="1"/>
  <c r="S17" i="1"/>
  <c r="U17" i="1" s="1"/>
  <c r="W17" i="1" s="1"/>
  <c r="DN16" i="1"/>
  <c r="DM16" i="1"/>
  <c r="EU16" i="1" s="1"/>
  <c r="DL16" i="1"/>
  <c r="DK16" i="1"/>
  <c r="CI16" i="1"/>
  <c r="CK16" i="1" s="1"/>
  <c r="CE16" i="1"/>
  <c r="CJ16" i="1" s="1"/>
  <c r="BG16" i="1"/>
  <c r="BF16" i="1"/>
  <c r="BE16" i="1"/>
  <c r="BD16" i="1"/>
  <c r="BC16" i="1"/>
  <c r="U16" i="1"/>
  <c r="W16" i="1" s="1"/>
  <c r="DM15" i="1"/>
  <c r="EU15" i="1" s="1"/>
  <c r="DK15" i="1"/>
  <c r="CL15" i="1"/>
  <c r="DN15" i="1" s="1"/>
  <c r="CI15" i="1"/>
  <c r="CK15" i="1" s="1"/>
  <c r="CH15" i="1"/>
  <c r="CG15" i="1"/>
  <c r="BH15" i="1"/>
  <c r="CJ15" i="1" s="1"/>
  <c r="BF15" i="1"/>
  <c r="BE15" i="1"/>
  <c r="BG15" i="1" s="1"/>
  <c r="BD15" i="1"/>
  <c r="BC15" i="1"/>
  <c r="J15" i="1" s="1"/>
  <c r="AD15" i="1"/>
  <c r="S15" i="1"/>
  <c r="U15" i="1" s="1"/>
  <c r="W15" i="1" s="1"/>
  <c r="Y15" i="1" s="1"/>
  <c r="DM14" i="1"/>
  <c r="EU14" i="1" s="1"/>
  <c r="DK14" i="1"/>
  <c r="CL14" i="1"/>
  <c r="DN14" i="1" s="1"/>
  <c r="CI14" i="1"/>
  <c r="CK14" i="1" s="1"/>
  <c r="CH14" i="1"/>
  <c r="CG14" i="1"/>
  <c r="BH14" i="1"/>
  <c r="CJ14" i="1" s="1"/>
  <c r="BF14" i="1"/>
  <c r="BE14" i="1"/>
  <c r="BD14" i="1"/>
  <c r="BC14" i="1"/>
  <c r="DM13" i="1"/>
  <c r="CL13" i="1"/>
  <c r="CI13" i="1"/>
  <c r="CH13" i="1"/>
  <c r="CG13" i="1"/>
  <c r="BE13" i="1"/>
  <c r="BG13" i="1" s="1"/>
  <c r="BD13" i="1"/>
  <c r="BC13" i="1"/>
  <c r="BF13" i="1" s="1"/>
  <c r="EW14" i="1" l="1"/>
  <c r="EW15" i="1"/>
  <c r="EW16" i="1"/>
  <c r="EW13" i="1"/>
  <c r="EU13" i="1"/>
  <c r="DO17" i="1"/>
  <c r="EV17" i="1" s="1"/>
  <c r="EU17" i="1"/>
  <c r="BQ37" i="2"/>
  <c r="BQ38" i="2"/>
  <c r="BQ40" i="2" s="1"/>
  <c r="BD12" i="2"/>
  <c r="EU20" i="2"/>
  <c r="G20" i="2"/>
  <c r="EV20" i="2" s="1"/>
  <c r="DL29" i="2"/>
  <c r="J37" i="2"/>
  <c r="J38" i="2"/>
  <c r="J40" i="2" s="1"/>
  <c r="CF33" i="2"/>
  <c r="ET31" i="2"/>
  <c r="EU34" i="2"/>
  <c r="CF35" i="2"/>
  <c r="BI39" i="2"/>
  <c r="BI40" i="2" s="1"/>
  <c r="DK36" i="2"/>
  <c r="ES36" i="2" s="1"/>
  <c r="BD14" i="2"/>
  <c r="ES15" i="2"/>
  <c r="G25" i="2"/>
  <c r="CA16" i="2"/>
  <c r="CA38" i="2"/>
  <c r="CA40" i="2" s="1"/>
  <c r="CC16" i="2"/>
  <c r="CC38" i="2"/>
  <c r="CC40" i="2" s="1"/>
  <c r="CI11" i="2"/>
  <c r="CG38" i="2"/>
  <c r="DJ22" i="2"/>
  <c r="ES22" i="2" s="1"/>
  <c r="BA32" i="2"/>
  <c r="ER36" i="2"/>
  <c r="AU16" i="2"/>
  <c r="AU38" i="2"/>
  <c r="AU40" i="2" s="1"/>
  <c r="BB26" i="2"/>
  <c r="DJ29" i="2"/>
  <c r="BB33" i="2"/>
  <c r="DM39" i="2"/>
  <c r="AQ16" i="2"/>
  <c r="CG14" i="2"/>
  <c r="BA25" i="2"/>
  <c r="CM16" i="2"/>
  <c r="DI14" i="2"/>
  <c r="DL36" i="2"/>
  <c r="BQ30" i="2"/>
  <c r="DL17" i="2"/>
  <c r="DL22" i="2" s="1"/>
  <c r="DI22" i="2"/>
  <c r="EL40" i="2"/>
  <c r="DL35" i="2"/>
  <c r="ET35" i="2" s="1"/>
  <c r="DL28" i="2"/>
  <c r="ET28" i="2" s="1"/>
  <c r="DL25" i="2"/>
  <c r="CG22" i="2"/>
  <c r="DL33" i="2"/>
  <c r="DM12" i="2"/>
  <c r="DM33" i="2"/>
  <c r="ET33" i="2" s="1"/>
  <c r="BC23" i="2"/>
  <c r="CG23" i="2"/>
  <c r="BC30" i="2"/>
  <c r="CF15" i="2"/>
  <c r="CF29" i="2"/>
  <c r="EA40" i="2"/>
  <c r="DI15" i="2"/>
  <c r="BD10" i="2"/>
  <c r="BB29" i="2"/>
  <c r="BE24" i="2"/>
  <c r="BD34" i="2"/>
  <c r="EQ40" i="2"/>
  <c r="DI18" i="2"/>
  <c r="DI38" i="2" s="1"/>
  <c r="BB35" i="2"/>
  <c r="BB37" i="2" s="1"/>
  <c r="CG15" i="2"/>
  <c r="P11" i="2"/>
  <c r="P38" i="2" s="1"/>
  <c r="P40" i="2" s="1"/>
  <c r="BA12" i="2"/>
  <c r="CE12" i="2"/>
  <c r="CH12" i="2" s="1"/>
  <c r="EU12" i="2" s="1"/>
  <c r="DI19" i="2"/>
  <c r="BB21" i="2"/>
  <c r="BB39" i="2" s="1"/>
  <c r="BB28" i="2"/>
  <c r="BA36" i="2"/>
  <c r="CF32" i="2"/>
  <c r="CF37" i="2" s="1"/>
  <c r="BA21" i="2"/>
  <c r="BD21" i="2" s="1"/>
  <c r="EU21" i="2" s="1"/>
  <c r="CF21" i="2"/>
  <c r="BB25" i="2"/>
  <c r="CE26" i="2"/>
  <c r="CH26" i="2" s="1"/>
  <c r="J14" i="1"/>
  <c r="BG17" i="1"/>
  <c r="DM17" i="2"/>
  <c r="ET17" i="2" s="1"/>
  <c r="CF19" i="2"/>
  <c r="BB36" i="2"/>
  <c r="AM37" i="2"/>
  <c r="CG16" i="1"/>
  <c r="BC36" i="2"/>
  <c r="BA37" i="2"/>
  <c r="CF12" i="2"/>
  <c r="BA19" i="2"/>
  <c r="BD19" i="2" s="1"/>
  <c r="EU19" i="2" s="1"/>
  <c r="CE21" i="2"/>
  <c r="CH21" i="2" s="1"/>
  <c r="CF22" i="2"/>
  <c r="CE22" i="2"/>
  <c r="BS23" i="2"/>
  <c r="BA29" i="2"/>
  <c r="BE31" i="2"/>
  <c r="DS40" i="2"/>
  <c r="EI40" i="2"/>
  <c r="DO14" i="1"/>
  <c r="EV14" i="1" s="1"/>
  <c r="N16" i="2"/>
  <c r="BS16" i="2"/>
  <c r="DM32" i="2"/>
  <c r="ET32" i="2" s="1"/>
  <c r="DM16" i="2"/>
  <c r="CE29" i="2"/>
  <c r="DI29" i="2"/>
  <c r="CI36" i="2"/>
  <c r="ED40" i="2"/>
  <c r="DO15" i="1"/>
  <c r="EV15" i="1" s="1"/>
  <c r="CJ13" i="1"/>
  <c r="CK13" i="1"/>
  <c r="DN13" i="1" s="1"/>
  <c r="DM23" i="2"/>
  <c r="DI26" i="2"/>
  <c r="BB12" i="2"/>
  <c r="DL12" i="2"/>
  <c r="CE14" i="2"/>
  <c r="CI14" i="2"/>
  <c r="BC16" i="2"/>
  <c r="BK16" i="2"/>
  <c r="DK16" i="2"/>
  <c r="BE17" i="2"/>
  <c r="BA18" i="2"/>
  <c r="BE18" i="2"/>
  <c r="CE18" i="2"/>
  <c r="CI18" i="2"/>
  <c r="CH22" i="2"/>
  <c r="CH29" i="2"/>
  <c r="CI30" i="2"/>
  <c r="DM25" i="2"/>
  <c r="ET25" i="2" s="1"/>
  <c r="BA26" i="2"/>
  <c r="BD26" i="2"/>
  <c r="EU26" i="2" s="1"/>
  <c r="DI30" i="2"/>
  <c r="CF11" i="2"/>
  <c r="AS16" i="2"/>
  <c r="BM16" i="2"/>
  <c r="BY16" i="2"/>
  <c r="CG16" i="2"/>
  <c r="CM23" i="2"/>
  <c r="CE28" i="2"/>
  <c r="CH28" i="2" s="1"/>
  <c r="L37" i="2"/>
  <c r="BA11" i="2"/>
  <c r="CH16" i="1"/>
  <c r="DO16" i="1"/>
  <c r="EV16" i="1" s="1"/>
  <c r="BE10" i="2"/>
  <c r="BB11" i="2"/>
  <c r="BB38" i="2" s="1"/>
  <c r="CE11" i="2"/>
  <c r="CF14" i="2"/>
  <c r="BL16" i="2"/>
  <c r="CN16" i="2"/>
  <c r="CI17" i="2"/>
  <c r="R18" i="2"/>
  <c r="R23" i="2" s="1"/>
  <c r="BB18" i="2"/>
  <c r="CF18" i="2"/>
  <c r="CU23" i="2"/>
  <c r="BF23" i="2"/>
  <c r="DM29" i="2"/>
  <c r="ET29" i="2" s="1"/>
  <c r="BE30" i="2"/>
  <c r="CG30" i="2"/>
  <c r="BD11" i="2"/>
  <c r="BE14" i="2"/>
  <c r="DJ16" i="2"/>
  <c r="BD17" i="2"/>
  <c r="AO23" i="2"/>
  <c r="BD24" i="2"/>
  <c r="CG29" i="2"/>
  <c r="CI24" i="2"/>
  <c r="CF25" i="2"/>
  <c r="CE25" i="2"/>
  <c r="CF28" i="2"/>
  <c r="CC30" i="2"/>
  <c r="AQ23" i="2"/>
  <c r="AM30" i="2"/>
  <c r="CF36" i="2"/>
  <c r="CI32" i="2"/>
  <c r="DL34" i="2"/>
  <c r="CG35" i="2"/>
  <c r="CI35" i="2" s="1"/>
  <c r="G35" i="2" s="1"/>
  <c r="DQ40" i="2"/>
  <c r="DU40" i="2"/>
  <c r="DY40" i="2"/>
  <c r="EC40" i="2"/>
  <c r="EG40" i="2"/>
  <c r="BD25" i="2"/>
  <c r="BA28" i="2"/>
  <c r="BD28" i="2" s="1"/>
  <c r="EU28" i="2" s="1"/>
  <c r="BD31" i="2"/>
  <c r="CA37" i="2"/>
  <c r="CE32" i="2"/>
  <c r="DL32" i="2"/>
  <c r="DL37" i="2" s="1"/>
  <c r="DI37" i="2"/>
  <c r="CG36" i="2"/>
  <c r="DM36" i="2"/>
  <c r="ET36" i="2" s="1"/>
  <c r="CE33" i="2"/>
  <c r="CH33" i="2" s="1"/>
  <c r="EU33" i="2" s="1"/>
  <c r="BH37" i="2"/>
  <c r="R32" i="2"/>
  <c r="R37" i="2" s="1"/>
  <c r="BC37" i="2"/>
  <c r="BE32" i="2"/>
  <c r="DI36" i="2"/>
  <c r="BI37" i="2"/>
  <c r="CH31" i="2"/>
  <c r="CH36" i="2" s="1"/>
  <c r="BD32" i="2"/>
  <c r="CE35" i="2"/>
  <c r="CH35" i="2" s="1"/>
  <c r="D4" i="5"/>
  <c r="D5" i="5" s="1"/>
  <c r="L4" i="5"/>
  <c r="L5" i="5" s="1"/>
  <c r="T4" i="5"/>
  <c r="T5" i="5" s="1"/>
  <c r="F4" i="5"/>
  <c r="F5" i="5" s="1"/>
  <c r="N4" i="5"/>
  <c r="V4" i="5"/>
  <c r="V5" i="5" s="1"/>
  <c r="N5" i="5"/>
  <c r="H4" i="5"/>
  <c r="H5" i="5" s="1"/>
  <c r="P4" i="5"/>
  <c r="P5" i="5" s="1"/>
  <c r="X4" i="5"/>
  <c r="X5" i="5" s="1"/>
  <c r="B4" i="5"/>
  <c r="B5" i="5" s="1"/>
  <c r="J4" i="5"/>
  <c r="J5" i="5" s="1"/>
  <c r="EW17" i="1" l="1"/>
  <c r="EX17" i="1"/>
  <c r="EX16" i="1"/>
  <c r="EX15" i="1"/>
  <c r="EX14" i="1"/>
  <c r="EV11" i="2"/>
  <c r="BA38" i="2"/>
  <c r="BE29" i="2"/>
  <c r="EV24" i="2"/>
  <c r="EU24" i="2"/>
  <c r="G34" i="2"/>
  <c r="EV34" i="2" s="1"/>
  <c r="CE38" i="2"/>
  <c r="CF38" i="2"/>
  <c r="CG40" i="2"/>
  <c r="BE38" i="2"/>
  <c r="BE22" i="2"/>
  <c r="G17" i="2"/>
  <c r="G22" i="2" s="1"/>
  <c r="EU17" i="2"/>
  <c r="EV17" i="2"/>
  <c r="DI16" i="2"/>
  <c r="DI39" i="2"/>
  <c r="CI38" i="2"/>
  <c r="CI40" i="2" s="1"/>
  <c r="BB40" i="2"/>
  <c r="BE39" i="2"/>
  <c r="ES16" i="2"/>
  <c r="BA39" i="2"/>
  <c r="G11" i="2"/>
  <c r="BE36" i="2"/>
  <c r="EU31" i="2"/>
  <c r="EV31" i="2"/>
  <c r="G31" i="2"/>
  <c r="G36" i="2" s="1"/>
  <c r="ET12" i="2"/>
  <c r="BD39" i="2"/>
  <c r="EV35" i="2"/>
  <c r="CG39" i="2"/>
  <c r="EU35" i="2"/>
  <c r="G28" i="2"/>
  <c r="EV28" i="2" s="1"/>
  <c r="CI39" i="2"/>
  <c r="CF39" i="2"/>
  <c r="CF40" i="2" s="1"/>
  <c r="DI40" i="2"/>
  <c r="G30" i="2"/>
  <c r="G32" i="2"/>
  <c r="G37" i="2" s="1"/>
  <c r="CE39" i="2"/>
  <c r="EV25" i="2"/>
  <c r="DM38" i="2"/>
  <c r="DM40" i="2" s="1"/>
  <c r="DO13" i="1"/>
  <c r="BB23" i="2"/>
  <c r="DL30" i="2"/>
  <c r="CF23" i="2"/>
  <c r="DL21" i="2"/>
  <c r="DL18" i="2"/>
  <c r="G18" i="2" s="1"/>
  <c r="DI23" i="2"/>
  <c r="R11" i="2"/>
  <c r="R38" i="2" s="1"/>
  <c r="R40" i="2" s="1"/>
  <c r="P16" i="2"/>
  <c r="DL26" i="2"/>
  <c r="ET26" i="2" s="1"/>
  <c r="DL19" i="2"/>
  <c r="ET19" i="2" s="1"/>
  <c r="DM37" i="2"/>
  <c r="ET37" i="2" s="1"/>
  <c r="BD15" i="2"/>
  <c r="BB30" i="2"/>
  <c r="DM22" i="2"/>
  <c r="ET22" i="2" s="1"/>
  <c r="CG37" i="2"/>
  <c r="BD29" i="2"/>
  <c r="CH11" i="2"/>
  <c r="CH38" i="2" s="1"/>
  <c r="CE16" i="2"/>
  <c r="DL14" i="2"/>
  <c r="G14" i="2" s="1"/>
  <c r="BD18" i="2"/>
  <c r="BD38" i="2" s="1"/>
  <c r="BD40" i="2" s="1"/>
  <c r="BA23" i="2"/>
  <c r="CI16" i="2"/>
  <c r="BD37" i="2"/>
  <c r="BD30" i="2"/>
  <c r="CI37" i="2"/>
  <c r="CI22" i="2"/>
  <c r="BB16" i="2"/>
  <c r="BA16" i="2"/>
  <c r="CI23" i="2"/>
  <c r="CH14" i="2"/>
  <c r="CH39" i="2" s="1"/>
  <c r="CE37" i="2"/>
  <c r="CH32" i="2"/>
  <c r="EU32" i="2" s="1"/>
  <c r="CF30" i="2"/>
  <c r="BE16" i="2"/>
  <c r="BD36" i="2"/>
  <c r="CI29" i="2"/>
  <c r="BD16" i="2"/>
  <c r="DM30" i="2"/>
  <c r="ET30" i="2" s="1"/>
  <c r="CE23" i="2"/>
  <c r="CH18" i="2"/>
  <c r="BA30" i="2"/>
  <c r="BE37" i="2"/>
  <c r="Y5" i="5"/>
  <c r="CE30" i="2"/>
  <c r="CH25" i="2"/>
  <c r="EU25" i="2" s="1"/>
  <c r="BD22" i="2"/>
  <c r="BE15" i="2"/>
  <c r="CH10" i="2"/>
  <c r="CI10" i="2"/>
  <c r="CF16" i="2"/>
  <c r="BE23" i="2"/>
  <c r="EX13" i="1" l="1"/>
  <c r="EV13" i="1"/>
  <c r="EV14" i="2"/>
  <c r="EV18" i="2"/>
  <c r="ET21" i="2"/>
  <c r="G21" i="2"/>
  <c r="EV21" i="2" s="1"/>
  <c r="EV32" i="2"/>
  <c r="G38" i="2"/>
  <c r="G16" i="2"/>
  <c r="EV16" i="2" s="1"/>
  <c r="EU22" i="2"/>
  <c r="EV22" i="2"/>
  <c r="EV29" i="2"/>
  <c r="EU29" i="2"/>
  <c r="CH40" i="2"/>
  <c r="EV30" i="2"/>
  <c r="EU11" i="2"/>
  <c r="BE40" i="2"/>
  <c r="EU18" i="2"/>
  <c r="EU14" i="2"/>
  <c r="CE40" i="2"/>
  <c r="BA40" i="2"/>
  <c r="EV37" i="2"/>
  <c r="EU36" i="2"/>
  <c r="EV36" i="2"/>
  <c r="DL39" i="2"/>
  <c r="DL40" i="2" s="1"/>
  <c r="ET14" i="2"/>
  <c r="DL38" i="2"/>
  <c r="ET18" i="2"/>
  <c r="DL23" i="2"/>
  <c r="ET23" i="2" s="1"/>
  <c r="R16" i="2"/>
  <c r="T11" i="2"/>
  <c r="DL10" i="2"/>
  <c r="DM10" i="2"/>
  <c r="CH15" i="2"/>
  <c r="DL16" i="2"/>
  <c r="ET16" i="2" s="1"/>
  <c r="CH30" i="2"/>
  <c r="CH23" i="2"/>
  <c r="CI15" i="2"/>
  <c r="BD23" i="2"/>
  <c r="EU23" i="2" s="1"/>
  <c r="CH16" i="2"/>
  <c r="CH37" i="2"/>
  <c r="DM15" i="2" l="1"/>
  <c r="ET10" i="2"/>
  <c r="EV10" i="2"/>
  <c r="EU30" i="2"/>
  <c r="T16" i="2"/>
  <c r="T38" i="2"/>
  <c r="T40" i="2" s="1"/>
  <c r="EU16" i="2"/>
  <c r="G23" i="2"/>
  <c r="EV23" i="2" s="1"/>
  <c r="EU37" i="2"/>
  <c r="G39" i="2"/>
  <c r="G40" i="2" s="1"/>
  <c r="DL15" i="2"/>
  <c r="EV15" i="2" l="1"/>
  <c r="ET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sz val="11"/>
            <rFont val="Calibri"/>
            <family val="2"/>
            <scheme val="minor"/>
          </rPr>
          <t>YULIED.PENARANDA:
Describir el nombre completo de la oficina, dirección o subdirección que gerencia el proyecto de inversión.</t>
        </r>
      </text>
    </comment>
    <comment ref="A6" authorId="0" shapeId="0" xr:uid="{00000000-0006-0000-0000-000002000000}">
      <text>
        <r>
          <rPr>
            <sz val="11"/>
            <rFont val="Calibri"/>
            <family val="2"/>
            <scheme val="minor"/>
          </rPr>
          <t xml:space="preserve">YULIED.PENARANDA:
Describir el número y nombre completo del proyecto de inversión. </t>
        </r>
      </text>
    </comment>
    <comment ref="A7" authorId="0" shapeId="0" xr:uid="{00000000-0006-0000-0000-000003000000}">
      <text>
        <r>
          <rPr>
            <sz val="11"/>
            <rFont val="Calibri"/>
            <family val="2"/>
            <scheme val="minor"/>
          </rPr>
          <t xml:space="preserve">YULIED.PENARANDA:
Las metas plan de desarrollo están agrupadas en temáticas afines, bajo la estructura de Propósito Plan de Desarrollo. Relacionar número y nombre del propósito asociado </t>
        </r>
      </text>
    </comment>
    <comment ref="A8" authorId="0" shapeId="0" xr:uid="{00000000-0006-0000-0000-000004000000}">
      <text>
        <r>
          <rPr>
            <sz val="11"/>
            <rFont val="Calibri"/>
            <family val="2"/>
            <scheme val="minor"/>
          </rPr>
          <t xml:space="preserve">YULIED.PENARANDA:
Las metas plan de desarrollo están agrupadas en temáticas afines, bajo la estructura de Programas Plan de Desarrollo. Relacionar número y nombre del programa asociado </t>
        </r>
      </text>
    </comment>
    <comment ref="EY10" authorId="0" shapeId="0" xr:uid="{00000000-0006-0000-0000-000005000000}">
      <text>
        <r>
          <rPr>
            <sz val="11"/>
            <rFont val="Calibri"/>
            <family val="2"/>
            <scheme val="minor"/>
          </rPr>
          <t xml:space="preserve">YULIED.PENARANDA:
Logros más representativos en función de la meta, de forma acumulada.(lenguaje claro y preciso)
Máximo de caracteres 2.000 incluidos espacios.
</t>
        </r>
      </text>
    </comment>
    <comment ref="EZ10" authorId="0" shapeId="0" xr:uid="{00000000-0006-0000-0000-000006000000}">
      <text>
        <r>
          <rPr>
            <sz val="11"/>
            <rFont val="Calibri"/>
            <family val="2"/>
            <scheme val="minor"/>
          </rPr>
          <t xml:space="preserve">YULIED.PENARANDA:
Inconvenientes y/o dificultades que se han presentado para el cumplimiento de la Meta. 
Máximo de caracteres 500 incluidos espacios.
</t>
        </r>
      </text>
    </comment>
    <comment ref="FA10" authorId="0" shapeId="0" xr:uid="{00000000-0006-0000-0000-000007000000}">
      <text>
        <r>
          <rPr>
            <sz val="11"/>
            <rFont val="Calibri"/>
            <family val="2"/>
            <scheme val="minor"/>
          </rPr>
          <t xml:space="preserve">YULIED.PENARANDA:
Medidas a tomar para solucionar los retrasos presentados. 
Máximo de caracteres 500 incluidos espacios.
</t>
        </r>
      </text>
    </comment>
    <comment ref="FB10" authorId="0" shapeId="0" xr:uid="{00000000-0006-0000-0000-000008000000}">
      <text>
        <r>
          <rPr>
            <sz val="11"/>
            <rFont val="Calibri"/>
            <family val="2"/>
            <scheme val="minor"/>
          </rPr>
          <t xml:space="preserve">YULIED.PENARANDA:
Logros obtenidos para la población objetivo, que se han alcanzado  con el cumplimiento de la meta. </t>
        </r>
      </text>
    </comment>
    <comment ref="FC10" authorId="0" shapeId="0" xr:uid="{00000000-0006-0000-0000-000009000000}">
      <text>
        <r>
          <rPr>
            <sz val="11"/>
            <rFont val="Calibri"/>
            <family val="2"/>
            <scheme val="minor"/>
          </rPr>
          <t xml:space="preserve">YULIED.PENARANDA:
Soportes que justifican las acciones desarrolladas en el cumplimiento de la meta.
</t>
        </r>
      </text>
    </comment>
    <comment ref="AD11" authorId="0" shapeId="0" xr:uid="{00000000-0006-0000-0000-00000A000000}">
      <text>
        <r>
          <rPr>
            <sz val="11"/>
            <rFont val="Calibri"/>
            <family val="2"/>
            <scheme val="minor"/>
          </rPr>
          <t>YULIED.PENARANDA:
Año 2</t>
        </r>
      </text>
    </comment>
    <comment ref="BH11" authorId="0" shapeId="0" xr:uid="{00000000-0006-0000-0000-00000B000000}">
      <text>
        <r>
          <rPr>
            <sz val="11"/>
            <rFont val="Calibri"/>
            <family val="2"/>
            <scheme val="minor"/>
          </rPr>
          <t>YULIED.PENARANDA:
Año 3</t>
        </r>
      </text>
    </comment>
    <comment ref="CL11" authorId="0" shapeId="0" xr:uid="{00000000-0006-0000-0000-00000C000000}">
      <text>
        <r>
          <rPr>
            <sz val="11"/>
            <rFont val="Calibri"/>
            <family val="2"/>
            <scheme val="minor"/>
          </rPr>
          <t>YULIED.PENARANDA:
Año 4</t>
        </r>
      </text>
    </comment>
    <comment ref="DP11" authorId="0" shapeId="0" xr:uid="{00000000-0006-0000-0000-00000D000000}">
      <text>
        <r>
          <rPr>
            <sz val="11"/>
            <rFont val="Calibri"/>
            <family val="2"/>
            <scheme val="minor"/>
          </rPr>
          <t>YULIED.PENARANDA:
Año 5</t>
        </r>
      </text>
    </comment>
    <comment ref="A12" authorId="0" shapeId="0" xr:uid="{00000000-0006-0000-0000-00000E000000}">
      <text>
        <r>
          <rPr>
            <sz val="11"/>
            <rFont val="Calibri"/>
            <family val="2"/>
            <scheme val="minor"/>
          </rPr>
          <t>YULIED.PENARANDA:
Número del propósito al que pertenece la estructura del proyecto de inversión asociada al PDD</t>
        </r>
      </text>
    </comment>
    <comment ref="B12" authorId="0" shapeId="0" xr:uid="{00000000-0006-0000-0000-00000F000000}">
      <text>
        <r>
          <rPr>
            <sz val="11"/>
            <rFont val="Calibri"/>
            <family val="2"/>
            <scheme val="minor"/>
          </rPr>
          <t>YULIED.PENARANDA:
Número del programa al que pertenece la estructura del proyecto de inversión asociada al PDD</t>
        </r>
      </text>
    </comment>
    <comment ref="C12" authorId="0" shapeId="0" xr:uid="{00000000-0006-0000-0000-000010000000}">
      <text>
        <r>
          <rPr>
            <sz val="11"/>
            <rFont val="Calibri"/>
            <family val="2"/>
            <scheme val="minor"/>
          </rPr>
          <t>YULIED.PENARANDA:
Número de Meta Plan de Desarrollo.</t>
        </r>
      </text>
    </comment>
    <comment ref="D12" authorId="0" shapeId="0" xr:uid="{00000000-0006-0000-0000-000011000000}">
      <text>
        <r>
          <rPr>
            <sz val="11"/>
            <rFont val="Calibri"/>
            <family val="2"/>
            <scheme val="minor"/>
          </rPr>
          <t>YULIED.PENARANDA:
Nombre completo de la Meta  del Plan de Desarrollo, según acuerdo.</t>
        </r>
      </text>
    </comment>
    <comment ref="E12" authorId="0" shapeId="0" xr:uid="{00000000-0006-0000-0000-000012000000}">
      <text>
        <r>
          <rPr>
            <sz val="11"/>
            <rFont val="Calibri"/>
            <family val="2"/>
            <scheme val="minor"/>
          </rPr>
          <t xml:space="preserve">YULIED.PENARANDA:
Número asignado al indicador en la estructura del Plan de Desarrollo. </t>
        </r>
      </text>
    </comment>
    <comment ref="F12" authorId="0" shapeId="0" xr:uid="{00000000-0006-0000-0000-000013000000}">
      <text>
        <r>
          <rPr>
            <sz val="11"/>
            <rFont val="Calibri"/>
            <family val="2"/>
            <scheme val="minor"/>
          </rPr>
          <t>YULIED.PENARANDA:
Nombre completo del indicador. Expresión verbal, precisa y concreta del patrón de evaluación.</t>
        </r>
      </text>
    </comment>
    <comment ref="G12" authorId="0" shapeId="0" xr:uid="{00000000-0006-0000-0000-000014000000}">
      <text>
        <r>
          <rPr>
            <sz val="11"/>
            <color rgb="FF000000"/>
            <rFont val="Calibri"/>
            <family val="2"/>
          </rPr>
          <t xml:space="preserve">YULIED.PENARANDA:
</t>
        </r>
        <r>
          <rPr>
            <sz val="11"/>
            <color rgb="FF000000"/>
            <rFont val="Calibri"/>
            <family val="2"/>
          </rPr>
          <t xml:space="preserve">Unidad cualitativa del indicador, define las características de la magnitud a realizar seguimiento. Eje: Hectáreas, estrategias, modelos, proyectos etc. </t>
        </r>
      </text>
    </comment>
    <comment ref="H12" authorId="0" shapeId="0" xr:uid="{00000000-0006-0000-0000-000015000000}">
      <text>
        <r>
          <rPr>
            <sz val="11"/>
            <rFont val="Calibri"/>
            <family val="2"/>
            <scheme val="minor"/>
          </rPr>
          <t>YULIED.PENARANDA:
Clasificación que define la forma en que será anualizada la meta y por tanto la forma en que este se reportará.  (Suma, Creciente, Decreciente y Constante)</t>
        </r>
      </text>
    </comment>
    <comment ref="I12" authorId="0" shapeId="0" xr:uid="{00000000-0006-0000-0000-000016000000}">
      <text>
        <r>
          <rPr>
            <sz val="11"/>
            <rFont val="Calibri"/>
            <family val="2"/>
            <scheme val="minor"/>
          </rPr>
          <t>YULIED.PENARANDA:
Magnitud física del indicador programada para la totalidad del plan de desarrollo 2020-2024</t>
        </r>
      </text>
    </comment>
    <comment ref="J12" authorId="0" shapeId="0" xr:uid="{00000000-0006-0000-0000-000017000000}">
      <text>
        <r>
          <rPr>
            <sz val="11"/>
            <rFont val="Calibri"/>
            <family val="2"/>
            <scheme val="minor"/>
          </rPr>
          <t>YULIED.PENARANDA: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100-000002000000}">
      <text>
        <r>
          <rPr>
            <sz val="11"/>
            <rFont val="Calibri"/>
            <family val="2"/>
            <scheme val="minor"/>
          </rPr>
          <t xml:space="preserve">YULIED.PENARANDA:
Describir el número y nombre completo del proyecto de inversión. </t>
        </r>
      </text>
    </comment>
    <comment ref="ES7" authorId="0" shapeId="0" xr:uid="{00000000-0006-0000-0100-000003000000}">
      <text>
        <r>
          <rPr>
            <sz val="11"/>
            <rFont val="Calibri"/>
            <family val="2"/>
            <scheme val="minor"/>
          </rPr>
          <t>YULIED.PENARANDA:
En este campo se conoce el porcentaje de avance de la vigencia; según la tipología del indicador.</t>
        </r>
      </text>
    </comment>
    <comment ref="ET7" authorId="0" shapeId="0" xr:uid="{00000000-0006-0000-0100-000004000000}">
      <text>
        <r>
          <rPr>
            <sz val="11"/>
            <rFont val="Calibri"/>
            <family val="2"/>
            <scheme val="minor"/>
          </rPr>
          <t>YULIED.PENARANDA:
En este campo se conoce el porcentaje de avance de la vigencia; según la tipología del indicador.</t>
        </r>
      </text>
    </comment>
    <comment ref="EU7" authorId="0" shapeId="0" xr:uid="{00000000-0006-0000-0100-000005000000}">
      <text>
        <r>
          <rPr>
            <sz val="11"/>
            <rFont val="Calibri"/>
            <family val="2"/>
            <scheme val="minor"/>
          </rPr>
          <t>YULIED.PENARANDA:
En este campo se conoce el porcentaje de avance de la vigencia; según la tipología del indicador.</t>
        </r>
      </text>
    </comment>
    <comment ref="EV7" authorId="0" shapeId="0" xr:uid="{00000000-0006-0000-0100-000006000000}">
      <text>
        <r>
          <rPr>
            <sz val="11"/>
            <rFont val="Calibri"/>
            <family val="2"/>
            <scheme val="minor"/>
          </rPr>
          <t>YULIED.PENARANDA:
 Este campo se conoce el porcentaje de avance de forma acumulada al plan de desarrollo, de acuerdo con la tipología del indicador.</t>
        </r>
      </text>
    </comment>
    <comment ref="EW7" authorId="0" shapeId="0" xr:uid="{00000000-0006-0000-0100-000007000000}">
      <text>
        <r>
          <rPr>
            <sz val="11"/>
            <rFont val="Calibri"/>
            <family val="2"/>
            <scheme val="minor"/>
          </rPr>
          <t xml:space="preserve">YULIED.PENARANDA:
Logros más representativos en función de la meta, de forma acumulada.(lenguaje claro y preciso)
Máximo de caracteres 2.000 incluidos espacios.
</t>
        </r>
      </text>
    </comment>
    <comment ref="EX7" authorId="0" shapeId="0" xr:uid="{00000000-0006-0000-0100-000008000000}">
      <text>
        <r>
          <rPr>
            <sz val="11"/>
            <rFont val="Calibri"/>
            <family val="2"/>
            <scheme val="minor"/>
          </rPr>
          <t xml:space="preserve">YULIED.PENARANDA:
Inconvenientes y/o dificultades que se han presentado para el cumplimiento de la Meta. 
Máximo de caracteres 500 incluidos espacios.
</t>
        </r>
      </text>
    </comment>
    <comment ref="EY7" authorId="0" shapeId="0" xr:uid="{00000000-0006-0000-0100-000009000000}">
      <text>
        <r>
          <rPr>
            <sz val="11"/>
            <rFont val="Calibri"/>
            <family val="2"/>
            <scheme val="minor"/>
          </rPr>
          <t xml:space="preserve">YULIED.PENARANDA:
Medidas a tomar para solucionar los retrasos presentados. 
Máximo de caracteres 500 incluidos espacios.
</t>
        </r>
      </text>
    </comment>
    <comment ref="EZ7" authorId="0" shapeId="0" xr:uid="{00000000-0006-0000-0100-00000A000000}">
      <text>
        <r>
          <rPr>
            <sz val="11"/>
            <rFont val="Calibri"/>
            <family val="2"/>
            <scheme val="minor"/>
          </rPr>
          <t xml:space="preserve">YULIED.PENARANDA:
Logros obtenidos para la población objetivo, que se han alcanzado  con el cumplimiento de la meta. </t>
        </r>
      </text>
    </comment>
    <comment ref="FA7" authorId="0" shapeId="0" xr:uid="{00000000-0006-0000-0100-00000B000000}">
      <text>
        <r>
          <rPr>
            <sz val="11"/>
            <rFont val="Calibri"/>
            <family val="2"/>
            <scheme val="minor"/>
          </rPr>
          <t xml:space="preserve">YULIED.PENARANDA:
Soportes que justifican las acciones desarrolladas en el cumplimiento de la meta.
</t>
        </r>
      </text>
    </comment>
    <comment ref="H8" authorId="0" shapeId="0" xr:uid="{00000000-0006-0000-0100-00000C000000}">
      <text>
        <r>
          <rPr>
            <sz val="11"/>
            <rFont val="Calibri"/>
            <family val="2"/>
            <scheme val="minor"/>
          </rPr>
          <t>YULIED.PENARANDA:
Año 1</t>
        </r>
      </text>
    </comment>
    <comment ref="AB8" authorId="0" shapeId="0" xr:uid="{00000000-0006-0000-0100-00000D000000}">
      <text>
        <r>
          <rPr>
            <sz val="11"/>
            <rFont val="Calibri"/>
            <family val="2"/>
            <scheme val="minor"/>
          </rPr>
          <t xml:space="preserve">YULIED.PENARANDA:
Año 2
</t>
        </r>
      </text>
    </comment>
    <comment ref="BF8" authorId="0" shapeId="0" xr:uid="{00000000-0006-0000-0100-00000E000000}">
      <text>
        <r>
          <rPr>
            <sz val="11"/>
            <rFont val="Calibri"/>
            <family val="2"/>
            <scheme val="minor"/>
          </rPr>
          <t>YULIED.PENARANDA:
Año 3</t>
        </r>
      </text>
    </comment>
    <comment ref="CJ8" authorId="0" shapeId="0" xr:uid="{00000000-0006-0000-0100-00000F000000}">
      <text>
        <r>
          <rPr>
            <sz val="11"/>
            <rFont val="Calibri"/>
            <family val="2"/>
            <scheme val="minor"/>
          </rPr>
          <t xml:space="preserve">YULIED.PENARANDA:
Año 4
</t>
        </r>
      </text>
    </comment>
    <comment ref="DN8" authorId="0" shapeId="0" xr:uid="{00000000-0006-0000-0100-000010000000}">
      <text>
        <r>
          <rPr>
            <sz val="11"/>
            <rFont val="Calibri"/>
            <family val="2"/>
            <scheme val="minor"/>
          </rPr>
          <t>YULIED.PENARANDA:
Año 5</t>
        </r>
      </text>
    </comment>
    <comment ref="A9" authorId="0" shapeId="0" xr:uid="{00000000-0006-0000-0100-000011000000}">
      <text>
        <r>
          <rPr>
            <sz val="11"/>
            <rFont val="Calibri"/>
            <family val="2"/>
            <scheme val="minor"/>
          </rPr>
          <t>YULIED.PENARANDA:
Nombre completo de las líneas de acción, quien nos dan una visión general de los grandes temas del proyecto y forman parte integral del mismo, de acuerdo con la ficha EBI</t>
        </r>
      </text>
    </comment>
    <comment ref="B9" authorId="0" shapeId="0" xr:uid="{00000000-0006-0000-0100-000012000000}">
      <text>
        <r>
          <rPr>
            <sz val="11"/>
            <rFont val="Calibri"/>
            <family val="2"/>
            <scheme val="minor"/>
          </rPr>
          <t>YULIED.PENARANDA:
Número de la meta proyecto de inversión, según la asignación dada en  SEGPLAN</t>
        </r>
      </text>
    </comment>
    <comment ref="C9" authorId="0" shapeId="0" xr:uid="{00000000-0006-0000-0100-000013000000}">
      <text>
        <r>
          <rPr>
            <sz val="11"/>
            <rFont val="Calibri"/>
            <family val="2"/>
            <scheme val="minor"/>
          </rPr>
          <t>YULIED.PENARANDA:
Nombre completo de la meta proyecto de inversión, igual como quedo en SEGPLAN</t>
        </r>
      </text>
    </comment>
    <comment ref="D9" authorId="0" shapeId="0" xr:uid="{00000000-0006-0000-0100-000014000000}">
      <text>
        <r>
          <rPr>
            <sz val="11"/>
            <rFont val="Calibri"/>
            <family val="2"/>
            <scheme val="minor"/>
          </rPr>
          <t>YULIED.PENARANDA:
Clasificación que define la forma en que será anualizada la meta y por tanto la forma en que este se reportará.  (Suma, Creciente, Decreciente y Constante)</t>
        </r>
      </text>
    </comment>
    <comment ref="E9" authorId="0" shapeId="0" xr:uid="{00000000-0006-0000-0100-000015000000}">
      <text>
        <r>
          <rPr>
            <sz val="11"/>
            <rFont val="Calibri"/>
            <family val="2"/>
            <scheme val="minor"/>
          </rPr>
          <t>YULIED.PENARANDA:
Número de la meta Plan de Desarrollo, a la cual se encuentra asociada la meta de inversión.</t>
        </r>
      </text>
    </comment>
    <comment ref="F9" authorId="0" shapeId="0" xr:uid="{00000000-0006-0000-0100-000016000000}">
      <text>
        <r>
          <rPr>
            <sz val="11"/>
            <rFont val="Calibri"/>
            <family val="2"/>
            <scheme val="minor"/>
          </rPr>
          <t>YULIED.PENARANDA:
Se desagrega los siguientesvariables.
Magnitud física y presupuestal de la vigencia, así como la magnitud física y presupuestal de las reservas y el total de cada una de ellas.</t>
        </r>
      </text>
    </comment>
    <comment ref="G9" authorId="0" shapeId="0" xr:uid="{00000000-0006-0000-0100-000017000000}">
      <text>
        <r>
          <rPr>
            <sz val="11"/>
            <rFont val="Calibri"/>
            <family val="2"/>
            <scheme val="minor"/>
          </rPr>
          <t>YULIED.PENARANDA:
Magnitud física y presupuestal para la totalidad del plan de desarrollo.</t>
        </r>
      </text>
    </comment>
    <comment ref="H9" authorId="0" shapeId="0" xr:uid="{00000000-0006-0000-0100-000018000000}">
      <text>
        <r>
          <rPr>
            <sz val="11"/>
            <rFont val="Calibri"/>
            <family val="2"/>
            <scheme val="minor"/>
          </rPr>
          <t>YULIED.PENARANDA:
Magnitud física y presupuestal  programada para el inicio del plan de desarrollo.</t>
        </r>
      </text>
    </comment>
    <comment ref="F10" authorId="0" shapeId="0" xr:uid="{00000000-0006-0000-0100-000019000000}">
      <text>
        <r>
          <rPr>
            <sz val="11"/>
            <rFont val="Calibri"/>
            <family val="2"/>
            <scheme val="minor"/>
          </rPr>
          <t xml:space="preserve">YULIED.PENARANDA:
Magnitud física de la meta proyecto de inversión, a programar o a realizar seguimiento, según la columna en que se reporte. </t>
        </r>
      </text>
    </comment>
    <comment ref="F11" authorId="0" shapeId="0" xr:uid="{00000000-0006-0000-0100-00001A000000}">
      <text>
        <r>
          <rPr>
            <sz val="11"/>
            <rFont val="Calibri"/>
            <family val="2"/>
            <scheme val="minor"/>
          </rPr>
          <t>YULIED.PENARANDA:
Este sirve de insumo para establecer el Plan Anual de Adquisiciones</t>
        </r>
      </text>
    </comment>
    <comment ref="F12" authorId="0" shapeId="0" xr:uid="{00000000-0006-0000-0100-00001C000000}">
      <text>
        <r>
          <rPr>
            <sz val="11"/>
            <rFont val="Calibri"/>
            <family val="2"/>
            <scheme val="minor"/>
          </rPr>
          <t>YULIED.PENARANDA:
Este debe corresponder con la programación del  Plan Anual de Caja- PAC de la vigencia</t>
        </r>
      </text>
    </comment>
    <comment ref="F13" authorId="0" shapeId="0" xr:uid="{00000000-0006-0000-0100-00001D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E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20000000}">
      <text>
        <r>
          <rPr>
            <sz val="11"/>
            <rFont val="Calibri"/>
            <family val="2"/>
            <scheme val="minor"/>
          </rPr>
          <t>YULIED.PENARANDA:
Para las metas de tipología suma (vigencia *reservas). Para las demás tipos de metas se asocia el mismo dato de la vigencia.</t>
        </r>
      </text>
    </comment>
    <comment ref="F16" authorId="0" shapeId="0" xr:uid="{00000000-0006-0000-0100-000021000000}">
      <text>
        <r>
          <rPr>
            <sz val="11"/>
            <rFont val="Calibri"/>
            <family val="2"/>
            <scheme val="minor"/>
          </rPr>
          <t>YULIED.PENARANDA:
Se suma los recursos presupuestales (vigencia + reservas)</t>
        </r>
      </text>
    </comment>
    <comment ref="F17" authorId="0" shapeId="0" xr:uid="{00000000-0006-0000-0100-000022000000}">
      <text>
        <r>
          <rPr>
            <sz val="11"/>
            <rFont val="Calibri"/>
            <family val="2"/>
            <scheme val="minor"/>
          </rPr>
          <t xml:space="preserve">YULIED.PENARANDA:
Magnitud física de la meta proyecto de inversión, a programar o a realizar seguimiento, según la columna en que se reporte. </t>
        </r>
      </text>
    </comment>
    <comment ref="F18" authorId="0" shapeId="0" xr:uid="{00000000-0006-0000-0100-000024000000}">
      <text>
        <r>
          <rPr>
            <sz val="11"/>
            <rFont val="Calibri"/>
            <family val="2"/>
            <scheme val="minor"/>
          </rPr>
          <t>YULIED.PENARANDA:
Este sirve de insumo para establecer el Plan Anual de Adquisiciones</t>
        </r>
      </text>
    </comment>
    <comment ref="F19" authorId="0" shapeId="0" xr:uid="{00000000-0006-0000-0100-000025000000}">
      <text>
        <r>
          <rPr>
            <sz val="11"/>
            <rFont val="Calibri"/>
            <family val="2"/>
            <scheme val="minor"/>
          </rPr>
          <t>YULIED.PENARANDA:
Este debe corresponder con la programación del  Plan Anual de Caja- PAC de la vigencia</t>
        </r>
      </text>
    </comment>
    <comment ref="F20" authorId="0" shapeId="0" xr:uid="{00000000-0006-0000-0100-000026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7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A000000}">
      <text>
        <r>
          <rPr>
            <sz val="11"/>
            <rFont val="Calibri"/>
            <family val="2"/>
            <scheme val="minor"/>
          </rPr>
          <t>YULIED.PENARANDA:
Para las metas de tipología suma (vigencia *reservas). Para las demás tipos de metas se asocia el mismo dato de la vigencia.</t>
        </r>
      </text>
    </comment>
    <comment ref="F23" authorId="0" shapeId="0" xr:uid="{00000000-0006-0000-0100-00002B000000}">
      <text>
        <r>
          <rPr>
            <sz val="11"/>
            <rFont val="Calibri"/>
            <family val="2"/>
            <scheme val="minor"/>
          </rPr>
          <t>YULIED.PENARANDA:
Se suma los recursos presupuestales (vigencia + reservas)</t>
        </r>
      </text>
    </comment>
    <comment ref="F24" authorId="0" shapeId="0" xr:uid="{00000000-0006-0000-0100-00002C000000}">
      <text>
        <r>
          <rPr>
            <sz val="11"/>
            <rFont val="Calibri"/>
            <family val="2"/>
            <scheme val="minor"/>
          </rPr>
          <t xml:space="preserve">YULIED.PENARANDA:
Magnitud física de la meta proyecto de inversión, a programar o a realizar seguimiento, según la columna en que se reporte. </t>
        </r>
      </text>
    </comment>
    <comment ref="F25" authorId="0" shapeId="0" xr:uid="{00000000-0006-0000-0100-00002D000000}">
      <text>
        <r>
          <rPr>
            <sz val="11"/>
            <rFont val="Calibri"/>
            <family val="2"/>
            <scheme val="minor"/>
          </rPr>
          <t>YULIED.PENARANDA:
Este sirve de insumo para establecer el Plan Anual de Adquisiciones</t>
        </r>
      </text>
    </comment>
    <comment ref="F26" authorId="0" shapeId="0" xr:uid="{00000000-0006-0000-0100-00002E000000}">
      <text>
        <r>
          <rPr>
            <sz val="11"/>
            <rFont val="Calibri"/>
            <family val="2"/>
            <scheme val="minor"/>
          </rPr>
          <t>YULIED.PENARANDA:
Este debe corresponder con la programación del  Plan Anual de Caja- PAC de la vigencia</t>
        </r>
      </text>
    </comment>
    <comment ref="F27" authorId="0" shapeId="0" xr:uid="{00000000-0006-0000-0100-00002F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28" authorId="0" shapeId="0" xr:uid="{00000000-0006-0000-0100-000030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34000000}">
      <text>
        <r>
          <rPr>
            <sz val="11"/>
            <rFont val="Calibri"/>
            <family val="2"/>
            <scheme val="minor"/>
          </rPr>
          <t>YULIED.PENARANDA:
Para las metas de tipología suma (vigencia *reservas). Para las demás tipos de metas se asocia el mismo dato de la vigencia.</t>
        </r>
      </text>
    </comment>
    <comment ref="F30" authorId="0" shapeId="0" xr:uid="{00000000-0006-0000-0100-000035000000}">
      <text>
        <r>
          <rPr>
            <sz val="11"/>
            <rFont val="Calibri"/>
            <family val="2"/>
            <scheme val="minor"/>
          </rPr>
          <t>YULIED.PENARANDA:
Se suma los recursos presupuestales (vigencia + reservas)</t>
        </r>
      </text>
    </comment>
    <comment ref="F31" authorId="0" shapeId="0" xr:uid="{00000000-0006-0000-0100-000036000000}">
      <text>
        <r>
          <rPr>
            <sz val="11"/>
            <rFont val="Calibri"/>
            <family val="2"/>
            <scheme val="minor"/>
          </rPr>
          <t xml:space="preserve">YULIED.PENARANDA:
Magnitud física de la meta proyecto de inversión, a programar o a realizar seguimiento, según la columna en que se reporte. </t>
        </r>
      </text>
    </comment>
    <comment ref="F32" authorId="0" shapeId="0" xr:uid="{00000000-0006-0000-0100-000037000000}">
      <text>
        <r>
          <rPr>
            <sz val="11"/>
            <rFont val="Calibri"/>
            <family val="2"/>
            <scheme val="minor"/>
          </rPr>
          <t>YULIED.PENARANDA:
Este sirve de insumo para establecer el Plan Anual de Adquisiciones</t>
        </r>
      </text>
    </comment>
    <comment ref="F33" authorId="0" shapeId="0" xr:uid="{00000000-0006-0000-0100-000039000000}">
      <text>
        <r>
          <rPr>
            <sz val="11"/>
            <rFont val="Calibri"/>
            <family val="2"/>
            <scheme val="minor"/>
          </rPr>
          <t>YULIED.PENARANDA:
Este debe corresponder con la programación del  Plan Anual de Caja- PAC de la vigencia</t>
        </r>
      </text>
    </comment>
    <comment ref="F34" authorId="0" shapeId="0" xr:uid="{00000000-0006-0000-0100-00003A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B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100-00003D000000}">
      <text>
        <r>
          <rPr>
            <sz val="11"/>
            <rFont val="Calibri"/>
            <family val="2"/>
            <scheme val="minor"/>
          </rPr>
          <t>YULIED.PENARANDA:
Para las metas de tipología suma (vigencia *reservas). Para las demás tipos de metas se asocia el mismo dato de la vigencia.</t>
        </r>
      </text>
    </comment>
    <comment ref="F37" authorId="0" shapeId="0" xr:uid="{00000000-0006-0000-0100-00003E000000}">
      <text>
        <r>
          <rPr>
            <sz val="11"/>
            <rFont val="Calibri"/>
            <family val="2"/>
            <scheme val="minor"/>
          </rPr>
          <t>YULIED.PENARANDA:
Se suma los recursos presupuestales (vigencia + reservas)</t>
        </r>
      </text>
    </comment>
    <comment ref="F38" authorId="0" shapeId="0" xr:uid="{00000000-0006-0000-0100-00003F000000}">
      <text>
        <r>
          <rPr>
            <sz val="11"/>
            <rFont val="Calibri"/>
            <family val="2"/>
            <scheme val="minor"/>
          </rPr>
          <t>YULIED.PENARANDA:
Se suma los recursos presupuestales de la vigencia, por cada meta de inversión del proyecto</t>
        </r>
      </text>
    </comment>
    <comment ref="F39" authorId="0" shapeId="0" xr:uid="{00000000-0006-0000-0100-000040000000}">
      <text>
        <r>
          <rPr>
            <sz val="11"/>
            <rFont val="Calibri"/>
            <family val="2"/>
            <scheme val="minor"/>
          </rPr>
          <t>YULIED.PENARANDA:
Se suma los recursos presupuestales de la reserva, por cada meta de inversión del proyecto</t>
        </r>
      </text>
    </comment>
    <comment ref="F40" authorId="0" shapeId="0" xr:uid="{00000000-0006-0000-0100-000045000000}">
      <text>
        <r>
          <rPr>
            <sz val="11"/>
            <rFont val="Calibri"/>
            <family val="2"/>
            <scheme val="minor"/>
          </rPr>
          <t>YULIED.PENARANDA: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2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200-000002000000}">
      <text>
        <r>
          <rPr>
            <sz val="11"/>
            <rFont val="Calibri"/>
            <family val="2"/>
            <scheme val="minor"/>
          </rPr>
          <t xml:space="preserve">YULIED.PENARANDA:
Describir el número y nombre completo del proyecto de inversión. </t>
        </r>
      </text>
    </comment>
    <comment ref="A7" authorId="0" shapeId="0" xr:uid="{00000000-0006-0000-0200-000003000000}">
      <text>
        <r>
          <rPr>
            <sz val="11"/>
            <rFont val="Calibri"/>
            <family val="2"/>
            <scheme val="minor"/>
          </rPr>
          <t>YULIED.PENARANDA:
Se escribe el nombre completo de las líneas de acción, quien nos dan una visión general de los grandes temas del proyecto, forman parte integral del mismo.</t>
        </r>
      </text>
    </comment>
    <comment ref="B7" authorId="0" shapeId="0" xr:uid="{00000000-0006-0000-0200-000004000000}">
      <text>
        <r>
          <rPr>
            <sz val="11"/>
            <rFont val="Calibri"/>
            <family val="2"/>
            <scheme val="minor"/>
          </rPr>
          <t>YULIED.PENARANDA:
Se deben relacionar todas las metas proyecto de inversión formuladas para la ejecución del proyecto.</t>
        </r>
      </text>
    </comment>
    <comment ref="C7" authorId="0" shapeId="0" xr:uid="{00000000-0006-0000-0200-000005000000}">
      <text>
        <r>
          <rPr>
            <sz val="11"/>
            <rFont val="Calibri"/>
            <family val="2"/>
            <scheme val="minor"/>
          </rPr>
          <t>YULIED.PENARANDA:
Código y descripción de cada actividad en orden cronológico para el cumplimiento de la meta proyecto de inversión.    Máximo de caracteres 200 incluido espacios.</t>
        </r>
      </text>
    </comment>
    <comment ref="D7" authorId="0" shapeId="0" xr:uid="{00000000-0006-0000-0200-000006000000}">
      <text>
        <r>
          <rPr>
            <sz val="11"/>
            <rFont val="Calibri"/>
            <family val="2"/>
            <scheme val="minor"/>
          </rPr>
          <t>YULIED.PENARANDA:
Se selecciona con “X” si el presupuesto con el que se ejecuta la actividad es con recursos de vigencia y/o de la reserva.</t>
        </r>
      </text>
    </comment>
    <comment ref="F7" authorId="0" shapeId="0" xr:uid="{00000000-0006-0000-0200-000007000000}">
      <text>
        <r>
          <rPr>
            <sz val="11"/>
            <rFont val="Calibri"/>
            <family val="2"/>
            <scheme val="minor"/>
          </rPr>
          <t>YULIED.PENARANDA: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sz val="11"/>
            <rFont val="Calibri"/>
            <family val="2"/>
            <scheme val="minor"/>
          </rPr>
          <t>YULIED.PENARANDA:
Peso porcentual de la meta y actividad, al final del resultado nos da el 100%</t>
        </r>
      </text>
    </comment>
    <comment ref="V7" authorId="0" shapeId="0" xr:uid="{00000000-0006-0000-0200-000009000000}">
      <text>
        <r>
          <rPr>
            <sz val="11"/>
            <rFont val="Calibri"/>
            <family val="2"/>
            <scheme val="minor"/>
          </rPr>
          <t>YULIED.PENARANDA:
Relacionar el periodo de corte y año a reportar</t>
        </r>
      </text>
    </comment>
    <comment ref="D8" authorId="0" shapeId="0" xr:uid="{00000000-0006-0000-0200-00000A000000}">
      <text>
        <r>
          <rPr>
            <sz val="11"/>
            <rFont val="Calibri"/>
            <family val="2"/>
            <scheme val="minor"/>
          </rPr>
          <t xml:space="preserve">YULIED.PENARANDA:
Este campo se selecciona con “X” si el presupuesto con el que se ejecuta la actividad es con recursos de vigencia </t>
        </r>
      </text>
    </comment>
    <comment ref="E8" authorId="0" shapeId="0" xr:uid="{00000000-0006-0000-0200-00000B000000}">
      <text>
        <r>
          <rPr>
            <sz val="11"/>
            <rFont val="Calibri"/>
            <family val="2"/>
            <scheme val="minor"/>
          </rPr>
          <t>YULIED.PENARANDA:
Este campo se selecciona con “X” si el presupuesto con el que se ejecuta la actividad es con recursos  de la reserva.</t>
        </r>
      </text>
    </comment>
    <comment ref="F8" authorId="0" shapeId="0" xr:uid="{00000000-0006-0000-0200-00000C000000}">
      <text>
        <r>
          <rPr>
            <sz val="11"/>
            <rFont val="Calibri"/>
            <family val="2"/>
            <scheme val="minor"/>
          </rPr>
          <t>YULIED.PENARANDA:
Variables: programado y ejecutado</t>
        </r>
      </text>
    </comment>
    <comment ref="G8" authorId="0" shapeId="0" xr:uid="{00000000-0006-0000-0200-00000D000000}">
      <text>
        <r>
          <rPr>
            <sz val="11"/>
            <rFont val="Calibri"/>
            <family val="2"/>
            <scheme val="minor"/>
          </rPr>
          <t>YULIED.PENARANDA:
Máximo dos decimales</t>
        </r>
      </text>
    </comment>
    <comment ref="H8" authorId="0" shapeId="0" xr:uid="{00000000-0006-0000-0200-00000E000000}">
      <text>
        <r>
          <rPr>
            <sz val="11"/>
            <rFont val="Calibri"/>
            <family val="2"/>
            <scheme val="minor"/>
          </rPr>
          <t>YULIED.PENARANDA:
Máximo dos decimales</t>
        </r>
      </text>
    </comment>
    <comment ref="I8" authorId="0" shapeId="0" xr:uid="{00000000-0006-0000-0200-00000F000000}">
      <text>
        <r>
          <rPr>
            <sz val="11"/>
            <rFont val="Calibri"/>
            <family val="2"/>
            <scheme val="minor"/>
          </rPr>
          <t>YULIED.PENARANDA:
Máximo dos decimales</t>
        </r>
      </text>
    </comment>
    <comment ref="J8" authorId="0" shapeId="0" xr:uid="{00000000-0006-0000-0200-000010000000}">
      <text>
        <r>
          <rPr>
            <sz val="11"/>
            <rFont val="Calibri"/>
            <family val="2"/>
            <scheme val="minor"/>
          </rPr>
          <t>YULIED.PENARANDA:
Máximo dos decimales</t>
        </r>
      </text>
    </comment>
    <comment ref="K8" authorId="0" shapeId="0" xr:uid="{00000000-0006-0000-0200-000011000000}">
      <text>
        <r>
          <rPr>
            <sz val="11"/>
            <rFont val="Calibri"/>
            <family val="2"/>
            <scheme val="minor"/>
          </rPr>
          <t>YULIED.PENARANDA:
Máximo dos decimales</t>
        </r>
      </text>
    </comment>
    <comment ref="L8" authorId="0" shapeId="0" xr:uid="{00000000-0006-0000-0200-000012000000}">
      <text>
        <r>
          <rPr>
            <sz val="11"/>
            <rFont val="Calibri"/>
            <family val="2"/>
            <scheme val="minor"/>
          </rPr>
          <t>YULIED.PENARANDA:
Máximo dos decimales</t>
        </r>
      </text>
    </comment>
    <comment ref="M8" authorId="0" shapeId="0" xr:uid="{00000000-0006-0000-0200-000013000000}">
      <text>
        <r>
          <rPr>
            <sz val="11"/>
            <rFont val="Calibri"/>
            <family val="2"/>
            <scheme val="minor"/>
          </rPr>
          <t>YULIED.PENARANDA:
Máximo dos decimales</t>
        </r>
      </text>
    </comment>
    <comment ref="N8" authorId="0" shapeId="0" xr:uid="{00000000-0006-0000-0200-000014000000}">
      <text>
        <r>
          <rPr>
            <sz val="11"/>
            <rFont val="Calibri"/>
            <family val="2"/>
            <scheme val="minor"/>
          </rPr>
          <t>YULIED.PENARANDA:
Máximo dos decimales</t>
        </r>
      </text>
    </comment>
    <comment ref="O8" authorId="0" shapeId="0" xr:uid="{00000000-0006-0000-0200-000015000000}">
      <text>
        <r>
          <rPr>
            <sz val="11"/>
            <rFont val="Calibri"/>
            <family val="2"/>
            <scheme val="minor"/>
          </rPr>
          <t>YULIED.PENARANDA:
Máximo dos decimales</t>
        </r>
      </text>
    </comment>
    <comment ref="P8" authorId="0" shapeId="0" xr:uid="{00000000-0006-0000-0200-000016000000}">
      <text>
        <r>
          <rPr>
            <sz val="11"/>
            <rFont val="Calibri"/>
            <family val="2"/>
            <scheme val="minor"/>
          </rPr>
          <t>YULIED.PENARANDA:
Máximo dos decimales</t>
        </r>
      </text>
    </comment>
    <comment ref="Q8" authorId="0" shapeId="0" xr:uid="{00000000-0006-0000-0200-000017000000}">
      <text>
        <r>
          <rPr>
            <sz val="11"/>
            <rFont val="Calibri"/>
            <family val="2"/>
            <scheme val="minor"/>
          </rPr>
          <t>YULIED.PENARANDA:
Máximo dos decimales</t>
        </r>
      </text>
    </comment>
    <comment ref="R8" authorId="0" shapeId="0" xr:uid="{00000000-0006-0000-0200-000018000000}">
      <text>
        <r>
          <rPr>
            <sz val="11"/>
            <rFont val="Calibri"/>
            <family val="2"/>
            <scheme val="minor"/>
          </rPr>
          <t>YULIED.PENARANDA:
Máximo dos decimales</t>
        </r>
      </text>
    </comment>
    <comment ref="S8" authorId="0" shapeId="0" xr:uid="{00000000-0006-0000-0200-000019000000}">
      <text>
        <r>
          <rPr>
            <sz val="11"/>
            <rFont val="Calibri"/>
            <family val="2"/>
            <scheme val="minor"/>
          </rPr>
          <t xml:space="preserve">YULIED.PENARANDA:
La programación y la ejecución de la actividad en los 12 meses, no puede ser superior a 100%.  </t>
        </r>
      </text>
    </comment>
    <comment ref="T8" authorId="0" shapeId="0" xr:uid="{00000000-0006-0000-0200-00001A000000}">
      <text>
        <r>
          <rPr>
            <sz val="11"/>
            <rFont val="Calibri"/>
            <family val="2"/>
            <scheme val="minor"/>
          </rPr>
          <t>YULIED.PENARANDA:
Peso porcentual de cada meta, en función del proyecto de inversión</t>
        </r>
      </text>
    </comment>
    <comment ref="U8" authorId="0" shapeId="0" xr:uid="{00000000-0006-0000-0200-00001B000000}">
      <text>
        <r>
          <rPr>
            <sz val="11"/>
            <rFont val="Calibri"/>
            <family val="2"/>
            <scheme val="minor"/>
          </rPr>
          <t>YULIED.PENARANDA:
Peso porcentual de cada actividad, en función del proyecto de inversión</t>
        </r>
      </text>
    </comment>
    <comment ref="F9" authorId="0" shapeId="0" xr:uid="{00000000-0006-0000-0200-00001C000000}">
      <text>
        <r>
          <rPr>
            <sz val="11"/>
            <rFont val="Calibri"/>
            <family val="2"/>
            <scheme val="minor"/>
          </rPr>
          <t>YULIED.PENARANDA:
No relacionar los datos en formula, debido a que al final no nos da la suma exacta.</t>
        </r>
      </text>
    </comment>
    <comment ref="S9" authorId="0" shapeId="0" xr:uid="{00000000-0006-0000-0200-00001D000000}">
      <text>
        <r>
          <rPr>
            <sz val="11"/>
            <rFont val="Calibri"/>
            <family val="2"/>
            <scheme val="minor"/>
          </rPr>
          <t>YULIED.PENARANDA:
Verificar las sumas, que no sea inferior ni superior al 100%</t>
        </r>
      </text>
    </comment>
    <comment ref="F10" authorId="0" shapeId="0" xr:uid="{00000000-0006-0000-0200-00001E000000}">
      <text>
        <r>
          <rPr>
            <sz val="11"/>
            <rFont val="Calibri"/>
            <family val="2"/>
            <scheme val="minor"/>
          </rPr>
          <t>YULIED.PENARANDA:
No relacionar los datos en formula, debido a que al final no nos da la suma exacta.</t>
        </r>
      </text>
    </comment>
    <comment ref="S10" authorId="0" shapeId="0" xr:uid="{00000000-0006-0000-0200-00001F000000}">
      <text>
        <r>
          <rPr>
            <sz val="11"/>
            <rFont val="Calibri"/>
            <family val="2"/>
            <scheme val="minor"/>
          </rPr>
          <t>YULIED.PENARANDA:
Verificar las sumas, que no sea inferior ni superior al 100%</t>
        </r>
      </text>
    </comment>
    <comment ref="F11" authorId="0" shapeId="0" xr:uid="{00000000-0006-0000-0200-000020000000}">
      <text>
        <r>
          <rPr>
            <sz val="11"/>
            <rFont val="Calibri"/>
            <family val="2"/>
            <scheme val="minor"/>
          </rPr>
          <t>YULIED.PENARANDA:
No relacionar los datos en formula, debido a que al final no nos da la suma exacta.</t>
        </r>
      </text>
    </comment>
    <comment ref="S11" authorId="0" shapeId="0" xr:uid="{00000000-0006-0000-0200-000021000000}">
      <text>
        <r>
          <rPr>
            <sz val="11"/>
            <color rgb="FF000000"/>
            <rFont val="Calibri"/>
            <family val="2"/>
          </rPr>
          <t xml:space="preserve">YULIED.PENARANDA:
</t>
        </r>
        <r>
          <rPr>
            <sz val="11"/>
            <color rgb="FF000000"/>
            <rFont val="Calibri"/>
            <family val="2"/>
          </rPr>
          <t>Verificar las sumas, que no sea inferior ni superior al 100%</t>
        </r>
      </text>
    </comment>
    <comment ref="F12" authorId="0" shapeId="0" xr:uid="{00000000-0006-0000-0200-000022000000}">
      <text>
        <r>
          <rPr>
            <sz val="11"/>
            <rFont val="Calibri"/>
            <family val="2"/>
            <scheme val="minor"/>
          </rPr>
          <t>YULIED.PENARANDA:
No relacionar los datos en formula, debido a que al final no nos da la suma exacta.</t>
        </r>
      </text>
    </comment>
    <comment ref="S12" authorId="0" shapeId="0" xr:uid="{00000000-0006-0000-0200-000023000000}">
      <text>
        <r>
          <rPr>
            <sz val="11"/>
            <rFont val="Calibri"/>
            <family val="2"/>
            <scheme val="minor"/>
          </rPr>
          <t>YULIED.PENARANDA:
Verificar las sumas, que no sea inferior ni superior al 100%</t>
        </r>
      </text>
    </comment>
    <comment ref="F13" authorId="0" shapeId="0" xr:uid="{00000000-0006-0000-0200-000024000000}">
      <text>
        <r>
          <rPr>
            <sz val="11"/>
            <rFont val="Calibri"/>
            <family val="2"/>
            <scheme val="minor"/>
          </rPr>
          <t>YULIED.PENARANDA:
No relacionar los datos en formula, debido a que al final no nos da la suma exacta.</t>
        </r>
      </text>
    </comment>
    <comment ref="S13" authorId="0" shapeId="0" xr:uid="{00000000-0006-0000-0200-000025000000}">
      <text>
        <r>
          <rPr>
            <sz val="11"/>
            <rFont val="Calibri"/>
            <family val="2"/>
            <scheme val="minor"/>
          </rPr>
          <t>YULIED.PENARANDA:
Verificar las sumas, que no sea inferior ni superior al 100%</t>
        </r>
      </text>
    </comment>
    <comment ref="F14" authorId="0" shapeId="0" xr:uid="{00000000-0006-0000-0200-000026000000}">
      <text>
        <r>
          <rPr>
            <sz val="11"/>
            <rFont val="Calibri"/>
            <family val="2"/>
            <scheme val="minor"/>
          </rPr>
          <t>YULIED.PENARANDA:
No relacionar los datos en formula, debido a que al final no nos da la suma exacta.</t>
        </r>
      </text>
    </comment>
    <comment ref="S14" authorId="0" shapeId="0" xr:uid="{00000000-0006-0000-0200-000027000000}">
      <text>
        <r>
          <rPr>
            <sz val="11"/>
            <rFont val="Calibri"/>
            <family val="2"/>
            <scheme val="minor"/>
          </rPr>
          <t>YULIED.PENARANDA:
Verificar las sumas, que no sea inferior ni superior al 100%</t>
        </r>
      </text>
    </comment>
    <comment ref="F15" authorId="0" shapeId="0" xr:uid="{00000000-0006-0000-0200-000028000000}">
      <text>
        <r>
          <rPr>
            <sz val="11"/>
            <rFont val="Calibri"/>
            <family val="2"/>
            <scheme val="minor"/>
          </rPr>
          <t>YULIED.PENARANDA:
No relacionar los datos en formula, debido a que al final no nos da la suma exacta.</t>
        </r>
      </text>
    </comment>
    <comment ref="S15" authorId="0" shapeId="0" xr:uid="{00000000-0006-0000-0200-000029000000}">
      <text>
        <r>
          <rPr>
            <sz val="11"/>
            <rFont val="Calibri"/>
            <family val="2"/>
            <scheme val="minor"/>
          </rPr>
          <t>YULIED.PENARANDA:
Verificar las sumas, que no sea inferior ni superior al 100%</t>
        </r>
      </text>
    </comment>
    <comment ref="F16" authorId="0" shapeId="0" xr:uid="{00000000-0006-0000-0200-00002A000000}">
      <text>
        <r>
          <rPr>
            <sz val="11"/>
            <rFont val="Calibri"/>
            <family val="2"/>
            <scheme val="minor"/>
          </rPr>
          <t>YULIED.PENARANDA:
No relacionar los datos en formula, debido a que al final no nos da la suma exacta.</t>
        </r>
      </text>
    </comment>
    <comment ref="S16" authorId="0" shapeId="0" xr:uid="{00000000-0006-0000-0200-00002B000000}">
      <text>
        <r>
          <rPr>
            <sz val="11"/>
            <rFont val="Calibri"/>
            <family val="2"/>
            <scheme val="minor"/>
          </rPr>
          <t>YULIED.PENARANDA:
Verificar las sumas, que no sea inferior ni superior al 100%</t>
        </r>
      </text>
    </comment>
    <comment ref="F17" authorId="0" shapeId="0" xr:uid="{00000000-0006-0000-0200-00002C000000}">
      <text>
        <r>
          <rPr>
            <sz val="11"/>
            <rFont val="Calibri"/>
            <family val="2"/>
            <scheme val="minor"/>
          </rPr>
          <t>YULIED.PENARANDA:
No relacionar los datos en formula, debido a que al final no nos da la suma exacta.</t>
        </r>
      </text>
    </comment>
    <comment ref="S17" authorId="0" shapeId="0" xr:uid="{00000000-0006-0000-0200-00002D000000}">
      <text>
        <r>
          <rPr>
            <sz val="11"/>
            <rFont val="Calibri"/>
            <family val="2"/>
            <scheme val="minor"/>
          </rPr>
          <t>YULIED.PENARANDA:
Verificar las sumas, que no sea inferior ni superior al 100%</t>
        </r>
      </text>
    </comment>
    <comment ref="F18" authorId="0" shapeId="0" xr:uid="{00000000-0006-0000-0200-00002E000000}">
      <text>
        <r>
          <rPr>
            <sz val="11"/>
            <rFont val="Calibri"/>
            <family val="2"/>
            <scheme val="minor"/>
          </rPr>
          <t>YULIED.PENARANDA:
No relacionar los datos en formula, debido a que al final no nos da la suma exacta.</t>
        </r>
      </text>
    </comment>
    <comment ref="S18" authorId="0" shapeId="0" xr:uid="{00000000-0006-0000-0200-00002F000000}">
      <text>
        <r>
          <rPr>
            <sz val="11"/>
            <rFont val="Calibri"/>
            <family val="2"/>
            <scheme val="minor"/>
          </rPr>
          <t>YULIED.PENARANDA:
Verificar las sumas, que no sea inferior ni superior al 100%</t>
        </r>
      </text>
    </comment>
    <comment ref="F19" authorId="0" shapeId="0" xr:uid="{00000000-0006-0000-0200-000030000000}">
      <text>
        <r>
          <rPr>
            <sz val="11"/>
            <rFont val="Calibri"/>
            <family val="2"/>
            <scheme val="minor"/>
          </rPr>
          <t>YULIED.PENARANDA:
No relacionar los datos en formula, debido a que al final no nos da la suma exacta.</t>
        </r>
      </text>
    </comment>
    <comment ref="S19" authorId="0" shapeId="0" xr:uid="{00000000-0006-0000-0200-000031000000}">
      <text>
        <r>
          <rPr>
            <sz val="11"/>
            <rFont val="Calibri"/>
            <family val="2"/>
            <scheme val="minor"/>
          </rPr>
          <t>YULIED.PENARANDA:
Verificar las sumas, que no sea inferior ni superior al 100%</t>
        </r>
      </text>
    </comment>
    <comment ref="F20" authorId="0" shapeId="0" xr:uid="{00000000-0006-0000-0200-000032000000}">
      <text>
        <r>
          <rPr>
            <sz val="11"/>
            <rFont val="Calibri"/>
            <family val="2"/>
            <scheme val="minor"/>
          </rPr>
          <t>YULIED.PENARANDA:
No relacionar los datos en formula, debido a que al final no nos da la suma exacta.</t>
        </r>
      </text>
    </comment>
    <comment ref="S20" authorId="0" shapeId="0" xr:uid="{00000000-0006-0000-0200-000033000000}">
      <text>
        <r>
          <rPr>
            <sz val="11"/>
            <rFont val="Calibri"/>
            <family val="2"/>
            <scheme val="minor"/>
          </rPr>
          <t>YULIED.PENARANDA:
Verificar las sumas, que no sea inferior ni superior al 100%</t>
        </r>
      </text>
    </comment>
    <comment ref="F21" authorId="0" shapeId="0" xr:uid="{00000000-0006-0000-0200-000034000000}">
      <text>
        <r>
          <rPr>
            <sz val="11"/>
            <rFont val="Calibri"/>
            <family val="2"/>
            <scheme val="minor"/>
          </rPr>
          <t>YULIED.PENARANDA:
No relacionar los datos en formula, debido a que al final no nos da la suma exacta.</t>
        </r>
      </text>
    </comment>
    <comment ref="S21" authorId="0" shapeId="0" xr:uid="{00000000-0006-0000-0200-000035000000}">
      <text>
        <r>
          <rPr>
            <sz val="11"/>
            <rFont val="Calibri"/>
            <family val="2"/>
            <scheme val="minor"/>
          </rPr>
          <t>YULIED.PENARANDA:
Verificar las sumas, que no sea inferior ni superior al 100%</t>
        </r>
      </text>
    </comment>
    <comment ref="F22" authorId="0" shapeId="0" xr:uid="{00000000-0006-0000-0200-000036000000}">
      <text>
        <r>
          <rPr>
            <sz val="11"/>
            <rFont val="Calibri"/>
            <family val="2"/>
            <scheme val="minor"/>
          </rPr>
          <t>YULIED.PENARANDA:
No relacionar los datos en formula, debido a que al final no nos da la suma exacta.</t>
        </r>
      </text>
    </comment>
    <comment ref="S22" authorId="0" shapeId="0" xr:uid="{00000000-0006-0000-0200-000037000000}">
      <text>
        <r>
          <rPr>
            <sz val="11"/>
            <rFont val="Calibri"/>
            <family val="2"/>
            <scheme val="minor"/>
          </rPr>
          <t>YULIED.PENARANDA:
Verificar las sumas, que no sea inferior ni superior al 100%</t>
        </r>
      </text>
    </comment>
    <comment ref="F23" authorId="0" shapeId="0" xr:uid="{00000000-0006-0000-0200-000038000000}">
      <text>
        <r>
          <rPr>
            <sz val="11"/>
            <rFont val="Calibri"/>
            <family val="2"/>
            <scheme val="minor"/>
          </rPr>
          <t>YULIED.PENARANDA:
No relacionar los datos en formula, debido a que al final no nos da la suma exacta.</t>
        </r>
      </text>
    </comment>
    <comment ref="S23" authorId="0" shapeId="0" xr:uid="{00000000-0006-0000-0200-000039000000}">
      <text>
        <r>
          <rPr>
            <sz val="11"/>
            <rFont val="Calibri"/>
            <family val="2"/>
            <scheme val="minor"/>
          </rPr>
          <t>YULIED.PENARANDA:
Verificar las sumas, que no sea inferior ni superior al 100%</t>
        </r>
      </text>
    </comment>
    <comment ref="F24" authorId="0" shapeId="0" xr:uid="{00000000-0006-0000-0200-00003A000000}">
      <text>
        <r>
          <rPr>
            <sz val="11"/>
            <rFont val="Calibri"/>
            <family val="2"/>
            <scheme val="minor"/>
          </rPr>
          <t>YULIED.PENARANDA:
No relacionar los datos en formula, debido a que al final no nos da la suma exacta.</t>
        </r>
      </text>
    </comment>
    <comment ref="S24" authorId="0" shapeId="0" xr:uid="{00000000-0006-0000-0200-00003B000000}">
      <text>
        <r>
          <rPr>
            <sz val="11"/>
            <rFont val="Calibri"/>
            <family val="2"/>
            <scheme val="minor"/>
          </rPr>
          <t>YULIED.PENARANDA:
Verificar las sumas, que no sea inferior ni superior al 100%</t>
        </r>
      </text>
    </comment>
    <comment ref="F25" authorId="0" shapeId="0" xr:uid="{00000000-0006-0000-0200-00003C000000}">
      <text>
        <r>
          <rPr>
            <sz val="11"/>
            <rFont val="Calibri"/>
            <family val="2"/>
            <scheme val="minor"/>
          </rPr>
          <t>YULIED.PENARANDA:
No relacionar los datos en formula, debido a que al final no nos da la suma exacta.</t>
        </r>
      </text>
    </comment>
    <comment ref="S25" authorId="0" shapeId="0" xr:uid="{00000000-0006-0000-0200-00003D000000}">
      <text>
        <r>
          <rPr>
            <sz val="11"/>
            <rFont val="Calibri"/>
            <family val="2"/>
            <scheme val="minor"/>
          </rPr>
          <t>YULIED.PENARANDA:
Verificar las sumas, que no sea inferior ni superior al 100%</t>
        </r>
      </text>
    </comment>
    <comment ref="F26" authorId="0" shapeId="0" xr:uid="{00000000-0006-0000-0200-00003E000000}">
      <text>
        <r>
          <rPr>
            <sz val="11"/>
            <rFont val="Calibri"/>
            <family val="2"/>
            <scheme val="minor"/>
          </rPr>
          <t>YULIED.PENARANDA:
No relacionar los datos en formula, debido a que al final no nos da la suma exacta.</t>
        </r>
      </text>
    </comment>
    <comment ref="S26" authorId="0" shapeId="0" xr:uid="{00000000-0006-0000-0200-00003F000000}">
      <text>
        <r>
          <rPr>
            <sz val="11"/>
            <rFont val="Calibri"/>
            <family val="2"/>
            <scheme val="minor"/>
          </rPr>
          <t>YULIED.PENARANDA:
Verificar las sumas, que no sea inferior ni superior al 100%</t>
        </r>
      </text>
    </comment>
    <comment ref="F27" authorId="0" shapeId="0" xr:uid="{00000000-0006-0000-0200-000040000000}">
      <text>
        <r>
          <rPr>
            <sz val="11"/>
            <rFont val="Calibri"/>
            <family val="2"/>
            <scheme val="minor"/>
          </rPr>
          <t>YULIED.PENARANDA:
No relacionar los datos en formula, debido a que al final no nos da la suma exacta.</t>
        </r>
      </text>
    </comment>
    <comment ref="S27" authorId="0" shapeId="0" xr:uid="{00000000-0006-0000-0200-000041000000}">
      <text>
        <r>
          <rPr>
            <sz val="11"/>
            <rFont val="Calibri"/>
            <family val="2"/>
            <scheme val="minor"/>
          </rPr>
          <t>YULIED.PENARANDA:
Verificar las sumas, que no sea inferior ni superior al 100%</t>
        </r>
      </text>
    </comment>
    <comment ref="F28" authorId="0" shapeId="0" xr:uid="{00000000-0006-0000-0200-000042000000}">
      <text>
        <r>
          <rPr>
            <sz val="11"/>
            <rFont val="Calibri"/>
            <family val="2"/>
            <scheme val="minor"/>
          </rPr>
          <t>YULIED.PENARANDA:
No relacionar los datos en formula, debido a que al final no nos da la suma exacta.</t>
        </r>
      </text>
    </comment>
    <comment ref="S28" authorId="0" shapeId="0" xr:uid="{00000000-0006-0000-0200-000043000000}">
      <text>
        <r>
          <rPr>
            <sz val="11"/>
            <rFont val="Calibri"/>
            <family val="2"/>
            <scheme val="minor"/>
          </rPr>
          <t>YULIED.PENARANDA:
Verificar las sumas, que no sea inferior ni superior al 100%</t>
        </r>
      </text>
    </comment>
    <comment ref="F29" authorId="0" shapeId="0" xr:uid="{00000000-0006-0000-0200-000044000000}">
      <text>
        <r>
          <rPr>
            <sz val="11"/>
            <rFont val="Calibri"/>
            <family val="2"/>
            <scheme val="minor"/>
          </rPr>
          <t>YULIED.PENARANDA:
No relacionar los datos en formula, debido a que al final no nos da la suma exacta.</t>
        </r>
      </text>
    </comment>
    <comment ref="S29" authorId="0" shapeId="0" xr:uid="{00000000-0006-0000-0200-000045000000}">
      <text>
        <r>
          <rPr>
            <sz val="11"/>
            <color rgb="FF000000"/>
            <rFont val="Calibri"/>
            <family val="2"/>
          </rPr>
          <t xml:space="preserve">YULIED.PENARANDA:
</t>
        </r>
        <r>
          <rPr>
            <sz val="11"/>
            <color rgb="FF000000"/>
            <rFont val="Calibri"/>
            <family val="2"/>
          </rPr>
          <t>Verificar las sumas, que no sea inferior ni superior al 100%</t>
        </r>
      </text>
    </comment>
    <comment ref="F30" authorId="0" shapeId="0" xr:uid="{00000000-0006-0000-0200-000046000000}">
      <text>
        <r>
          <rPr>
            <sz val="11"/>
            <rFont val="Calibri"/>
            <family val="2"/>
            <scheme val="minor"/>
          </rPr>
          <t>YULIED.PENARANDA:
No relacionar los datos en formula, debido a que al final no nos da la suma exacta.</t>
        </r>
      </text>
    </comment>
    <comment ref="S30" authorId="0" shapeId="0" xr:uid="{00000000-0006-0000-0200-000047000000}">
      <text>
        <r>
          <rPr>
            <sz val="11"/>
            <rFont val="Calibri"/>
            <family val="2"/>
            <scheme val="minor"/>
          </rPr>
          <t>YULIED.PENARANDA:
Verificar las sumas, que no sea inferior ni superior al 100%</t>
        </r>
      </text>
    </comment>
    <comment ref="F31" authorId="0" shapeId="0" xr:uid="{00000000-0006-0000-0200-000048000000}">
      <text>
        <r>
          <rPr>
            <sz val="11"/>
            <rFont val="Calibri"/>
            <family val="2"/>
            <scheme val="minor"/>
          </rPr>
          <t>YULIED.PENARANDA:
No relacionar los datos en formula, debido a que al final no nos da la suma exacta.</t>
        </r>
      </text>
    </comment>
    <comment ref="S31" authorId="0" shapeId="0" xr:uid="{00000000-0006-0000-0200-00004A000000}">
      <text>
        <r>
          <rPr>
            <sz val="11"/>
            <rFont val="Calibri"/>
            <family val="2"/>
            <scheme val="minor"/>
          </rPr>
          <t>YULIED.PENARANDA:
Verificar las sumas, que no sea inferior ni superior al 100%</t>
        </r>
      </text>
    </comment>
    <comment ref="F32" authorId="0" shapeId="0" xr:uid="{00000000-0006-0000-0200-00004B000000}">
      <text>
        <r>
          <rPr>
            <sz val="11"/>
            <rFont val="Calibri"/>
            <family val="2"/>
            <scheme val="minor"/>
          </rPr>
          <t>YULIED.PENARANDA:
No relacionar los datos en formula, debido a que al final no nos da la suma exacta.</t>
        </r>
      </text>
    </comment>
    <comment ref="S32" authorId="0" shapeId="0" xr:uid="{00000000-0006-0000-0200-00004C000000}">
      <text>
        <r>
          <rPr>
            <sz val="11"/>
            <rFont val="Calibri"/>
            <family val="2"/>
            <scheme val="minor"/>
          </rPr>
          <t>YULIED.PENARANDA:
Verificar las sumas, que no sea inferior ni superior al 100%</t>
        </r>
      </text>
    </comment>
    <comment ref="F33" authorId="0" shapeId="0" xr:uid="{00000000-0006-0000-0200-00004D000000}">
      <text>
        <r>
          <rPr>
            <sz val="11"/>
            <rFont val="Calibri"/>
            <family val="2"/>
            <scheme val="minor"/>
          </rPr>
          <t>YULIED.PENARANDA:
No relacionar los datos en formula, debido a que al final no nos da la suma exacta.</t>
        </r>
      </text>
    </comment>
    <comment ref="S33" authorId="0" shapeId="0" xr:uid="{00000000-0006-0000-0200-00004E000000}">
      <text>
        <r>
          <rPr>
            <sz val="11"/>
            <rFont val="Calibri"/>
            <family val="2"/>
            <scheme val="minor"/>
          </rPr>
          <t>YULIED.PENARANDA:
Verificar las sumas, que no sea inferior ni superior al 100%</t>
        </r>
      </text>
    </comment>
    <comment ref="F34" authorId="0" shapeId="0" xr:uid="{00000000-0006-0000-0200-00004F000000}">
      <text>
        <r>
          <rPr>
            <sz val="11"/>
            <rFont val="Calibri"/>
            <family val="2"/>
            <scheme val="minor"/>
          </rPr>
          <t>YULIED.PENARANDA:
No relacionar los datos en formula, debido a que al final no nos da la suma exacta.</t>
        </r>
      </text>
    </comment>
    <comment ref="S34" authorId="0" shapeId="0" xr:uid="{00000000-0006-0000-0200-000050000000}">
      <text>
        <r>
          <rPr>
            <sz val="11"/>
            <rFont val="Calibri"/>
            <family val="2"/>
            <scheme val="minor"/>
          </rPr>
          <t>YULIED.PENARANDA:
Verificar las sumas, que no sea inferior ni superior al 100%</t>
        </r>
      </text>
    </comment>
    <comment ref="F35" authorId="0" shapeId="0" xr:uid="{00000000-0006-0000-0200-000051000000}">
      <text>
        <r>
          <rPr>
            <sz val="11"/>
            <rFont val="Calibri"/>
            <family val="2"/>
            <scheme val="minor"/>
          </rPr>
          <t>YULIED.PENARANDA:
No relacionar los datos en formula, debido a que al final no nos da la suma exacta.</t>
        </r>
      </text>
    </comment>
    <comment ref="S35" authorId="0" shapeId="0" xr:uid="{00000000-0006-0000-0200-000052000000}">
      <text>
        <r>
          <rPr>
            <sz val="11"/>
            <rFont val="Calibri"/>
            <family val="2"/>
            <scheme val="minor"/>
          </rPr>
          <t>YULIED.PENARANDA:
Verificar las sumas, que no sea inferior ni superior al 100%</t>
        </r>
      </text>
    </comment>
    <comment ref="F36" authorId="0" shapeId="0" xr:uid="{00000000-0006-0000-0200-000053000000}">
      <text>
        <r>
          <rPr>
            <sz val="11"/>
            <rFont val="Calibri"/>
            <family val="2"/>
            <scheme val="minor"/>
          </rPr>
          <t>YULIED.PENARANDA:
No relacionar los datos en formula, debido a que al final no nos da la suma exacta.</t>
        </r>
      </text>
    </comment>
    <comment ref="S36" authorId="0" shapeId="0" xr:uid="{00000000-0006-0000-0200-000054000000}">
      <text>
        <r>
          <rPr>
            <sz val="11"/>
            <rFont val="Calibri"/>
            <family val="2"/>
            <scheme val="minor"/>
          </rPr>
          <t>YULIED.PENARANDA:
Verificar las sumas, que no sea inferior ni superior al 100%</t>
        </r>
      </text>
    </comment>
    <comment ref="F37" authorId="0" shapeId="0" xr:uid="{00000000-0006-0000-0200-000055000000}">
      <text>
        <r>
          <rPr>
            <sz val="11"/>
            <rFont val="Calibri"/>
            <family val="2"/>
            <scheme val="minor"/>
          </rPr>
          <t>YULIED.PENARANDA:
No relacionar los datos en formula, debido a que al final no nos da la suma exacta.</t>
        </r>
      </text>
    </comment>
    <comment ref="S37" authorId="0" shapeId="0" xr:uid="{00000000-0006-0000-0200-000056000000}">
      <text>
        <r>
          <rPr>
            <sz val="11"/>
            <rFont val="Calibri"/>
            <family val="2"/>
            <scheme val="minor"/>
          </rPr>
          <t>YULIED.PENARANDA:
Verificar las sumas, que no sea inferior ni superior al 100%</t>
        </r>
      </text>
    </comment>
    <comment ref="F38" authorId="0" shapeId="0" xr:uid="{00000000-0006-0000-0200-000057000000}">
      <text>
        <r>
          <rPr>
            <sz val="11"/>
            <rFont val="Calibri"/>
            <family val="2"/>
            <scheme val="minor"/>
          </rPr>
          <t>YULIED.PENARANDA:
No relacionar los datos en formula, debido a que al final no nos da la suma exacta.</t>
        </r>
      </text>
    </comment>
    <comment ref="S38" authorId="0" shapeId="0" xr:uid="{00000000-0006-0000-0200-000058000000}">
      <text>
        <r>
          <rPr>
            <sz val="11"/>
            <rFont val="Calibri"/>
            <family val="2"/>
            <scheme val="minor"/>
          </rPr>
          <t>YULIED.PENARANDA:
Verificar las sumas, que no sea inferior ni superior al 100%</t>
        </r>
      </text>
    </comment>
    <comment ref="F39" authorId="0" shapeId="0" xr:uid="{00000000-0006-0000-0200-000059000000}">
      <text>
        <r>
          <rPr>
            <sz val="11"/>
            <rFont val="Calibri"/>
            <family val="2"/>
            <scheme val="minor"/>
          </rPr>
          <t>YULIED.PENARANDA:
No relacionar los datos en formula, debido a que al final no nos da la suma exacta.</t>
        </r>
      </text>
    </comment>
    <comment ref="S39" authorId="0" shapeId="0" xr:uid="{00000000-0006-0000-0200-00005A000000}">
      <text>
        <r>
          <rPr>
            <sz val="11"/>
            <rFont val="Calibri"/>
            <family val="2"/>
            <scheme val="minor"/>
          </rPr>
          <t>YULIED.PENARANDA:
Verificar las sumas, que no sea inferior ni superior al 100%</t>
        </r>
      </text>
    </comment>
    <comment ref="F40" authorId="0" shapeId="0" xr:uid="{00000000-0006-0000-0200-00005B000000}">
      <text>
        <r>
          <rPr>
            <sz val="11"/>
            <rFont val="Calibri"/>
            <family val="2"/>
            <scheme val="minor"/>
          </rPr>
          <t>YULIED.PENARANDA:
No relacionar los datos en formula, debido a que al final no nos da la suma exacta.</t>
        </r>
      </text>
    </comment>
    <comment ref="S40" authorId="0" shapeId="0" xr:uid="{00000000-0006-0000-0200-00005C000000}">
      <text>
        <r>
          <rPr>
            <sz val="11"/>
            <rFont val="Calibri"/>
            <family val="2"/>
            <scheme val="minor"/>
          </rPr>
          <t>YULIED.PENARANDA:
Verificar las sumas, que no sea inferior ni superior al 100%</t>
        </r>
      </text>
    </comment>
    <comment ref="T41" authorId="0" shapeId="0" xr:uid="{00000000-0006-0000-0200-00005D000000}">
      <text>
        <r>
          <rPr>
            <sz val="11"/>
            <rFont val="Calibri"/>
            <family val="2"/>
            <scheme val="minor"/>
          </rPr>
          <t>YULIED.PENARANDA: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8D3A0611-8A41-49AF-953A-E33126CCDF9E}">
      <text>
        <r>
          <rPr>
            <sz val="11"/>
            <rFont val="Calibri"/>
            <family val="2"/>
            <scheme val="minor"/>
          </rPr>
          <t>YULIED.PENARANDA:
Describir el nombre completo de la oficina, dirección o subdirección que gerencia el proyecto de inversión.</t>
        </r>
      </text>
    </comment>
    <comment ref="A5" authorId="0" shapeId="0" xr:uid="{1E23340B-4BF2-4B83-B517-D93AE891FA03}">
      <text>
        <r>
          <rPr>
            <sz val="11"/>
            <rFont val="Calibri"/>
            <family val="2"/>
            <scheme val="minor"/>
          </rPr>
          <t xml:space="preserve">YULIED.PENARANDA:
Describir el número y nombre completo del proyecto de inversión. </t>
        </r>
      </text>
    </comment>
    <comment ref="A6" authorId="0" shapeId="0" xr:uid="{D0E11934-261D-4D64-AFD0-C2B7437EDC7F}">
      <text>
        <r>
          <rPr>
            <sz val="11"/>
            <rFont val="Calibri"/>
            <family val="2"/>
            <scheme val="minor"/>
          </rPr>
          <t>YULIED.PENARANDA:
Relacionar el período del reporte</t>
        </r>
      </text>
    </comment>
    <comment ref="A8" authorId="0" shapeId="0" xr:uid="{520C4074-3233-4CED-9961-E0F74B51CD36}">
      <text>
        <r>
          <rPr>
            <sz val="11"/>
            <rFont val="Calibri"/>
            <family val="2"/>
            <scheme val="minor"/>
          </rPr>
          <t>SPCI:
Número de la meta proyecto de inversión, según la asignación dada en  SEGPLAN</t>
        </r>
      </text>
    </comment>
    <comment ref="A9" authorId="0" shapeId="0" xr:uid="{12DAF7BF-2BDE-4668-B519-0DE247D6AE07}">
      <text>
        <r>
          <rPr>
            <sz val="11"/>
            <rFont val="Calibri"/>
            <family val="2"/>
            <scheme val="minor"/>
          </rPr>
          <t>SPCI:
Número de la meta proyecto de inversión, según la asignación dada en  SEGPLAN</t>
        </r>
      </text>
    </comment>
    <comment ref="B9" authorId="0" shapeId="0" xr:uid="{6E8DB661-D98B-4E3A-ACC8-EA8C295D340A}">
      <text>
        <r>
          <rPr>
            <sz val="11"/>
            <rFont val="Calibri"/>
            <family val="2"/>
            <scheme val="minor"/>
          </rPr>
          <t>SPCI:
mbre completo de la meta proyecto de inversión, igual como quedo en inversión</t>
        </r>
      </text>
    </comment>
    <comment ref="C9" authorId="0" shapeId="0" xr:uid="{F6AD4486-12DF-40F4-B1C7-4D62D8F291D4}">
      <text>
        <r>
          <rPr>
            <sz val="11"/>
            <rFont val="Calibri"/>
            <family val="2"/>
            <scheme val="minor"/>
          </rPr>
          <t>SPCI: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A53E8916-7844-4241-A3AB-3DC380AB1B76}">
      <text>
        <r>
          <rPr>
            <sz val="11"/>
            <rFont val="Calibri"/>
            <family val="2"/>
            <scheme val="minor"/>
          </rPr>
          <t>SPCI: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AFB1EB2A-C13A-47D6-96F5-78268ACE7D6A}">
      <text>
        <r>
          <rPr>
            <sz val="11"/>
            <rFont val="Calibri"/>
            <family val="2"/>
            <scheme val="minor"/>
          </rPr>
          <t>SPCI:
magnitud física y presupuestal  programada para al inicio del plan de desarrollo.</t>
        </r>
      </text>
    </comment>
    <comment ref="S9" authorId="0" shapeId="0" xr:uid="{49195AA8-A3E1-4197-9887-12C57CDE1AD5}">
      <text>
        <r>
          <rPr>
            <sz val="11"/>
            <rFont val="Calibri"/>
            <family val="2"/>
            <scheme val="minor"/>
          </rPr>
          <t>Paola Andrea Rodríguez Barrero: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0" shapeId="0" xr:uid="{1ED20DF8-67D2-467B-B61E-96614B0EF53B}">
      <text>
        <r>
          <rPr>
            <sz val="11"/>
            <rFont val="Calibri"/>
            <family val="2"/>
            <scheme val="minor"/>
          </rPr>
          <t xml:space="preserve">Paola Andrea Rodríguez Barrero:
En este campo se deberán registrar las observaciones y/o acciones desarrolladas en el punto de inversión en el trimestre reportado. </t>
        </r>
      </text>
    </comment>
    <comment ref="AJ9" authorId="0" shapeId="0" xr:uid="{F0EBE955-AB52-4081-BD68-3CB18F1B8782}">
      <text>
        <r>
          <rPr>
            <sz val="11"/>
            <rFont val="Calibri"/>
            <family val="2"/>
            <scheme val="minor"/>
          </rPr>
          <t>Paola Andrea Rodríguez Barreo:
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0" shapeId="0" xr:uid="{995CDA86-A0A7-4777-BC33-89B9DE760331}">
      <text>
        <r>
          <rPr>
            <sz val="11"/>
            <rFont val="Calibri"/>
            <family val="2"/>
            <scheme val="minor"/>
          </rPr>
          <t xml:space="preserve">Paola Andrea Rodríguez Barrero:
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0" shapeId="0" xr:uid="{B624A0FE-6385-4BA4-8D1C-489E40FB449A}">
      <text>
        <r>
          <rPr>
            <sz val="11"/>
            <rFont val="Calibri"/>
            <family val="2"/>
            <scheme val="minor"/>
          </rPr>
          <t xml:space="preserve">Paola Andrea Rodríguez Barrero:
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0" shapeId="0" xr:uid="{DC9AEE27-09D5-41D5-8092-E38F0732F817}">
      <text>
        <r>
          <rPr>
            <sz val="11"/>
            <rFont val="Calibri"/>
            <family val="2"/>
            <scheme val="minor"/>
          </rPr>
          <t xml:space="preserve">Paola Andrea Rodríguez Barrero:
En este campo se registra si la acción en el punto de inversión apunta a una política pública. Ej: Política pública poblacional, diversidad, humedales, entre otras. </t>
        </r>
      </text>
    </comment>
    <comment ref="AN9" authorId="0" shapeId="0" xr:uid="{02B7BC5E-E4C9-4452-AC7E-BC4A07EA99FC}">
      <text>
        <r>
          <rPr>
            <sz val="11"/>
            <rFont val="Calibri"/>
            <family val="2"/>
            <scheme val="minor"/>
          </rPr>
          <t xml:space="preserve">SPCI:
Número de personas identificadas en la localización asociada al punto de inversión.
</t>
        </r>
      </text>
    </comment>
    <comment ref="AR9" authorId="0" shapeId="0" xr:uid="{E27C7591-A6F9-48F1-BC48-ADE1B109BA24}">
      <text>
        <r>
          <rPr>
            <sz val="11"/>
            <rFont val="Calibri"/>
            <family val="2"/>
            <scheme val="minor"/>
          </rPr>
          <t>YULIED.PENARANDA:
a. 0-5 (primera infancia)
b.6-12 (Infancia)
c. 13-17 (Adolescencia)
d. 18-26 (Juventud)
e. 27-59 (adultez)
f. 60+Adelante (Envejecimiento y vejez)
z. Grupo etario sin definir</t>
        </r>
      </text>
    </comment>
    <comment ref="AT9" authorId="0" shapeId="0" xr:uid="{EB84D11D-B608-4010-AF20-D3D9B33D4A83}">
      <text>
        <r>
          <rPr>
            <sz val="11"/>
            <rFont val="Calibri"/>
            <family val="2"/>
            <scheme val="minor"/>
          </rPr>
          <t>SPCI: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49F0488B-B9D6-440F-AA8C-68FA4EC6A8B5}">
      <text>
        <r>
          <rPr>
            <sz val="11"/>
            <rFont val="Calibri"/>
            <family val="2"/>
            <scheme val="minor"/>
          </rPr>
          <t xml:space="preserve">YULIED.PENARANDA:
Afrocolombianos, palenqueros y negritudes
Indígenas
No identifica grupo étnicos
Otros grupos étnicos
ROM
Raizales
</t>
        </r>
      </text>
    </comment>
    <comment ref="AX9" authorId="0" shapeId="0" xr:uid="{9EF4817C-104D-41A1-BD7B-2D3492530178}">
      <text>
        <r>
          <rPr>
            <sz val="11"/>
            <rFont val="Calibri"/>
            <family val="2"/>
            <scheme val="minor"/>
          </rPr>
          <t xml:space="preserve">SPCI:
Se relaciona con el seguimiento a la población de acuerdo a la magnitud de la meta.
</t>
        </r>
      </text>
    </comment>
    <comment ref="D10" authorId="0" shapeId="0" xr:uid="{416BF292-95EC-445A-AF63-FA55A48FB87F}">
      <text>
        <r>
          <rPr>
            <sz val="11"/>
            <rFont val="Calibri"/>
            <family val="2"/>
            <scheme val="minor"/>
          </rPr>
          <t xml:space="preserve">YULIED.PENARANDA:
Magnitud física de la meta proyecto de inversión, a programar o a realizar seguimiento, según la columna en que se reporte. </t>
        </r>
      </text>
    </comment>
    <comment ref="D11" authorId="0" shapeId="0" xr:uid="{AF524C7F-1C43-40E8-9373-96F6E93F7B65}">
      <text>
        <r>
          <rPr>
            <sz val="11"/>
            <rFont val="Calibri"/>
            <family val="2"/>
            <scheme val="minor"/>
          </rPr>
          <t>YULIED.PENARANDA:
Recursos presupuestales asignados para la vigencia en programación  y/o seguimiento, según la columna en que se reporte</t>
        </r>
      </text>
    </comment>
    <comment ref="D12" authorId="0" shapeId="0" xr:uid="{713C7CF7-0689-473D-8C60-0F4B66B0320A}">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13" authorId="0" shapeId="0" xr:uid="{DAC20106-22A2-4E9E-906A-DE86D16696DE}">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14" authorId="0" shapeId="0" xr:uid="{92FCE527-4D2E-4F56-9191-6A346C3976B7}">
      <text>
        <r>
          <rPr>
            <sz val="11"/>
            <rFont val="Calibri"/>
            <family val="2"/>
            <scheme val="minor"/>
          </rPr>
          <t>YULIED.PENARANDA:
Para las metas de tipología suma (vigencia *reservas). Para las demás tipos de metas se asocia el mismo dato de la vigencia.</t>
        </r>
      </text>
    </comment>
    <comment ref="D15" authorId="0" shapeId="0" xr:uid="{EB64336B-DC3E-4B17-BA4C-46A5A927BA8D}">
      <text>
        <r>
          <rPr>
            <sz val="11"/>
            <rFont val="Calibri"/>
            <family val="2"/>
            <scheme val="minor"/>
          </rPr>
          <t>YULIED.PENARANDA:
Se suma los recursos presupuestales (vigencia + reservas)</t>
        </r>
      </text>
    </comment>
    <comment ref="D16" authorId="0" shapeId="0" xr:uid="{389CB23C-FEB7-4F77-A98A-AA6C1BB8C572}">
      <text>
        <r>
          <rPr>
            <sz val="11"/>
            <rFont val="Calibri"/>
            <family val="2"/>
            <scheme val="minor"/>
          </rPr>
          <t xml:space="preserve">YULIED.PENARANDA:
Magnitud física de la meta proyecto de inversión, a programar o a realizar seguimiento, según la columna en que se reporte. </t>
        </r>
      </text>
    </comment>
    <comment ref="D17" authorId="0" shapeId="0" xr:uid="{FA88DBC4-A613-4152-97E7-D966B0D38C8A}">
      <text>
        <r>
          <rPr>
            <sz val="11"/>
            <rFont val="Calibri"/>
            <family val="2"/>
            <scheme val="minor"/>
          </rPr>
          <t>YULIED.PENARANDA:
Recursos presupuestales asignados para la vigencia en programación  y/o seguimiento, según la columna en que se reporte</t>
        </r>
      </text>
    </comment>
    <comment ref="D18" authorId="0" shapeId="0" xr:uid="{88C7AA54-96CE-48C3-9A96-310AADEB1EBB}">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19" authorId="0" shapeId="0" xr:uid="{88B8A278-8F02-4358-8E5E-7CFA0860C0F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20" authorId="0" shapeId="0" xr:uid="{F30E253C-A729-4EB6-8951-163A09CB54D7}">
      <text>
        <r>
          <rPr>
            <sz val="11"/>
            <rFont val="Calibri"/>
            <family val="2"/>
            <scheme val="minor"/>
          </rPr>
          <t>YULIED.PENARANDA:
Para las metas de tipología suma (vigencia *reservas). Para las demás tipos de metas se asocia el mismo dato de la vigencia.</t>
        </r>
      </text>
    </comment>
    <comment ref="D21" authorId="0" shapeId="0" xr:uid="{06AE6086-DD3B-4122-AC9A-A026D573480A}">
      <text>
        <r>
          <rPr>
            <sz val="11"/>
            <rFont val="Calibri"/>
            <family val="2"/>
            <scheme val="minor"/>
          </rPr>
          <t>YULIED.PENARANDA:
Se suma los recursos presupuestales (vigencia + reservas)</t>
        </r>
      </text>
    </comment>
    <comment ref="D22" authorId="0" shapeId="0" xr:uid="{464845E3-FCEC-4A6C-A18F-5297B632C360}">
      <text>
        <r>
          <rPr>
            <sz val="11"/>
            <rFont val="Calibri"/>
            <family val="2"/>
            <scheme val="minor"/>
          </rPr>
          <t xml:space="preserve">YULIED.PENARANDA:
Magnitud física de la meta proyecto de inversión, a programar o a realizar seguimiento, según la columna en que se reporte. </t>
        </r>
      </text>
    </comment>
    <comment ref="D23" authorId="0" shapeId="0" xr:uid="{8ECCC696-5543-4CD7-B87D-E1C65D3EFB64}">
      <text>
        <r>
          <rPr>
            <sz val="11"/>
            <rFont val="Calibri"/>
            <family val="2"/>
            <scheme val="minor"/>
          </rPr>
          <t>YULIED.PENARANDA:
Recursos presupuestales asignados para la vigencia en programación  y/o seguimiento, según la columna en que se reporte</t>
        </r>
      </text>
    </comment>
    <comment ref="D24" authorId="0" shapeId="0" xr:uid="{5092442E-98F7-4131-8675-2006A01FE7D8}">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25" authorId="0" shapeId="0" xr:uid="{0E779D84-F6E2-4933-A609-6228A9589F6C}">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26" authorId="0" shapeId="0" xr:uid="{B97B5073-7B63-466B-A51A-3FB51FBD7321}">
      <text>
        <r>
          <rPr>
            <sz val="11"/>
            <rFont val="Calibri"/>
            <family val="2"/>
            <scheme val="minor"/>
          </rPr>
          <t>YULIED.PENARANDA:
Para las metas de tipología suma (vigencia *reservas). Para las demás tipos de metas se asocia el mismo dato de la vigencia.</t>
        </r>
      </text>
    </comment>
    <comment ref="D27" authorId="0" shapeId="0" xr:uid="{8715F285-3C12-45FB-A054-8CAFC2FBD7F1}">
      <text>
        <r>
          <rPr>
            <sz val="11"/>
            <rFont val="Calibri"/>
            <family val="2"/>
            <scheme val="minor"/>
          </rPr>
          <t>YULIED.PENARANDA:
Se suma los recursos presupuestales (vigencia + reservas)</t>
        </r>
      </text>
    </comment>
    <comment ref="D28" authorId="0" shapeId="0" xr:uid="{779ED324-D1F9-4E6D-BEAC-B8494AF999CA}">
      <text>
        <r>
          <rPr>
            <sz val="11"/>
            <rFont val="Calibri"/>
            <family val="2"/>
            <scheme val="minor"/>
          </rPr>
          <t xml:space="preserve">YULIED.PENARANDA:
Magnitud física de la meta proyecto de inversión, a programar o a realizar seguimiento, según la columna en que se reporte. </t>
        </r>
      </text>
    </comment>
    <comment ref="D29" authorId="0" shapeId="0" xr:uid="{CB9A34BD-09E1-49F3-A0B6-0DF7A0DDDE57}">
      <text>
        <r>
          <rPr>
            <sz val="11"/>
            <rFont val="Calibri"/>
            <family val="2"/>
            <scheme val="minor"/>
          </rPr>
          <t>YULIED.PENARANDA:
Recursos presupuestales asignados para la vigencia en programación  y/o seguimiento, según la columna en que se reporte</t>
        </r>
      </text>
    </comment>
    <comment ref="D30" authorId="0" shapeId="0" xr:uid="{531F7A71-A90C-496C-922D-B243FC0E5F1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31" authorId="0" shapeId="0" xr:uid="{480E970B-00BB-49D6-BD9B-E323870E7BF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32" authorId="0" shapeId="0" xr:uid="{92FC30B2-07F9-4829-86D1-FB14CF238824}">
      <text>
        <r>
          <rPr>
            <sz val="11"/>
            <rFont val="Calibri"/>
            <family val="2"/>
            <scheme val="minor"/>
          </rPr>
          <t>YULIED.PENARANDA:
Para las metas de tipología suma (vigencia *reservas). Para las demás tipos de metas se asocia el mismo dato de la vigencia.</t>
        </r>
      </text>
    </comment>
    <comment ref="D33" authorId="0" shapeId="0" xr:uid="{B60A155C-CF80-4ACF-8EB4-06135E1C7E32}">
      <text>
        <r>
          <rPr>
            <sz val="11"/>
            <rFont val="Calibri"/>
            <family val="2"/>
            <scheme val="minor"/>
          </rPr>
          <t>YULIED.PENARANDA:
Se suma los recursos presupuestales (vigencia + reservas)</t>
        </r>
      </text>
    </comment>
    <comment ref="D34" authorId="0" shapeId="0" xr:uid="{11E324B8-D75C-46CF-8CEF-F890FCC6E690}">
      <text>
        <r>
          <rPr>
            <sz val="11"/>
            <rFont val="Calibri"/>
            <family val="2"/>
            <scheme val="minor"/>
          </rPr>
          <t xml:space="preserve">YULIED.PENARANDA:
Magnitud física de la meta proyecto de inversión, a programar o a realizar seguimiento, según la columna en que se reporte. </t>
        </r>
      </text>
    </comment>
    <comment ref="D35" authorId="0" shapeId="0" xr:uid="{952EAE98-32A2-4D3C-9E2C-D936C86DA9AA}">
      <text>
        <r>
          <rPr>
            <sz val="11"/>
            <rFont val="Calibri"/>
            <family val="2"/>
            <scheme val="minor"/>
          </rPr>
          <t>YULIED.PENARANDA:
Recursos presupuestales asignados para la vigencia en programación  y/o seguimiento, según la columna en que se reporte</t>
        </r>
      </text>
    </comment>
    <comment ref="D36" authorId="0" shapeId="0" xr:uid="{81ED2056-E86D-4BA6-B6A2-E71E916220E4}">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37" authorId="0" shapeId="0" xr:uid="{4648787D-A3A4-4DFD-BF07-5521D4AD7A4A}">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38" authorId="0" shapeId="0" xr:uid="{490362F7-17CC-4DD7-9F99-41F598CDE738}">
      <text>
        <r>
          <rPr>
            <sz val="11"/>
            <rFont val="Calibri"/>
            <family val="2"/>
            <scheme val="minor"/>
          </rPr>
          <t>YULIED.PENARANDA:
Para las metas de tipología suma (vigencia *reservas). Para las demás tipos de metas se asocia el mismo dato de la vigencia.</t>
        </r>
      </text>
    </comment>
    <comment ref="D39" authorId="0" shapeId="0" xr:uid="{C5C2208B-C4C7-4B3E-A913-551981E62A73}">
      <text>
        <r>
          <rPr>
            <sz val="11"/>
            <rFont val="Calibri"/>
            <family val="2"/>
            <scheme val="minor"/>
          </rPr>
          <t>YULIED.PENARANDA:
Se suma los recursos presupuestales (vigencia + reservas)</t>
        </r>
      </text>
    </comment>
    <comment ref="D40" authorId="0" shapeId="0" xr:uid="{9DACDF8F-B4D5-41BA-9A7D-B597EE3AF56C}">
      <text>
        <r>
          <rPr>
            <sz val="11"/>
            <rFont val="Calibri"/>
            <family val="2"/>
            <scheme val="minor"/>
          </rPr>
          <t xml:space="preserve">YULIED.PENARANDA:
Magnitud física de la meta proyecto de inversión, a programar o a realizar seguimiento, según la columna en que se reporte. </t>
        </r>
      </text>
    </comment>
    <comment ref="D41" authorId="0" shapeId="0" xr:uid="{7858656C-C710-46B6-858D-0CF41F022701}">
      <text>
        <r>
          <rPr>
            <sz val="11"/>
            <rFont val="Calibri"/>
            <family val="2"/>
            <scheme val="minor"/>
          </rPr>
          <t>YULIED.PENARANDA:
Recursos presupuestales asignados para la vigencia en programación  y/o seguimiento, según la columna en que se reporte</t>
        </r>
      </text>
    </comment>
    <comment ref="D42" authorId="0" shapeId="0" xr:uid="{96C19F42-EA2B-4CC9-9173-592500B223E3}">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43" authorId="0" shapeId="0" xr:uid="{51F9BCE2-3AEF-4C87-B9EF-6F9E70391626}">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44" authorId="0" shapeId="0" xr:uid="{2B60E8E5-39D1-4CC7-9319-E48F8965FC30}">
      <text>
        <r>
          <rPr>
            <sz val="11"/>
            <rFont val="Calibri"/>
            <family val="2"/>
            <scheme val="minor"/>
          </rPr>
          <t>YULIED.PENARANDA:
Para las metas de tipología suma (vigencia *reservas). Para las demás tipos de metas se asocia el mismo dato de la vigencia.</t>
        </r>
      </text>
    </comment>
    <comment ref="D45" authorId="0" shapeId="0" xr:uid="{4BC56AA6-4AA2-4EC9-85A3-D347286185FF}">
      <text>
        <r>
          <rPr>
            <sz val="11"/>
            <rFont val="Calibri"/>
            <family val="2"/>
            <scheme val="minor"/>
          </rPr>
          <t>YULIED.PENARANDA:
Se suma los recursos presupuestales (vigencia + reservas)</t>
        </r>
      </text>
    </comment>
    <comment ref="D46" authorId="0" shapeId="0" xr:uid="{68529802-8DDE-4726-8F51-F8DC1F03739A}">
      <text>
        <r>
          <rPr>
            <sz val="11"/>
            <rFont val="Calibri"/>
            <family val="2"/>
            <scheme val="minor"/>
          </rPr>
          <t xml:space="preserve">YULIED.PENARANDA:
Magnitud física de la meta proyecto de inversión, a programar o a realizar seguimiento, según la columna en que se reporte. </t>
        </r>
      </text>
    </comment>
    <comment ref="D47" authorId="0" shapeId="0" xr:uid="{FF409350-6544-4659-89F2-740FEBDC9B5A}">
      <text>
        <r>
          <rPr>
            <sz val="11"/>
            <rFont val="Calibri"/>
            <family val="2"/>
            <scheme val="minor"/>
          </rPr>
          <t>YULIED.PENARANDA:
Recursos presupuestales asignados para la vigencia en programación  y/o seguimiento, según la columna en que se reporte</t>
        </r>
      </text>
    </comment>
    <comment ref="D48" authorId="0" shapeId="0" xr:uid="{595B0FC3-A59F-472B-8933-6F3014FFA79E}">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49" authorId="0" shapeId="0" xr:uid="{65416A3A-F366-4DC3-BAE4-F1CB267AA14B}">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50" authorId="0" shapeId="0" xr:uid="{8AE9AE02-4915-4BF4-9E57-20DF58AE69BB}">
      <text>
        <r>
          <rPr>
            <sz val="11"/>
            <rFont val="Calibri"/>
            <family val="2"/>
            <scheme val="minor"/>
          </rPr>
          <t>YULIED.PENARANDA:
Para las metas de tipología suma (vigencia *reservas). Para las demás tipos de metas se asocia el mismo dato de la vigencia.</t>
        </r>
      </text>
    </comment>
    <comment ref="D51" authorId="0" shapeId="0" xr:uid="{79DE12DF-3E9F-4553-A2FD-BDD0F8A8090F}">
      <text>
        <r>
          <rPr>
            <sz val="11"/>
            <rFont val="Calibri"/>
            <family val="2"/>
            <scheme val="minor"/>
          </rPr>
          <t>YULIED.PENARANDA:
Se suma los recursos presupuestales (vigencia + reservas)</t>
        </r>
      </text>
    </comment>
    <comment ref="D52" authorId="0" shapeId="0" xr:uid="{38376D25-952B-45EA-8A25-27F325DB422A}">
      <text>
        <r>
          <rPr>
            <sz val="11"/>
            <rFont val="Calibri"/>
            <family val="2"/>
            <scheme val="minor"/>
          </rPr>
          <t xml:space="preserve">YULIED.PENARANDA:
Magnitud física de la meta proyecto de inversión, a programar o a realizar seguimiento, según la columna en que se reporte. </t>
        </r>
      </text>
    </comment>
    <comment ref="D53" authorId="0" shapeId="0" xr:uid="{D82D7331-A48D-4807-9547-E88F1694F45B}">
      <text>
        <r>
          <rPr>
            <sz val="11"/>
            <rFont val="Calibri"/>
            <family val="2"/>
            <scheme val="minor"/>
          </rPr>
          <t>YULIED.PENARANDA:
Recursos presupuestales asignados para la vigencia en programación  y/o seguimiento, según la columna en que se reporte</t>
        </r>
      </text>
    </comment>
    <comment ref="D54" authorId="0" shapeId="0" xr:uid="{767F634B-DD29-4BE1-A9AA-C4678C831D4E}">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55" authorId="0" shapeId="0" xr:uid="{4FEDD0BF-953E-4B3A-9EC9-23F4B19DFBCE}">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56" authorId="0" shapeId="0" xr:uid="{3144B27F-42A8-4BC6-A899-339C84726F67}">
      <text>
        <r>
          <rPr>
            <sz val="11"/>
            <rFont val="Calibri"/>
            <family val="2"/>
            <scheme val="minor"/>
          </rPr>
          <t>YULIED.PENARANDA:
Para las metas de tipología suma (vigencia *reservas). Para las demás tipos de metas se asocia el mismo dato de la vigencia.</t>
        </r>
      </text>
    </comment>
    <comment ref="D57" authorId="0" shapeId="0" xr:uid="{B84EA2BB-A709-4DB0-8053-D9171A6677DC}">
      <text>
        <r>
          <rPr>
            <sz val="11"/>
            <rFont val="Calibri"/>
            <family val="2"/>
            <scheme val="minor"/>
          </rPr>
          <t>YULIED.PENARANDA:
Se suma los recursos presupuestales (vigencia + reservas)</t>
        </r>
      </text>
    </comment>
    <comment ref="D58" authorId="0" shapeId="0" xr:uid="{0FD0A71E-39B8-4329-A876-15A2B2E1C505}">
      <text>
        <r>
          <rPr>
            <sz val="11"/>
            <rFont val="Calibri"/>
            <family val="2"/>
            <scheme val="minor"/>
          </rPr>
          <t xml:space="preserve">YULIED.PENARANDA:
Magnitud física de la meta proyecto de inversión, a programar o a realizar seguimiento, según la columna en que se reporte. </t>
        </r>
      </text>
    </comment>
    <comment ref="D59" authorId="0" shapeId="0" xr:uid="{636527E5-DE4F-4DAB-8368-46E1F1AADDF6}">
      <text>
        <r>
          <rPr>
            <sz val="11"/>
            <rFont val="Calibri"/>
            <family val="2"/>
            <scheme val="minor"/>
          </rPr>
          <t>YULIED.PENARANDA:
Recursos presupuestales asignados para la vigencia en programación  y/o seguimiento, según la columna en que se reporte</t>
        </r>
      </text>
    </comment>
    <comment ref="D60" authorId="0" shapeId="0" xr:uid="{01D6D24C-D83D-4E22-AB15-942924EF0EC5}">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61" authorId="0" shapeId="0" xr:uid="{D36D1BE0-38FB-4E42-86BD-D9EDFE24E325}">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62" authorId="0" shapeId="0" xr:uid="{03210EE0-4872-4A16-ACF7-6DD2C34C9FC5}">
      <text>
        <r>
          <rPr>
            <sz val="11"/>
            <rFont val="Calibri"/>
            <family val="2"/>
            <scheme val="minor"/>
          </rPr>
          <t>YULIED.PENARANDA:
Para las metas de tipología suma (vigencia *reservas). Para las demás tipos de metas se asocia el mismo dato de la vigencia.</t>
        </r>
      </text>
    </comment>
    <comment ref="D63" authorId="0" shapeId="0" xr:uid="{7223F31F-C830-4BB0-BADC-04FAB6C7F77E}">
      <text>
        <r>
          <rPr>
            <sz val="11"/>
            <rFont val="Calibri"/>
            <family val="2"/>
            <scheme val="minor"/>
          </rPr>
          <t>YULIED.PENARANDA:
Se suma los recursos presupuestales (vigencia + reservas)</t>
        </r>
      </text>
    </comment>
    <comment ref="D64" authorId="0" shapeId="0" xr:uid="{0017D647-F1C2-47AD-B83A-193AC0BB0806}">
      <text>
        <r>
          <rPr>
            <sz val="11"/>
            <rFont val="Calibri"/>
            <family val="2"/>
            <scheme val="minor"/>
          </rPr>
          <t>YULIED.PENARANDA:
Verificar que los totales coincidan con los reportados en el componente de inversión</t>
        </r>
      </text>
    </comment>
    <comment ref="D65" authorId="0" shapeId="0" xr:uid="{BFF40CEE-3B12-47B1-877C-2C3E8DE561E1}">
      <text>
        <r>
          <rPr>
            <sz val="11"/>
            <rFont val="Calibri"/>
            <family val="2"/>
            <scheme val="minor"/>
          </rPr>
          <t>YULIED.PENARANDA:
Verificar que los totales coincidan con los reportados en el componente de inversión</t>
        </r>
      </text>
    </comment>
    <comment ref="D66" authorId="0" shapeId="0" xr:uid="{BB2456A9-9509-40CD-AFDC-2E9074BB0135}">
      <text>
        <r>
          <rPr>
            <sz val="11"/>
            <rFont val="Calibri"/>
            <family val="2"/>
            <scheme val="minor"/>
          </rPr>
          <t>YULIED.PENARANDA: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5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500-000002000000}">
      <text>
        <r>
          <rPr>
            <sz val="11"/>
            <rFont val="Calibri"/>
            <family val="2"/>
            <scheme val="minor"/>
          </rPr>
          <t xml:space="preserve">YULIED.PENARANDA:
Describir el número y nombre completo del proyecto de inversión. </t>
        </r>
      </text>
    </comment>
    <comment ref="A7" authorId="0" shapeId="0" xr:uid="{00000000-0006-0000-0500-000003000000}">
      <text>
        <r>
          <rPr>
            <sz val="11"/>
            <rFont val="Calibri"/>
            <family val="2"/>
            <scheme val="minor"/>
          </rPr>
          <t>YULIED.PENARANDA:
Corresponde a la información en firme de cada vigencia fiscal.</t>
        </r>
      </text>
    </comment>
    <comment ref="A8" authorId="0" shapeId="0" xr:uid="{00000000-0006-0000-0500-000004000000}">
      <text>
        <r>
          <rPr>
            <sz val="11"/>
            <rFont val="Calibri"/>
            <family val="2"/>
            <scheme val="minor"/>
          </rPr>
          <t>YULIED.PENARANDA:
Vigencia a reportar</t>
        </r>
      </text>
    </comment>
    <comment ref="C8" authorId="0" shapeId="0" xr:uid="{00000000-0006-0000-0500-000005000000}">
      <text>
        <r>
          <rPr>
            <sz val="11"/>
            <rFont val="Calibri"/>
            <family val="2"/>
            <scheme val="minor"/>
          </rPr>
          <t>YULIED.PENARANDA:
Apropiación inicial acorde con la herramienta oficial de la SDH</t>
        </r>
      </text>
    </comment>
    <comment ref="D8" authorId="0" shapeId="0" xr:uid="{00000000-0006-0000-0500-000006000000}">
      <text>
        <r>
          <rPr>
            <sz val="11"/>
            <rFont val="Calibri"/>
            <family val="2"/>
            <scheme val="minor"/>
          </rPr>
          <t>YULIED.PENARANDA:
Apropiación inicial + 0 - movimientos positivos y/o negativos, con este valor se proyecta los compromisos</t>
        </r>
      </text>
    </comment>
    <comment ref="E8" authorId="0" shapeId="0" xr:uid="{00000000-0006-0000-0500-000007000000}">
      <text>
        <r>
          <rPr>
            <sz val="11"/>
            <rFont val="Calibri"/>
            <family val="2"/>
            <scheme val="minor"/>
          </rPr>
          <t>YULIED.PENARANDA:
Valores contenidos en los Registros Presupuestales de Compromisos</t>
        </r>
      </text>
    </comment>
    <comment ref="F8" authorId="0" shapeId="0" xr:uid="{00000000-0006-0000-0500-000008000000}">
      <text>
        <r>
          <rPr>
            <sz val="11"/>
            <rFont val="Calibri"/>
            <family val="2"/>
            <scheme val="minor"/>
          </rPr>
          <t xml:space="preserve">YULIED.PENARANDA:
Corresponde al pago </t>
        </r>
      </text>
    </comment>
    <comment ref="G8" authorId="0" shapeId="0" xr:uid="{00000000-0006-0000-0500-000009000000}">
      <text>
        <r>
          <rPr>
            <sz val="11"/>
            <rFont val="Calibri"/>
            <family val="2"/>
            <scheme val="minor"/>
          </rPr>
          <t>YULIED.PENARANDA:
Extinción de la obligación a cargo de la SDA.</t>
        </r>
      </text>
    </comment>
    <comment ref="A40" authorId="0" shapeId="0" xr:uid="{00000000-0006-0000-0500-00000A000000}">
      <text>
        <r>
          <rPr>
            <sz val="11"/>
            <rFont val="Calibri"/>
            <family val="2"/>
            <scheme val="minor"/>
          </rPr>
          <t>YULIED.PENARANDA:
Corresponde a la información en firme de cada vigencia fiscal.</t>
        </r>
      </text>
    </comment>
    <comment ref="A41" authorId="0" shapeId="0" xr:uid="{00000000-0006-0000-0500-00000B000000}">
      <text>
        <r>
          <rPr>
            <sz val="11"/>
            <rFont val="Calibri"/>
            <family val="2"/>
            <scheme val="minor"/>
          </rPr>
          <t>YULIED.PENARANDA:
Vigencia a reportar</t>
        </r>
      </text>
    </comment>
    <comment ref="C41" authorId="0" shapeId="0" xr:uid="{00000000-0006-0000-0500-00000C000000}">
      <text>
        <r>
          <rPr>
            <sz val="11"/>
            <rFont val="Calibri"/>
            <family val="2"/>
            <scheme val="minor"/>
          </rPr>
          <t>YULIED.PENARANDA:
Apropiación inicial acorde con la herramienta oficial de la SDH</t>
        </r>
      </text>
    </comment>
    <comment ref="D41" authorId="0" shapeId="0" xr:uid="{00000000-0006-0000-0500-00000D000000}">
      <text>
        <r>
          <rPr>
            <sz val="11"/>
            <rFont val="Calibri"/>
            <family val="2"/>
            <scheme val="minor"/>
          </rPr>
          <t>YULIED.PENARANDA:
Apropiación inicial + 0 - movimientos positivos y/o negativos, con este valor se proyecta los compromisos</t>
        </r>
      </text>
    </comment>
    <comment ref="E41" authorId="0" shapeId="0" xr:uid="{00000000-0006-0000-0500-00000E000000}">
      <text>
        <r>
          <rPr>
            <sz val="11"/>
            <rFont val="Calibri"/>
            <family val="2"/>
            <scheme val="minor"/>
          </rPr>
          <t>YULIED.PENARANDA:
Valores contenidos en los Registros Presupuestales de Compromisos</t>
        </r>
      </text>
    </comment>
    <comment ref="F41" authorId="0" shapeId="0" xr:uid="{00000000-0006-0000-0500-00000F000000}">
      <text>
        <r>
          <rPr>
            <sz val="11"/>
            <rFont val="Calibri"/>
            <family val="2"/>
            <scheme val="minor"/>
          </rPr>
          <t xml:space="preserve">YULIED.PENARANDA:
Corresponde al pago </t>
        </r>
      </text>
    </comment>
    <comment ref="G41" authorId="0" shapeId="0" xr:uid="{00000000-0006-0000-0500-000010000000}">
      <text>
        <r>
          <rPr>
            <sz val="11"/>
            <rFont val="Calibri"/>
            <family val="2"/>
            <scheme val="minor"/>
          </rPr>
          <t>YULIED.PENARANDA:
Extinción de la obligación a cargo de la SDA.</t>
        </r>
      </text>
    </comment>
    <comment ref="A148" authorId="0" shapeId="0" xr:uid="{00000000-0006-0000-0500-000011000000}">
      <text>
        <r>
          <rPr>
            <sz val="11"/>
            <rFont val="Calibri"/>
            <family val="2"/>
            <scheme val="minor"/>
          </rPr>
          <t>YULIED.PENARANDA:
Corresponde a la información en firme de cada vigencia fiscal.</t>
        </r>
      </text>
    </comment>
    <comment ref="A149" authorId="0" shapeId="0" xr:uid="{00000000-0006-0000-0500-000012000000}">
      <text>
        <r>
          <rPr>
            <sz val="11"/>
            <rFont val="Calibri"/>
            <family val="2"/>
            <scheme val="minor"/>
          </rPr>
          <t>YULIED.PENARANDA:
Vigencia a reportar</t>
        </r>
      </text>
    </comment>
    <comment ref="C149" authorId="0" shapeId="0" xr:uid="{00000000-0006-0000-0500-000013000000}">
      <text>
        <r>
          <rPr>
            <sz val="11"/>
            <rFont val="Calibri"/>
            <family val="2"/>
            <scheme val="minor"/>
          </rPr>
          <t>YULIED.PENARANDA:
Apropiación inicial acorde con la herramienta oficial de la SDH</t>
        </r>
      </text>
    </comment>
    <comment ref="D149" authorId="0" shapeId="0" xr:uid="{00000000-0006-0000-0500-000014000000}">
      <text>
        <r>
          <rPr>
            <sz val="11"/>
            <rFont val="Calibri"/>
            <family val="2"/>
            <scheme val="minor"/>
          </rPr>
          <t>YULIED.PENARANDA:
Apropiación inicial + 0 - movimientos positivos y/o negativos, con este valor se proyecta los compromisos</t>
        </r>
      </text>
    </comment>
    <comment ref="E149" authorId="0" shapeId="0" xr:uid="{00000000-0006-0000-0500-000015000000}">
      <text>
        <r>
          <rPr>
            <sz val="11"/>
            <rFont val="Calibri"/>
            <family val="2"/>
            <scheme val="minor"/>
          </rPr>
          <t>YULIED.PENARANDA:
Valores contenidos en los Registros Presupuestales de Compromisos</t>
        </r>
      </text>
    </comment>
    <comment ref="F149" authorId="0" shapeId="0" xr:uid="{00000000-0006-0000-0500-000016000000}">
      <text>
        <r>
          <rPr>
            <sz val="11"/>
            <rFont val="Calibri"/>
            <family val="2"/>
            <scheme val="minor"/>
          </rPr>
          <t xml:space="preserve">YULIED.PENARANDA:
Corresponde al pago </t>
        </r>
      </text>
    </comment>
    <comment ref="G149" authorId="0" shapeId="0" xr:uid="{00000000-0006-0000-0500-000017000000}">
      <text>
        <r>
          <rPr>
            <sz val="11"/>
            <rFont val="Calibri"/>
            <family val="2"/>
            <scheme val="minor"/>
          </rPr>
          <t>YULIED.PENARANDA:
Extinción de la obligación a cargo de la SDA.</t>
        </r>
      </text>
    </comment>
    <comment ref="A183" authorId="0" shapeId="0" xr:uid="{00000000-0006-0000-0500-000018000000}">
      <text>
        <r>
          <rPr>
            <sz val="11"/>
            <rFont val="Calibri"/>
            <family val="2"/>
            <scheme val="minor"/>
          </rPr>
          <t>YULIED.PENARANDA:
Corresponde a la información en firme de cada vigencia fiscal.</t>
        </r>
      </text>
    </comment>
    <comment ref="A184" authorId="0" shapeId="0" xr:uid="{00000000-0006-0000-0500-000019000000}">
      <text>
        <r>
          <rPr>
            <sz val="11"/>
            <rFont val="Calibri"/>
            <family val="2"/>
            <scheme val="minor"/>
          </rPr>
          <t>YULIED.PENARANDA:
Vigencia a reportar</t>
        </r>
      </text>
    </comment>
    <comment ref="C184" authorId="0" shapeId="0" xr:uid="{00000000-0006-0000-0500-00001A000000}">
      <text>
        <r>
          <rPr>
            <sz val="11"/>
            <rFont val="Calibri"/>
            <family val="2"/>
            <scheme val="minor"/>
          </rPr>
          <t>YULIED.PENARANDA:
Apropiación inicial acorde con la herramienta oficial de la SDH</t>
        </r>
      </text>
    </comment>
    <comment ref="D184" authorId="0" shapeId="0" xr:uid="{00000000-0006-0000-0500-00001B000000}">
      <text>
        <r>
          <rPr>
            <sz val="11"/>
            <rFont val="Calibri"/>
            <family val="2"/>
            <scheme val="minor"/>
          </rPr>
          <t>YULIED.PENARANDA:
Apropiación inicial + 0 - movimientos positivos y/o negativos, con este valor se proyecta los compromisos</t>
        </r>
      </text>
    </comment>
    <comment ref="E184" authorId="0" shapeId="0" xr:uid="{00000000-0006-0000-0500-00001C000000}">
      <text>
        <r>
          <rPr>
            <sz val="11"/>
            <rFont val="Calibri"/>
            <family val="2"/>
            <scheme val="minor"/>
          </rPr>
          <t>YULIED.PENARANDA:
Valores contenidos en los Registros Presupuestales de Compromisos</t>
        </r>
      </text>
    </comment>
    <comment ref="F184" authorId="0" shapeId="0" xr:uid="{00000000-0006-0000-0500-00001D000000}">
      <text>
        <r>
          <rPr>
            <sz val="11"/>
            <rFont val="Calibri"/>
            <family val="2"/>
            <scheme val="minor"/>
          </rPr>
          <t xml:space="preserve">YULIED.PENARANDA:
Corresponde al pago </t>
        </r>
      </text>
    </comment>
    <comment ref="G184" authorId="0" shapeId="0" xr:uid="{00000000-0006-0000-0500-00001E000000}">
      <text>
        <r>
          <rPr>
            <sz val="11"/>
            <rFont val="Calibri"/>
            <family val="2"/>
            <scheme val="minor"/>
          </rPr>
          <t>YULIED.PENARANDA:
Extinción de la obligación a cargo de la SDA.</t>
        </r>
      </text>
    </comment>
    <comment ref="A198" authorId="0" shapeId="0" xr:uid="{00000000-0006-0000-0500-00001F000000}">
      <text>
        <r>
          <rPr>
            <sz val="11"/>
            <rFont val="Calibri"/>
            <family val="2"/>
            <scheme val="minor"/>
          </rPr>
          <t>YULIED.PENARANDA:
Corresponde a la información en firme de cada vigencia fiscal.</t>
        </r>
      </text>
    </comment>
    <comment ref="A199" authorId="0" shapeId="0" xr:uid="{00000000-0006-0000-0500-000020000000}">
      <text>
        <r>
          <rPr>
            <sz val="11"/>
            <rFont val="Calibri"/>
            <family val="2"/>
            <scheme val="minor"/>
          </rPr>
          <t>YULIED.PENARANDA:
Vigencia a reportar</t>
        </r>
      </text>
    </comment>
    <comment ref="C199" authorId="0" shapeId="0" xr:uid="{00000000-0006-0000-0500-000021000000}">
      <text>
        <r>
          <rPr>
            <sz val="11"/>
            <rFont val="Calibri"/>
            <family val="2"/>
            <scheme val="minor"/>
          </rPr>
          <t>YULIED.PENARANDA:
Apropiación inicial acorde con la herramienta oficial de la SDH</t>
        </r>
      </text>
    </comment>
    <comment ref="D199" authorId="0" shapeId="0" xr:uid="{00000000-0006-0000-0500-000022000000}">
      <text>
        <r>
          <rPr>
            <sz val="11"/>
            <rFont val="Calibri"/>
            <family val="2"/>
            <scheme val="minor"/>
          </rPr>
          <t>YULIED.PENARANDA:
Apropiación inicial + 0 - movimientos positivos y/o negativos, con este valor se proyecta los compromisos</t>
        </r>
      </text>
    </comment>
    <comment ref="E199" authorId="0" shapeId="0" xr:uid="{00000000-0006-0000-0500-000023000000}">
      <text>
        <r>
          <rPr>
            <sz val="11"/>
            <rFont val="Calibri"/>
            <family val="2"/>
            <scheme val="minor"/>
          </rPr>
          <t>YULIED.PENARANDA:
Valores contenidos en los Registros Presupuestales de Compromisos</t>
        </r>
      </text>
    </comment>
    <comment ref="F199" authorId="0" shapeId="0" xr:uid="{00000000-0006-0000-0500-000024000000}">
      <text>
        <r>
          <rPr>
            <sz val="11"/>
            <rFont val="Calibri"/>
            <family val="2"/>
            <scheme val="minor"/>
          </rPr>
          <t xml:space="preserve">YULIED.PENARANDA:
Corresponde al pago </t>
        </r>
      </text>
    </comment>
    <comment ref="G199" authorId="0" shapeId="0" xr:uid="{00000000-0006-0000-0500-000025000000}">
      <text>
        <r>
          <rPr>
            <sz val="11"/>
            <rFont val="Calibri"/>
            <family val="2"/>
            <scheme val="minor"/>
          </rPr>
          <t>YULIED.PENARANDA:
Extinción de la obligación a cargo de la SDA.</t>
        </r>
      </text>
    </comment>
    <comment ref="A213" authorId="0" shapeId="0" xr:uid="{00000000-0006-0000-0500-000026000000}">
      <text>
        <r>
          <rPr>
            <sz val="11"/>
            <rFont val="Calibri"/>
            <family val="2"/>
            <scheme val="minor"/>
          </rPr>
          <t>YULIED.PENARANDA:
Avance productos e indicadores de productos (según cadena de valor)
NOTA: Desagregar cuadro cuantas veces tenga productos y/o indicadores asociados</t>
        </r>
      </text>
    </comment>
    <comment ref="A214" authorId="0" shapeId="0" xr:uid="{00000000-0006-0000-0500-000027000000}">
      <text>
        <r>
          <rPr>
            <sz val="11"/>
            <rFont val="Calibri"/>
            <family val="2"/>
            <scheme val="minor"/>
          </rPr>
          <t>YULIED.PENARANDA:
Vigencia a reportar</t>
        </r>
      </text>
    </comment>
    <comment ref="B214" authorId="0" shapeId="0" xr:uid="{00000000-0006-0000-0500-000028000000}">
      <text>
        <r>
          <rPr>
            <sz val="11"/>
            <rFont val="Calibri"/>
            <family val="2"/>
            <scheme val="minor"/>
          </rPr>
          <t>YULIED.PENARANDA:
Describir los objetivo específico del proyecto, como se definió en la formulación del proyecto</t>
        </r>
      </text>
    </comment>
    <comment ref="C214" authorId="0" shapeId="0" xr:uid="{00000000-0006-0000-0500-000029000000}">
      <text>
        <r>
          <rPr>
            <sz val="11"/>
            <rFont val="Calibri"/>
            <family val="2"/>
            <scheme val="minor"/>
          </rPr>
          <t>YULIED.PENARANDA:
Describir los productos del proyecto, como se definió en la formulación del proyecto y de acuerdo con el catálogo de productos DNP</t>
        </r>
      </text>
    </comment>
    <comment ref="D214" authorId="0" shapeId="0" xr:uid="{00000000-0006-0000-0500-00002A000000}">
      <text>
        <r>
          <rPr>
            <sz val="11"/>
            <rFont val="Calibri"/>
            <family val="2"/>
            <scheme val="minor"/>
          </rPr>
          <t xml:space="preserve">YULIED.PENARANDA:
Nombre completo del indicador. Expresión verbal, precisa y concreta del patrón de evaluación. </t>
        </r>
      </text>
    </comment>
    <comment ref="E214" authorId="0" shapeId="0" xr:uid="{00000000-0006-0000-0500-00002B000000}">
      <text>
        <r>
          <rPr>
            <sz val="11"/>
            <rFont val="Calibri"/>
            <family val="2"/>
            <scheme val="minor"/>
          </rPr>
          <t xml:space="preserve">YULIED.PENARANDA:
Unidad cualitativa del indicador, define las características de la magnitud a realizar seguimiento. Eje: Hectáreas, estrategias, modelos, etc. </t>
        </r>
      </text>
    </comment>
    <comment ref="F214" authorId="0" shapeId="0" xr:uid="{00000000-0006-0000-0500-00002C000000}">
      <text>
        <r>
          <rPr>
            <sz val="11"/>
            <rFont val="Calibri"/>
            <family val="2"/>
            <scheme val="minor"/>
          </rPr>
          <t>YULIED.PENARANDA:
Ponderación del indicador se realiza de acuerdo al peso que cada producto tiene en el caso total del proyecto.</t>
        </r>
      </text>
    </comment>
    <comment ref="G214" authorId="0" shapeId="0" xr:uid="{00000000-0006-0000-0500-00002D000000}">
      <text>
        <r>
          <rPr>
            <sz val="11"/>
            <rFont val="Calibri"/>
            <family val="2"/>
            <scheme val="minor"/>
          </rPr>
          <t>YULIED.PENARANDA:
Nombre completo de la Meta  del Plan de Desarrollo, como se relaciona en el de gestión</t>
        </r>
      </text>
    </comment>
    <comment ref="N214" authorId="0" shapeId="0" xr:uid="{00000000-0006-0000-0500-00002E000000}">
      <text>
        <r>
          <rPr>
            <sz val="11"/>
            <rFont val="Calibri"/>
            <family val="2"/>
            <scheme val="minor"/>
          </rPr>
          <t>YULIED.PENARANDA:
Descripción concreta del avance, máximo de caracteres 200</t>
        </r>
      </text>
    </comment>
    <comment ref="A223" authorId="0" shapeId="0" xr:uid="{00000000-0006-0000-0500-00002F000000}">
      <text>
        <r>
          <rPr>
            <sz val="11"/>
            <rFont val="Calibri"/>
            <family val="2"/>
            <scheme val="minor"/>
          </rPr>
          <t>YULIED.PENARANDA:
Vigencia a reportar</t>
        </r>
      </text>
    </comment>
    <comment ref="B223" authorId="0" shapeId="0" xr:uid="{00000000-0006-0000-0500-000030000000}">
      <text>
        <r>
          <rPr>
            <sz val="11"/>
            <rFont val="Calibri"/>
            <family val="2"/>
            <scheme val="minor"/>
          </rPr>
          <t>YULIED.PENARANDA:
Describir los objetivo específico del proyecto, como se definió en la formulación del proyecto</t>
        </r>
      </text>
    </comment>
    <comment ref="C223" authorId="0" shapeId="0" xr:uid="{00000000-0006-0000-0500-000031000000}">
      <text>
        <r>
          <rPr>
            <sz val="11"/>
            <rFont val="Calibri"/>
            <family val="2"/>
            <scheme val="minor"/>
          </rPr>
          <t>YULIED.PENARANDA:
Describir los productos del proyecto, como se definió en la formulación del proyecto y de acuerdo con el catálogo de productos DNP</t>
        </r>
      </text>
    </comment>
    <comment ref="D223" authorId="0" shapeId="0" xr:uid="{00000000-0006-0000-0500-000032000000}">
      <text>
        <r>
          <rPr>
            <sz val="11"/>
            <rFont val="Calibri"/>
            <family val="2"/>
            <scheme val="minor"/>
          </rPr>
          <t xml:space="preserve">YULIED.PENARANDA:
Nombre completo del indicador. Expresión verbal, precisa y concreta del patrón de evaluación. </t>
        </r>
      </text>
    </comment>
    <comment ref="E223" authorId="0" shapeId="0" xr:uid="{00000000-0006-0000-0500-000033000000}">
      <text>
        <r>
          <rPr>
            <sz val="11"/>
            <rFont val="Calibri"/>
            <family val="2"/>
            <scheme val="minor"/>
          </rPr>
          <t xml:space="preserve">YULIED.PENARANDA:
Unidad cualitativa del indicador, define las características de la magnitud a realizar seguimiento. Eje: Hectáreas, estrategias, modelos, etc. </t>
        </r>
      </text>
    </comment>
    <comment ref="F223" authorId="0" shapeId="0" xr:uid="{00000000-0006-0000-0500-000034000000}">
      <text>
        <r>
          <rPr>
            <sz val="11"/>
            <rFont val="Calibri"/>
            <family val="2"/>
            <scheme val="minor"/>
          </rPr>
          <t>YULIED.PENARANDA:
Ponderación del indicador se realiza de acuerdo al peso que cada producto tiene en el caso total del proyecto.</t>
        </r>
      </text>
    </comment>
    <comment ref="G223" authorId="0" shapeId="0" xr:uid="{00000000-0006-0000-0500-000035000000}">
      <text>
        <r>
          <rPr>
            <sz val="11"/>
            <rFont val="Calibri"/>
            <family val="2"/>
            <scheme val="minor"/>
          </rPr>
          <t>YULIED.PENARANDA:
Nombre completo de la Meta  del Plan de Desarrollo, como se relaciona en el de gestión</t>
        </r>
      </text>
    </comment>
    <comment ref="N223" authorId="0" shapeId="0" xr:uid="{00000000-0006-0000-0500-000036000000}">
      <text>
        <r>
          <rPr>
            <sz val="11"/>
            <rFont val="Calibri"/>
            <family val="2"/>
            <scheme val="minor"/>
          </rPr>
          <t>YULIED.PENARANDA:
Descripción concreta del avance, máximo de caracteres 200</t>
        </r>
      </text>
    </comment>
    <comment ref="A232" authorId="0" shapeId="0" xr:uid="{00000000-0006-0000-0500-000037000000}">
      <text>
        <r>
          <rPr>
            <sz val="11"/>
            <rFont val="Calibri"/>
            <family val="2"/>
            <scheme val="minor"/>
          </rPr>
          <t>YULIED.PENARANDA:
Vigencia a reportar</t>
        </r>
      </text>
    </comment>
    <comment ref="B232" authorId="0" shapeId="0" xr:uid="{00000000-0006-0000-0500-000038000000}">
      <text>
        <r>
          <rPr>
            <sz val="11"/>
            <rFont val="Calibri"/>
            <family val="2"/>
            <scheme val="minor"/>
          </rPr>
          <t>YULIED.PENARANDA:
Describir los objetivo específico del proyecto, como se definió en la formulación del proyecto</t>
        </r>
      </text>
    </comment>
    <comment ref="C232" authorId="0" shapeId="0" xr:uid="{00000000-0006-0000-0500-000039000000}">
      <text>
        <r>
          <rPr>
            <sz val="11"/>
            <rFont val="Calibri"/>
            <family val="2"/>
            <scheme val="minor"/>
          </rPr>
          <t>YULIED.PENARANDA:
Describir los productos del proyecto, como se definió en la formulación del proyecto y de acuerdo con el catálogo de productos DNP</t>
        </r>
      </text>
    </comment>
    <comment ref="D232" authorId="0" shapeId="0" xr:uid="{00000000-0006-0000-0500-00003A000000}">
      <text>
        <r>
          <rPr>
            <sz val="11"/>
            <rFont val="Calibri"/>
            <family val="2"/>
            <scheme val="minor"/>
          </rPr>
          <t xml:space="preserve">YULIED.PENARANDA:
Nombre completo del indicador. Expresión verbal, precisa y concreta del patrón de evaluación. </t>
        </r>
      </text>
    </comment>
    <comment ref="E232" authorId="0" shapeId="0" xr:uid="{00000000-0006-0000-0500-00003B000000}">
      <text>
        <r>
          <rPr>
            <sz val="11"/>
            <rFont val="Calibri"/>
            <family val="2"/>
            <scheme val="minor"/>
          </rPr>
          <t xml:space="preserve">YULIED.PENARANDA:
Unidad cualitativa del indicador, define las características de la magnitud a realizar seguimiento. Eje: Hectáreas, estrategias, modelos, etc. </t>
        </r>
      </text>
    </comment>
    <comment ref="F232" authorId="0" shapeId="0" xr:uid="{00000000-0006-0000-0500-00003C000000}">
      <text>
        <r>
          <rPr>
            <sz val="11"/>
            <rFont val="Calibri"/>
            <family val="2"/>
            <scheme val="minor"/>
          </rPr>
          <t>YULIED.PENARANDA:
Ponderación del indicador se realiza de acuerdo al peso que cada producto tiene en el caso total del proyecto.</t>
        </r>
      </text>
    </comment>
    <comment ref="G232" authorId="0" shapeId="0" xr:uid="{00000000-0006-0000-0500-00003D000000}">
      <text>
        <r>
          <rPr>
            <sz val="11"/>
            <rFont val="Calibri"/>
            <family val="2"/>
            <scheme val="minor"/>
          </rPr>
          <t>YULIED.PENARANDA:
Nombre completo de la Meta  del Plan de Desarrollo, como se relaciona en el de gestión</t>
        </r>
      </text>
    </comment>
    <comment ref="N232" authorId="0" shapeId="0" xr:uid="{00000000-0006-0000-0500-00003E000000}">
      <text>
        <r>
          <rPr>
            <sz val="11"/>
            <rFont val="Calibri"/>
            <family val="2"/>
            <scheme val="minor"/>
          </rPr>
          <t>YULIED.PENARANDA:
Descripción concreta del avance, máximo de caracteres 200</t>
        </r>
      </text>
    </comment>
    <comment ref="A241" authorId="0" shapeId="0" xr:uid="{00000000-0006-0000-0500-00003F000000}">
      <text>
        <r>
          <rPr>
            <sz val="11"/>
            <rFont val="Calibri"/>
            <family val="2"/>
            <scheme val="minor"/>
          </rPr>
          <t>YULIED.PENARANDA:
Vigencia a reportar</t>
        </r>
      </text>
    </comment>
    <comment ref="B241" authorId="0" shapeId="0" xr:uid="{00000000-0006-0000-0500-000040000000}">
      <text>
        <r>
          <rPr>
            <sz val="11"/>
            <rFont val="Calibri"/>
            <family val="2"/>
            <scheme val="minor"/>
          </rPr>
          <t>YULIED.PENARANDA:
Describir los objetivo específico del proyecto, como se definió en la formulación del proyecto</t>
        </r>
      </text>
    </comment>
    <comment ref="C241" authorId="0" shapeId="0" xr:uid="{00000000-0006-0000-0500-000041000000}">
      <text>
        <r>
          <rPr>
            <sz val="11"/>
            <rFont val="Calibri"/>
            <family val="2"/>
            <scheme val="minor"/>
          </rPr>
          <t>YULIED.PENARANDA:
Describir los productos del proyecto, como se definió en la formulación del proyecto y de acuerdo con el catálogo de productos DNP</t>
        </r>
      </text>
    </comment>
    <comment ref="D241" authorId="0" shapeId="0" xr:uid="{00000000-0006-0000-0500-000042000000}">
      <text>
        <r>
          <rPr>
            <sz val="11"/>
            <rFont val="Calibri"/>
            <family val="2"/>
            <scheme val="minor"/>
          </rPr>
          <t xml:space="preserve">YULIED.PENARANDA:
Nombre completo del indicador. Expresión verbal, precisa y concreta del patrón de evaluación. </t>
        </r>
      </text>
    </comment>
    <comment ref="E241" authorId="0" shapeId="0" xr:uid="{00000000-0006-0000-0500-000043000000}">
      <text>
        <r>
          <rPr>
            <sz val="11"/>
            <rFont val="Calibri"/>
            <family val="2"/>
            <scheme val="minor"/>
          </rPr>
          <t xml:space="preserve">YULIED.PENARANDA:
Unidad cualitativa del indicador, define las características de la magnitud a realizar seguimiento. Eje: Hectáreas, estrategias, modelos, etc. </t>
        </r>
      </text>
    </comment>
    <comment ref="F241" authorId="0" shapeId="0" xr:uid="{00000000-0006-0000-0500-000044000000}">
      <text>
        <r>
          <rPr>
            <sz val="11"/>
            <rFont val="Calibri"/>
            <family val="2"/>
            <scheme val="minor"/>
          </rPr>
          <t>YULIED.PENARANDA:
Ponderación del indicador se realiza de acuerdo al peso que cada producto tiene en el caso total del proyecto.</t>
        </r>
      </text>
    </comment>
    <comment ref="G241" authorId="0" shapeId="0" xr:uid="{00000000-0006-0000-0500-000045000000}">
      <text>
        <r>
          <rPr>
            <sz val="11"/>
            <rFont val="Calibri"/>
            <family val="2"/>
            <scheme val="minor"/>
          </rPr>
          <t>YULIED.PENARANDA:
Nombre completo de la Meta  del Plan de Desarrollo, como se relaciona en el de gestión</t>
        </r>
      </text>
    </comment>
    <comment ref="N241" authorId="0" shapeId="0" xr:uid="{00000000-0006-0000-0500-000046000000}">
      <text>
        <r>
          <rPr>
            <sz val="11"/>
            <rFont val="Calibri"/>
            <family val="2"/>
            <scheme val="minor"/>
          </rPr>
          <t>YULIED.PENARANDA:
Descripción concreta del avance, máximo de caracteres 200</t>
        </r>
      </text>
    </comment>
    <comment ref="A250" authorId="0" shapeId="0" xr:uid="{00000000-0006-0000-0500-000047000000}">
      <text>
        <r>
          <rPr>
            <sz val="11"/>
            <rFont val="Calibri"/>
            <family val="2"/>
            <scheme val="minor"/>
          </rPr>
          <t>YULIED.PENARANDA:
Avance productos e indicadores de productos (según cadena de valor)
NOTA: Desagregar cuadro cuantas veces tenga productos y/o indicadores asociados</t>
        </r>
      </text>
    </comment>
    <comment ref="A251" authorId="0" shapeId="0" xr:uid="{00000000-0006-0000-0500-000048000000}">
      <text>
        <r>
          <rPr>
            <sz val="11"/>
            <rFont val="Calibri"/>
            <family val="2"/>
            <scheme val="minor"/>
          </rPr>
          <t>YULIED.PENARANDA:
Vigencia a reportar</t>
        </r>
      </text>
    </comment>
    <comment ref="B251" authorId="0" shapeId="0" xr:uid="{00000000-0006-0000-0500-000049000000}">
      <text>
        <r>
          <rPr>
            <sz val="11"/>
            <rFont val="Calibri"/>
            <family val="2"/>
            <scheme val="minor"/>
          </rPr>
          <t>YULIED.PENARANDA:
Describir los objetivo específico del proyecto, como se definió en la formulación del proyecto</t>
        </r>
      </text>
    </comment>
    <comment ref="C251" authorId="0" shapeId="0" xr:uid="{00000000-0006-0000-0500-00004A000000}">
      <text>
        <r>
          <rPr>
            <sz val="11"/>
            <rFont val="Calibri"/>
            <family val="2"/>
            <scheme val="minor"/>
          </rPr>
          <t>YULIED.PENARANDA:
Describir los productos del proyecto, como se definió en la formulación del proyecto y de acuerdo con el catálogo de productos DNP</t>
        </r>
      </text>
    </comment>
    <comment ref="D251" authorId="0" shapeId="0" xr:uid="{00000000-0006-0000-0500-00004B000000}">
      <text>
        <r>
          <rPr>
            <sz val="11"/>
            <rFont val="Calibri"/>
            <family val="2"/>
            <scheme val="minor"/>
          </rPr>
          <t xml:space="preserve">YULIED.PENARANDA:
Nombre completo del indicador. Expresión verbal, precisa y concreta del patrón de evaluación. </t>
        </r>
      </text>
    </comment>
    <comment ref="E251" authorId="0" shapeId="0" xr:uid="{00000000-0006-0000-0500-00004C000000}">
      <text>
        <r>
          <rPr>
            <sz val="11"/>
            <rFont val="Calibri"/>
            <family val="2"/>
            <scheme val="minor"/>
          </rPr>
          <t xml:space="preserve">YULIED.PENARANDA:
Unidad cualitativa del indicador, define las características de la magnitud a realizar seguimiento. Eje: Hectáreas, estrategias, modelos, etc. </t>
        </r>
      </text>
    </comment>
    <comment ref="F251" authorId="0" shapeId="0" xr:uid="{00000000-0006-0000-0500-00004D000000}">
      <text>
        <r>
          <rPr>
            <sz val="11"/>
            <rFont val="Calibri"/>
            <family val="2"/>
            <scheme val="minor"/>
          </rPr>
          <t>YULIED.PENARANDA:
Ponderación del indicador se realiza de acuerdo al peso que cada producto tiene en el caso total del proyecto.</t>
        </r>
      </text>
    </comment>
    <comment ref="G251" authorId="0" shapeId="0" xr:uid="{00000000-0006-0000-0500-00004E000000}">
      <text>
        <r>
          <rPr>
            <sz val="11"/>
            <rFont val="Calibri"/>
            <family val="2"/>
            <scheme val="minor"/>
          </rPr>
          <t>YULIED.PENARANDA:
Nombre completo de la Meta  del Plan de Desarrollo, como se relaciona en el de gestión</t>
        </r>
      </text>
    </comment>
    <comment ref="N251" authorId="0" shapeId="0" xr:uid="{00000000-0006-0000-0500-00004F000000}">
      <text>
        <r>
          <rPr>
            <sz val="11"/>
            <rFont val="Calibri"/>
            <family val="2"/>
            <scheme val="minor"/>
          </rPr>
          <t>YULIED.PENARANDA:
Descripción concreta del avance, máximo de caracteres 200</t>
        </r>
      </text>
    </comment>
    <comment ref="A266" authorId="0" shapeId="0" xr:uid="{00000000-0006-0000-0500-000050000000}">
      <text>
        <r>
          <rPr>
            <sz val="11"/>
            <rFont val="Calibri"/>
            <family val="2"/>
            <scheme val="minor"/>
          </rPr>
          <t>YULIED.PENARANDA:
Vigencia a reportar</t>
        </r>
      </text>
    </comment>
    <comment ref="B266" authorId="0" shapeId="0" xr:uid="{00000000-0006-0000-0500-000051000000}">
      <text>
        <r>
          <rPr>
            <sz val="11"/>
            <rFont val="Calibri"/>
            <family val="2"/>
            <scheme val="minor"/>
          </rPr>
          <t>YULIED.PENARANDA:
Describir los objetivo específico del proyecto, como se definió en la formulación del proyecto</t>
        </r>
      </text>
    </comment>
    <comment ref="C266" authorId="0" shapeId="0" xr:uid="{00000000-0006-0000-0500-000052000000}">
      <text>
        <r>
          <rPr>
            <sz val="11"/>
            <rFont val="Calibri"/>
            <family val="2"/>
            <scheme val="minor"/>
          </rPr>
          <t>YULIED.PENARANDA:
Describir los productos del proyecto, como se definió en la formulación del proyecto y de acuerdo con el catálogo de productos DNP</t>
        </r>
      </text>
    </comment>
    <comment ref="D266" authorId="0" shapeId="0" xr:uid="{00000000-0006-0000-0500-000053000000}">
      <text>
        <r>
          <rPr>
            <sz val="11"/>
            <rFont val="Calibri"/>
            <family val="2"/>
            <scheme val="minor"/>
          </rPr>
          <t xml:space="preserve">YULIED.PENARANDA:
Nombre completo del indicador. Expresión verbal, precisa y concreta del patrón de evaluación. </t>
        </r>
      </text>
    </comment>
    <comment ref="E266" authorId="0" shapeId="0" xr:uid="{00000000-0006-0000-0500-000054000000}">
      <text>
        <r>
          <rPr>
            <sz val="11"/>
            <rFont val="Calibri"/>
            <family val="2"/>
            <scheme val="minor"/>
          </rPr>
          <t xml:space="preserve">YULIED.PENARANDA:
Unidad cualitativa del indicador, define las características de la magnitud a realizar seguimiento. Eje: Hectáreas, estrategias, modelos, etc. </t>
        </r>
      </text>
    </comment>
    <comment ref="F266" authorId="0" shapeId="0" xr:uid="{00000000-0006-0000-0500-000055000000}">
      <text>
        <r>
          <rPr>
            <sz val="11"/>
            <rFont val="Calibri"/>
            <family val="2"/>
            <scheme val="minor"/>
          </rPr>
          <t>YULIED.PENARANDA:
Ponderación del indicador se realiza de acuerdo al peso que cada producto tiene en el caso total del proyecto.</t>
        </r>
      </text>
    </comment>
    <comment ref="G266" authorId="0" shapeId="0" xr:uid="{00000000-0006-0000-0500-000056000000}">
      <text>
        <r>
          <rPr>
            <sz val="11"/>
            <rFont val="Calibri"/>
            <family val="2"/>
            <scheme val="minor"/>
          </rPr>
          <t>YULIED.PENARANDA:
Nombre completo de la Meta  del Plan de Desarrollo, como se relaciona en el de gestión</t>
        </r>
      </text>
    </comment>
    <comment ref="N266" authorId="0" shapeId="0" xr:uid="{00000000-0006-0000-0500-000057000000}">
      <text>
        <r>
          <rPr>
            <sz val="11"/>
            <rFont val="Calibri"/>
            <family val="2"/>
            <scheme val="minor"/>
          </rPr>
          <t>YULIED.PENARANDA:
Descripción concreta del avance, máximo de caracteres 200</t>
        </r>
      </text>
    </comment>
    <comment ref="A281" authorId="0" shapeId="0" xr:uid="{00000000-0006-0000-0500-000058000000}">
      <text>
        <r>
          <rPr>
            <sz val="11"/>
            <rFont val="Calibri"/>
            <family val="2"/>
            <scheme val="minor"/>
          </rPr>
          <t>YULIED.PENARANDA:
Vigencia a reportar</t>
        </r>
      </text>
    </comment>
    <comment ref="B281" authorId="0" shapeId="0" xr:uid="{00000000-0006-0000-0500-000059000000}">
      <text>
        <r>
          <rPr>
            <sz val="11"/>
            <rFont val="Calibri"/>
            <family val="2"/>
            <scheme val="minor"/>
          </rPr>
          <t>YULIED.PENARANDA:
Describir los objetivo específico del proyecto, como se definió en la formulación del proyecto</t>
        </r>
      </text>
    </comment>
    <comment ref="C281" authorId="0" shapeId="0" xr:uid="{00000000-0006-0000-0500-00005A000000}">
      <text>
        <r>
          <rPr>
            <sz val="11"/>
            <rFont val="Calibri"/>
            <family val="2"/>
            <scheme val="minor"/>
          </rPr>
          <t>YULIED.PENARANDA:
Describir los productos del proyecto, como se definió en la formulación del proyecto y de acuerdo con el catálogo de productos DNP</t>
        </r>
      </text>
    </comment>
    <comment ref="D281" authorId="0" shapeId="0" xr:uid="{00000000-0006-0000-0500-00005B000000}">
      <text>
        <r>
          <rPr>
            <sz val="11"/>
            <rFont val="Calibri"/>
            <family val="2"/>
            <scheme val="minor"/>
          </rPr>
          <t xml:space="preserve">YULIED.PENARANDA:
Nombre completo del indicador. Expresión verbal, precisa y concreta del patrón de evaluación. </t>
        </r>
      </text>
    </comment>
    <comment ref="E281" authorId="0" shapeId="0" xr:uid="{00000000-0006-0000-0500-00005C000000}">
      <text>
        <r>
          <rPr>
            <sz val="11"/>
            <rFont val="Calibri"/>
            <family val="2"/>
            <scheme val="minor"/>
          </rPr>
          <t xml:space="preserve">YULIED.PENARANDA:
Unidad cualitativa del indicador, define las características de la magnitud a realizar seguimiento. Eje: Hectáreas, estrategias, modelos, etc. </t>
        </r>
      </text>
    </comment>
    <comment ref="F281" authorId="0" shapeId="0" xr:uid="{00000000-0006-0000-0500-00005D000000}">
      <text>
        <r>
          <rPr>
            <sz val="11"/>
            <rFont val="Calibri"/>
            <family val="2"/>
            <scheme val="minor"/>
          </rPr>
          <t>YULIED.PENARANDA:
Ponderación del indicador se realiza de acuerdo al peso que cada producto tiene en el caso total del proyecto.</t>
        </r>
      </text>
    </comment>
    <comment ref="G281" authorId="0" shapeId="0" xr:uid="{00000000-0006-0000-0500-00005E000000}">
      <text>
        <r>
          <rPr>
            <sz val="11"/>
            <rFont val="Calibri"/>
            <family val="2"/>
            <scheme val="minor"/>
          </rPr>
          <t>YULIED.PENARANDA:
Nombre completo de la Meta  del Plan de Desarrollo, como se relaciona en el de gestión</t>
        </r>
      </text>
    </comment>
    <comment ref="N281" authorId="0" shapeId="0" xr:uid="{00000000-0006-0000-0500-00005F000000}">
      <text>
        <r>
          <rPr>
            <sz val="11"/>
            <rFont val="Calibri"/>
            <family val="2"/>
            <scheme val="minor"/>
          </rPr>
          <t>YULIED.PENARANDA:
Descripción concreta del avance, máximo de caracteres 200</t>
        </r>
      </text>
    </comment>
    <comment ref="A296" authorId="0" shapeId="0" xr:uid="{00000000-0006-0000-0500-000060000000}">
      <text>
        <r>
          <rPr>
            <sz val="11"/>
            <rFont val="Calibri"/>
            <family val="2"/>
            <scheme val="minor"/>
          </rPr>
          <t>YULIED.PENARANDA:
Vigencia a reportar</t>
        </r>
      </text>
    </comment>
    <comment ref="B296" authorId="0" shapeId="0" xr:uid="{00000000-0006-0000-0500-000061000000}">
      <text>
        <r>
          <rPr>
            <sz val="11"/>
            <rFont val="Calibri"/>
            <family val="2"/>
            <scheme val="minor"/>
          </rPr>
          <t>YULIED.PENARANDA:
Describir los objetivo específico del proyecto, como se definió en la formulación del proyecto</t>
        </r>
      </text>
    </comment>
    <comment ref="C296" authorId="0" shapeId="0" xr:uid="{00000000-0006-0000-0500-000062000000}">
      <text>
        <r>
          <rPr>
            <sz val="11"/>
            <rFont val="Calibri"/>
            <family val="2"/>
            <scheme val="minor"/>
          </rPr>
          <t>YULIED.PENARANDA:
Describir los productos del proyecto, como se definió en la formulación del proyecto y de acuerdo con el catálogo de productos DNP</t>
        </r>
      </text>
    </comment>
    <comment ref="D296" authorId="0" shapeId="0" xr:uid="{00000000-0006-0000-0500-000063000000}">
      <text>
        <r>
          <rPr>
            <sz val="11"/>
            <rFont val="Calibri"/>
            <family val="2"/>
            <scheme val="minor"/>
          </rPr>
          <t xml:space="preserve">YULIED.PENARANDA:
Nombre completo del indicador. Expresión verbal, precisa y concreta del patrón de evaluación. </t>
        </r>
      </text>
    </comment>
    <comment ref="E296" authorId="0" shapeId="0" xr:uid="{00000000-0006-0000-0500-000064000000}">
      <text>
        <r>
          <rPr>
            <sz val="11"/>
            <rFont val="Calibri"/>
            <family val="2"/>
            <scheme val="minor"/>
          </rPr>
          <t xml:space="preserve">YULIED.PENARANDA:
Unidad cualitativa del indicador, define las características de la magnitud a realizar seguimiento. Eje: Hectáreas, estrategias, modelos, etc. </t>
        </r>
      </text>
    </comment>
    <comment ref="F296" authorId="0" shapeId="0" xr:uid="{00000000-0006-0000-0500-000065000000}">
      <text>
        <r>
          <rPr>
            <sz val="11"/>
            <rFont val="Calibri"/>
            <family val="2"/>
            <scheme val="minor"/>
          </rPr>
          <t>YULIED.PENARANDA:
Ponderación del indicador se realiza de acuerdo al peso que cada producto tiene en el caso total del proyecto.</t>
        </r>
      </text>
    </comment>
    <comment ref="G296" authorId="0" shapeId="0" xr:uid="{00000000-0006-0000-0500-000066000000}">
      <text>
        <r>
          <rPr>
            <sz val="11"/>
            <rFont val="Calibri"/>
            <family val="2"/>
            <scheme val="minor"/>
          </rPr>
          <t>YULIED.PENARANDA:
Nombre completo de la Meta  del Plan de Desarrollo, como se relaciona en el de gestión</t>
        </r>
      </text>
    </comment>
    <comment ref="N296" authorId="0" shapeId="0" xr:uid="{00000000-0006-0000-0500-000067000000}">
      <text>
        <r>
          <rPr>
            <sz val="11"/>
            <rFont val="Calibri"/>
            <family val="2"/>
            <scheme val="minor"/>
          </rPr>
          <t>YULIED.PENARANDA:
Descripción concreta del avance, máximo de caracteres 200</t>
        </r>
      </text>
    </comment>
    <comment ref="A311" authorId="0" shapeId="0" xr:uid="{00000000-0006-0000-0500-000068000000}">
      <text>
        <r>
          <rPr>
            <sz val="11"/>
            <rFont val="Calibri"/>
            <family val="2"/>
            <scheme val="minor"/>
          </rPr>
          <t>YULIED.PENARANDA:
Avance productos e indicadores de productos (según cadena de valor)
NOTA: Desagregar cuadro cuantas veces tenga productos y/o indicadores asociados</t>
        </r>
      </text>
    </comment>
    <comment ref="A312" authorId="0" shapeId="0" xr:uid="{00000000-0006-0000-0500-000069000000}">
      <text>
        <r>
          <rPr>
            <sz val="11"/>
            <rFont val="Calibri"/>
            <family val="2"/>
            <scheme val="minor"/>
          </rPr>
          <t>YULIED.PENARANDA:
Vigencia a reportar</t>
        </r>
      </text>
    </comment>
    <comment ref="B312" authorId="0" shapeId="0" xr:uid="{00000000-0006-0000-0500-00006A000000}">
      <text>
        <r>
          <rPr>
            <sz val="11"/>
            <rFont val="Calibri"/>
            <family val="2"/>
            <scheme val="minor"/>
          </rPr>
          <t>YULIED.PENARANDA:
Describir los objetivo específico del proyecto, como se definió en la formulación del proyecto</t>
        </r>
      </text>
    </comment>
    <comment ref="C312" authorId="0" shapeId="0" xr:uid="{00000000-0006-0000-0500-00006B000000}">
      <text>
        <r>
          <rPr>
            <sz val="11"/>
            <rFont val="Calibri"/>
            <family val="2"/>
            <scheme val="minor"/>
          </rPr>
          <t>YULIED.PENARANDA:
Describir los productos del proyecto, como se definió en la formulación del proyecto y de acuerdo con el catálogo de productos DNP</t>
        </r>
      </text>
    </comment>
    <comment ref="D312" authorId="0" shapeId="0" xr:uid="{00000000-0006-0000-0500-00006C000000}">
      <text>
        <r>
          <rPr>
            <sz val="11"/>
            <rFont val="Calibri"/>
            <family val="2"/>
            <scheme val="minor"/>
          </rPr>
          <t xml:space="preserve">YULIED.PENARANDA:
Nombre completo del indicador. Expresión verbal, precisa y concreta del patrón de evaluación. </t>
        </r>
      </text>
    </comment>
    <comment ref="E312" authorId="0" shapeId="0" xr:uid="{00000000-0006-0000-0500-00006D000000}">
      <text>
        <r>
          <rPr>
            <sz val="11"/>
            <rFont val="Calibri"/>
            <family val="2"/>
            <scheme val="minor"/>
          </rPr>
          <t xml:space="preserve">YULIED.PENARANDA:
Unidad cualitativa del indicador, define las características de la magnitud a realizar seguimiento. Eje: Hectáreas, estrategias, modelos, etc. </t>
        </r>
      </text>
    </comment>
    <comment ref="F312" authorId="0" shapeId="0" xr:uid="{00000000-0006-0000-0500-00006E000000}">
      <text>
        <r>
          <rPr>
            <sz val="11"/>
            <rFont val="Calibri"/>
            <family val="2"/>
            <scheme val="minor"/>
          </rPr>
          <t>YULIED.PENARANDA:
Ponderación del indicador se realiza de acuerdo al peso que cada producto tiene en el caso total del proyecto.</t>
        </r>
      </text>
    </comment>
    <comment ref="G312" authorId="0" shapeId="0" xr:uid="{00000000-0006-0000-0500-00006F000000}">
      <text>
        <r>
          <rPr>
            <sz val="11"/>
            <rFont val="Calibri"/>
            <family val="2"/>
            <scheme val="minor"/>
          </rPr>
          <t>YULIED.PENARANDA:
Nombre completo de la Meta  del Plan de Desarrollo, como se relaciona en el de gestión</t>
        </r>
      </text>
    </comment>
    <comment ref="N312" authorId="0" shapeId="0" xr:uid="{00000000-0006-0000-0500-000070000000}">
      <text>
        <r>
          <rPr>
            <sz val="11"/>
            <rFont val="Calibri"/>
            <family val="2"/>
            <scheme val="minor"/>
          </rPr>
          <t>YULIED.PENARANDA:
Descripción concreta del avance, máximo de caracteres 200</t>
        </r>
      </text>
    </comment>
    <comment ref="A327" authorId="0" shapeId="0" xr:uid="{00000000-0006-0000-0500-000071000000}">
      <text>
        <r>
          <rPr>
            <sz val="11"/>
            <rFont val="Calibri"/>
            <family val="2"/>
            <scheme val="minor"/>
          </rPr>
          <t>YULIED.PENARANDA:
Vigencia a reportar</t>
        </r>
      </text>
    </comment>
    <comment ref="B327" authorId="0" shapeId="0" xr:uid="{00000000-0006-0000-0500-000072000000}">
      <text>
        <r>
          <rPr>
            <sz val="11"/>
            <rFont val="Calibri"/>
            <family val="2"/>
            <scheme val="minor"/>
          </rPr>
          <t>YULIED.PENARANDA:
Describir los objetivo específico del proyecto, como se definió en la formulación del proyecto</t>
        </r>
      </text>
    </comment>
    <comment ref="C327" authorId="0" shapeId="0" xr:uid="{00000000-0006-0000-0500-000073000000}">
      <text>
        <r>
          <rPr>
            <sz val="11"/>
            <rFont val="Calibri"/>
            <family val="2"/>
            <scheme val="minor"/>
          </rPr>
          <t>YULIED.PENARANDA:
Describir los productos del proyecto, como se definió en la formulación del proyecto y de acuerdo con el catálogo de productos DNP</t>
        </r>
      </text>
    </comment>
    <comment ref="D327" authorId="0" shapeId="0" xr:uid="{00000000-0006-0000-0500-000074000000}">
      <text>
        <r>
          <rPr>
            <sz val="11"/>
            <rFont val="Calibri"/>
            <family val="2"/>
            <scheme val="minor"/>
          </rPr>
          <t xml:space="preserve">YULIED.PENARANDA:
Nombre completo del indicador. Expresión verbal, precisa y concreta del patrón de evaluación. </t>
        </r>
      </text>
    </comment>
    <comment ref="E327" authorId="0" shapeId="0" xr:uid="{00000000-0006-0000-0500-000075000000}">
      <text>
        <r>
          <rPr>
            <sz val="11"/>
            <rFont val="Calibri"/>
            <family val="2"/>
            <scheme val="minor"/>
          </rPr>
          <t xml:space="preserve">YULIED.PENARANDA:
Unidad cualitativa del indicador, define las características de la magnitud a realizar seguimiento. Eje: Hectáreas, estrategias, modelos, etc. </t>
        </r>
      </text>
    </comment>
    <comment ref="F327" authorId="0" shapeId="0" xr:uid="{00000000-0006-0000-0500-000076000000}">
      <text>
        <r>
          <rPr>
            <sz val="11"/>
            <rFont val="Calibri"/>
            <family val="2"/>
            <scheme val="minor"/>
          </rPr>
          <t>YULIED.PENARANDA:
Ponderación del indicador se realiza de acuerdo al peso que cada producto tiene en el caso total del proyecto.</t>
        </r>
      </text>
    </comment>
    <comment ref="G327" authorId="0" shapeId="0" xr:uid="{00000000-0006-0000-0500-000077000000}">
      <text>
        <r>
          <rPr>
            <sz val="11"/>
            <rFont val="Calibri"/>
            <family val="2"/>
            <scheme val="minor"/>
          </rPr>
          <t>YULIED.PENARANDA:
Nombre completo de la Meta  del Plan de Desarrollo, como se relaciona en el de gestión</t>
        </r>
      </text>
    </comment>
    <comment ref="N327" authorId="0" shapeId="0" xr:uid="{00000000-0006-0000-0500-000078000000}">
      <text>
        <r>
          <rPr>
            <sz val="11"/>
            <rFont val="Calibri"/>
            <family val="2"/>
            <scheme val="minor"/>
          </rPr>
          <t>YULIED.PENARANDA:
Descripción concreta del avance, máximo de caracteres 200</t>
        </r>
      </text>
    </comment>
    <comment ref="A342" authorId="0" shapeId="0" xr:uid="{00000000-0006-0000-0500-000079000000}">
      <text>
        <r>
          <rPr>
            <sz val="11"/>
            <rFont val="Calibri"/>
            <family val="2"/>
            <scheme val="minor"/>
          </rPr>
          <t>YULIED.PENARANDA:
Vigencia a reportar</t>
        </r>
      </text>
    </comment>
    <comment ref="B342" authorId="0" shapeId="0" xr:uid="{00000000-0006-0000-0500-00007A000000}">
      <text>
        <r>
          <rPr>
            <sz val="11"/>
            <rFont val="Calibri"/>
            <family val="2"/>
            <scheme val="minor"/>
          </rPr>
          <t>YULIED.PENARANDA:
Describir los objetivo específico del proyecto, como se definió en la formulación del proyecto</t>
        </r>
      </text>
    </comment>
    <comment ref="C342" authorId="0" shapeId="0" xr:uid="{00000000-0006-0000-0500-00007B000000}">
      <text>
        <r>
          <rPr>
            <sz val="11"/>
            <rFont val="Calibri"/>
            <family val="2"/>
            <scheme val="minor"/>
          </rPr>
          <t>YULIED.PENARANDA:
Describir los productos del proyecto, como se definió en la formulación del proyecto y de acuerdo con el catálogo de productos DNP</t>
        </r>
      </text>
    </comment>
    <comment ref="D342" authorId="0" shapeId="0" xr:uid="{00000000-0006-0000-0500-00007C000000}">
      <text>
        <r>
          <rPr>
            <sz val="11"/>
            <rFont val="Calibri"/>
            <family val="2"/>
            <scheme val="minor"/>
          </rPr>
          <t xml:space="preserve">YULIED.PENARANDA:
Nombre completo del indicador. Expresión verbal, precisa y concreta del patrón de evaluación. </t>
        </r>
      </text>
    </comment>
    <comment ref="E342" authorId="0" shapeId="0" xr:uid="{00000000-0006-0000-0500-00007D000000}">
      <text>
        <r>
          <rPr>
            <sz val="11"/>
            <rFont val="Calibri"/>
            <family val="2"/>
            <scheme val="minor"/>
          </rPr>
          <t xml:space="preserve">YULIED.PENARANDA:
Unidad cualitativa del indicador, define las características de la magnitud a realizar seguimiento. Eje: Hectáreas, estrategias, modelos, etc. </t>
        </r>
      </text>
    </comment>
    <comment ref="F342" authorId="0" shapeId="0" xr:uid="{00000000-0006-0000-0500-00007E000000}">
      <text>
        <r>
          <rPr>
            <sz val="11"/>
            <rFont val="Calibri"/>
            <family val="2"/>
            <scheme val="minor"/>
          </rPr>
          <t>YULIED.PENARANDA:
Ponderación del indicador se realiza de acuerdo al peso que cada producto tiene en el caso total del proyecto.</t>
        </r>
      </text>
    </comment>
    <comment ref="G342" authorId="0" shapeId="0" xr:uid="{00000000-0006-0000-0500-00007F000000}">
      <text>
        <r>
          <rPr>
            <sz val="11"/>
            <rFont val="Calibri"/>
            <family val="2"/>
            <scheme val="minor"/>
          </rPr>
          <t>YULIED.PENARANDA:
Nombre completo de la Meta  del Plan de Desarrollo, como se relaciona en el de gestión</t>
        </r>
      </text>
    </comment>
    <comment ref="N342" authorId="0" shapeId="0" xr:uid="{00000000-0006-0000-0500-000080000000}">
      <text>
        <r>
          <rPr>
            <sz val="11"/>
            <rFont val="Calibri"/>
            <family val="2"/>
            <scheme val="minor"/>
          </rPr>
          <t>YULIED.PENARANDA:
Descripción concreta del avance, máximo de caracteres 200</t>
        </r>
      </text>
    </comment>
    <comment ref="A357" authorId="0" shapeId="0" xr:uid="{00000000-0006-0000-0500-000081000000}">
      <text>
        <r>
          <rPr>
            <sz val="11"/>
            <rFont val="Calibri"/>
            <family val="2"/>
            <scheme val="minor"/>
          </rPr>
          <t>YULIED.PENARANDA:
Vigencia a reportar</t>
        </r>
      </text>
    </comment>
    <comment ref="B357" authorId="0" shapeId="0" xr:uid="{00000000-0006-0000-0500-000082000000}">
      <text>
        <r>
          <rPr>
            <sz val="11"/>
            <rFont val="Calibri"/>
            <family val="2"/>
            <scheme val="minor"/>
          </rPr>
          <t>YULIED.PENARANDA:
Describir los objetivo específico del proyecto, como se definió en la formulación del proyecto</t>
        </r>
      </text>
    </comment>
    <comment ref="C357" authorId="0" shapeId="0" xr:uid="{00000000-0006-0000-0500-000083000000}">
      <text>
        <r>
          <rPr>
            <sz val="11"/>
            <rFont val="Calibri"/>
            <family val="2"/>
            <scheme val="minor"/>
          </rPr>
          <t>YULIED.PENARANDA:
Describir los productos del proyecto, como se definió en la formulación del proyecto y de acuerdo con el catálogo de productos DNP</t>
        </r>
      </text>
    </comment>
    <comment ref="D357" authorId="0" shapeId="0" xr:uid="{00000000-0006-0000-0500-000084000000}">
      <text>
        <r>
          <rPr>
            <sz val="11"/>
            <rFont val="Calibri"/>
            <family val="2"/>
            <scheme val="minor"/>
          </rPr>
          <t xml:space="preserve">YULIED.PENARANDA:
Nombre completo del indicador. Expresión verbal, precisa y concreta del patrón de evaluación. </t>
        </r>
      </text>
    </comment>
    <comment ref="E357" authorId="0" shapeId="0" xr:uid="{00000000-0006-0000-0500-000085000000}">
      <text>
        <r>
          <rPr>
            <sz val="11"/>
            <rFont val="Calibri"/>
            <family val="2"/>
            <scheme val="minor"/>
          </rPr>
          <t xml:space="preserve">YULIED.PENARANDA:
Unidad cualitativa del indicador, define las características de la magnitud a realizar seguimiento. Eje: Hectáreas, estrategias, modelos, etc. </t>
        </r>
      </text>
    </comment>
    <comment ref="F357" authorId="0" shapeId="0" xr:uid="{00000000-0006-0000-0500-000086000000}">
      <text>
        <r>
          <rPr>
            <sz val="11"/>
            <rFont val="Calibri"/>
            <family val="2"/>
            <scheme val="minor"/>
          </rPr>
          <t>YULIED.PENARANDA:
Ponderación del indicador se realiza de acuerdo al peso que cada producto tiene en el caso total del proyecto.</t>
        </r>
      </text>
    </comment>
    <comment ref="G357" authorId="0" shapeId="0" xr:uid="{00000000-0006-0000-0500-000087000000}">
      <text>
        <r>
          <rPr>
            <sz val="11"/>
            <rFont val="Calibri"/>
            <family val="2"/>
            <scheme val="minor"/>
          </rPr>
          <t>YULIED.PENARANDA:
Nombre completo de la Meta  del Plan de Desarrollo, como se relaciona en el de gestión</t>
        </r>
      </text>
    </comment>
    <comment ref="N357" authorId="0" shapeId="0" xr:uid="{00000000-0006-0000-0500-000088000000}">
      <text>
        <r>
          <rPr>
            <sz val="11"/>
            <rFont val="Calibri"/>
            <family val="2"/>
            <scheme val="minor"/>
          </rPr>
          <t>YULIED.PENARANDA:
Descripción concreta del avance, máximo de caracteres 200</t>
        </r>
      </text>
    </comment>
    <comment ref="A372" authorId="0" shapeId="0" xr:uid="{00000000-0006-0000-0500-000089000000}">
      <text>
        <r>
          <rPr>
            <sz val="11"/>
            <rFont val="Calibri"/>
            <family val="2"/>
            <scheme val="minor"/>
          </rPr>
          <t>YULIED.PENARANDA:
Avance productos e indicadores de productos (según cadena de valor)
NOTA: Desagregar cuadro cuantas veces tenga productos y/o indicadores asociados</t>
        </r>
      </text>
    </comment>
    <comment ref="A373" authorId="0" shapeId="0" xr:uid="{00000000-0006-0000-0500-00008A000000}">
      <text>
        <r>
          <rPr>
            <sz val="11"/>
            <rFont val="Calibri"/>
            <family val="2"/>
            <scheme val="minor"/>
          </rPr>
          <t>YULIED.PENARANDA:
Vigencia a reportar</t>
        </r>
      </text>
    </comment>
    <comment ref="B373" authorId="0" shapeId="0" xr:uid="{00000000-0006-0000-0500-00008B000000}">
      <text>
        <r>
          <rPr>
            <sz val="11"/>
            <rFont val="Calibri"/>
            <family val="2"/>
            <scheme val="minor"/>
          </rPr>
          <t>YULIED.PENARANDA:
Describir los objetivo específico del proyecto, como se definió en la formulación del proyecto</t>
        </r>
      </text>
    </comment>
    <comment ref="C373" authorId="0" shapeId="0" xr:uid="{00000000-0006-0000-0500-00008C000000}">
      <text>
        <r>
          <rPr>
            <sz val="11"/>
            <rFont val="Calibri"/>
            <family val="2"/>
            <scheme val="minor"/>
          </rPr>
          <t>YULIED.PENARANDA:
Describir los productos del proyecto, como se definió en la formulación del proyecto y de acuerdo con el catálogo de productos DNP</t>
        </r>
      </text>
    </comment>
    <comment ref="D373" authorId="0" shapeId="0" xr:uid="{00000000-0006-0000-0500-00008D000000}">
      <text>
        <r>
          <rPr>
            <sz val="11"/>
            <rFont val="Calibri"/>
            <family val="2"/>
            <scheme val="minor"/>
          </rPr>
          <t xml:space="preserve">YULIED.PENARANDA:
Nombre completo del indicador. Expresión verbal, precisa y concreta del patrón de evaluación. </t>
        </r>
      </text>
    </comment>
    <comment ref="E373" authorId="0" shapeId="0" xr:uid="{00000000-0006-0000-0500-00008E000000}">
      <text>
        <r>
          <rPr>
            <sz val="11"/>
            <rFont val="Calibri"/>
            <family val="2"/>
            <scheme val="minor"/>
          </rPr>
          <t xml:space="preserve">YULIED.PENARANDA:
Unidad cualitativa del indicador, define las características de la magnitud a realizar seguimiento. Eje: Hectáreas, estrategias, modelos, etc. </t>
        </r>
      </text>
    </comment>
    <comment ref="F373" authorId="0" shapeId="0" xr:uid="{00000000-0006-0000-0500-00008F000000}">
      <text>
        <r>
          <rPr>
            <sz val="11"/>
            <rFont val="Calibri"/>
            <family val="2"/>
            <scheme val="minor"/>
          </rPr>
          <t>YULIED.PENARANDA:
Ponderación del indicador se realiza de acuerdo al peso que cada producto tiene en el caso total del proyecto.</t>
        </r>
      </text>
    </comment>
    <comment ref="G373" authorId="0" shapeId="0" xr:uid="{00000000-0006-0000-0500-000090000000}">
      <text>
        <r>
          <rPr>
            <sz val="11"/>
            <rFont val="Calibri"/>
            <family val="2"/>
            <scheme val="minor"/>
          </rPr>
          <t>YULIED.PENARANDA:
Nombre completo de la Meta  del Plan de Desarrollo, como se relaciona en el de gestión</t>
        </r>
      </text>
    </comment>
    <comment ref="N373" authorId="0" shapeId="0" xr:uid="{00000000-0006-0000-0500-000091000000}">
      <text>
        <r>
          <rPr>
            <sz val="11"/>
            <rFont val="Calibri"/>
            <family val="2"/>
            <scheme val="minor"/>
          </rPr>
          <t>YULIED.PENARANDA:
Descripción concreta del avance, máximo de caracteres 200</t>
        </r>
      </text>
    </comment>
    <comment ref="A388" authorId="0" shapeId="0" xr:uid="{00000000-0006-0000-0500-000092000000}">
      <text>
        <r>
          <rPr>
            <sz val="11"/>
            <rFont val="Calibri"/>
            <family val="2"/>
            <scheme val="minor"/>
          </rPr>
          <t>YULIED.PENARANDA:
Vigencia a reportar</t>
        </r>
      </text>
    </comment>
    <comment ref="B388" authorId="0" shapeId="0" xr:uid="{00000000-0006-0000-0500-000093000000}">
      <text>
        <r>
          <rPr>
            <sz val="11"/>
            <rFont val="Calibri"/>
            <family val="2"/>
            <scheme val="minor"/>
          </rPr>
          <t>YULIED.PENARANDA:
Describir los objetivo específico del proyecto, como se definió en la formulación del proyecto</t>
        </r>
      </text>
    </comment>
    <comment ref="C388" authorId="0" shapeId="0" xr:uid="{00000000-0006-0000-0500-000094000000}">
      <text>
        <r>
          <rPr>
            <sz val="11"/>
            <rFont val="Calibri"/>
            <family val="2"/>
            <scheme val="minor"/>
          </rPr>
          <t>YULIED.PENARANDA:
Describir los productos del proyecto, como se definió en la formulación del proyecto y de acuerdo con el catálogo de productos DNP</t>
        </r>
      </text>
    </comment>
    <comment ref="D388" authorId="0" shapeId="0" xr:uid="{00000000-0006-0000-0500-000095000000}">
      <text>
        <r>
          <rPr>
            <sz val="11"/>
            <rFont val="Calibri"/>
            <family val="2"/>
            <scheme val="minor"/>
          </rPr>
          <t xml:space="preserve">YULIED.PENARANDA:
Nombre completo del indicador. Expresión verbal, precisa y concreta del patrón de evaluación. </t>
        </r>
      </text>
    </comment>
    <comment ref="E388" authorId="0" shapeId="0" xr:uid="{00000000-0006-0000-0500-000096000000}">
      <text>
        <r>
          <rPr>
            <sz val="11"/>
            <rFont val="Calibri"/>
            <family val="2"/>
            <scheme val="minor"/>
          </rPr>
          <t xml:space="preserve">YULIED.PENARANDA:
Unidad cualitativa del indicador, define las características de la magnitud a realizar seguimiento. Eje: Hectáreas, estrategias, modelos, etc. </t>
        </r>
      </text>
    </comment>
    <comment ref="F388" authorId="0" shapeId="0" xr:uid="{00000000-0006-0000-0500-000097000000}">
      <text>
        <r>
          <rPr>
            <sz val="11"/>
            <rFont val="Calibri"/>
            <family val="2"/>
            <scheme val="minor"/>
          </rPr>
          <t>YULIED.PENARANDA:
Ponderación del indicador se realiza de acuerdo al peso que cada producto tiene en el caso total del proyecto.</t>
        </r>
      </text>
    </comment>
    <comment ref="G388" authorId="0" shapeId="0" xr:uid="{00000000-0006-0000-0500-000098000000}">
      <text>
        <r>
          <rPr>
            <sz val="11"/>
            <rFont val="Calibri"/>
            <family val="2"/>
            <scheme val="minor"/>
          </rPr>
          <t>YULIED.PENARANDA:
Nombre completo de la Meta  del Plan de Desarrollo, como se relaciona en el de gestión</t>
        </r>
      </text>
    </comment>
    <comment ref="N388" authorId="0" shapeId="0" xr:uid="{00000000-0006-0000-0500-000099000000}">
      <text>
        <r>
          <rPr>
            <sz val="11"/>
            <rFont val="Calibri"/>
            <family val="2"/>
            <scheme val="minor"/>
          </rPr>
          <t>YULIED.PENARANDA:
Descripción concreta del avance, máximo de caracteres 200</t>
        </r>
      </text>
    </comment>
    <comment ref="A403" authorId="0" shapeId="0" xr:uid="{00000000-0006-0000-0500-00009A000000}">
      <text>
        <r>
          <rPr>
            <sz val="11"/>
            <rFont val="Calibri"/>
            <family val="2"/>
            <scheme val="minor"/>
          </rPr>
          <t>YULIED.PENARANDA:
Vigencia a reportar</t>
        </r>
      </text>
    </comment>
    <comment ref="B403" authorId="0" shapeId="0" xr:uid="{00000000-0006-0000-0500-00009B000000}">
      <text>
        <r>
          <rPr>
            <sz val="11"/>
            <rFont val="Calibri"/>
            <family val="2"/>
            <scheme val="minor"/>
          </rPr>
          <t>YULIED.PENARANDA:
Describir los objetivo específico del proyecto, como se definió en la formulación del proyecto</t>
        </r>
      </text>
    </comment>
    <comment ref="C403" authorId="0" shapeId="0" xr:uid="{00000000-0006-0000-0500-00009C000000}">
      <text>
        <r>
          <rPr>
            <sz val="11"/>
            <rFont val="Calibri"/>
            <family val="2"/>
            <scheme val="minor"/>
          </rPr>
          <t>YULIED.PENARANDA:
Describir los productos del proyecto, como se definió en la formulación del proyecto y de acuerdo con el catálogo de productos DNP</t>
        </r>
      </text>
    </comment>
    <comment ref="D403" authorId="0" shapeId="0" xr:uid="{00000000-0006-0000-0500-00009D000000}">
      <text>
        <r>
          <rPr>
            <sz val="11"/>
            <rFont val="Calibri"/>
            <family val="2"/>
            <scheme val="minor"/>
          </rPr>
          <t xml:space="preserve">YULIED.PENARANDA:
Nombre completo del indicador. Expresión verbal, precisa y concreta del patrón de evaluación. </t>
        </r>
      </text>
    </comment>
    <comment ref="E403" authorId="0" shapeId="0" xr:uid="{00000000-0006-0000-0500-00009E000000}">
      <text>
        <r>
          <rPr>
            <sz val="11"/>
            <rFont val="Calibri"/>
            <family val="2"/>
            <scheme val="minor"/>
          </rPr>
          <t xml:space="preserve">YULIED.PENARANDA:
Unidad cualitativa del indicador, define las características de la magnitud a realizar seguimiento. Eje: Hectáreas, estrategias, modelos, etc. </t>
        </r>
      </text>
    </comment>
    <comment ref="F403" authorId="0" shapeId="0" xr:uid="{00000000-0006-0000-0500-00009F000000}">
      <text>
        <r>
          <rPr>
            <sz val="11"/>
            <rFont val="Calibri"/>
            <family val="2"/>
            <scheme val="minor"/>
          </rPr>
          <t>YULIED.PENARANDA:
Ponderación del indicador se realiza de acuerdo al peso que cada producto tiene en el caso total del proyecto.</t>
        </r>
      </text>
    </comment>
    <comment ref="G403" authorId="0" shapeId="0" xr:uid="{00000000-0006-0000-0500-0000A0000000}">
      <text>
        <r>
          <rPr>
            <sz val="11"/>
            <rFont val="Calibri"/>
            <family val="2"/>
            <scheme val="minor"/>
          </rPr>
          <t>YULIED.PENARANDA:
Nombre completo de la Meta  del Plan de Desarrollo, como se relaciona en el de gestión</t>
        </r>
      </text>
    </comment>
    <comment ref="N403" authorId="0" shapeId="0" xr:uid="{00000000-0006-0000-0500-0000A1000000}">
      <text>
        <r>
          <rPr>
            <sz val="11"/>
            <rFont val="Calibri"/>
            <family val="2"/>
            <scheme val="minor"/>
          </rPr>
          <t>YULIED.PENARANDA:
Descripción concreta del avance, máximo de caracteres 200</t>
        </r>
      </text>
    </comment>
    <comment ref="A418" authorId="0" shapeId="0" xr:uid="{00000000-0006-0000-0500-0000A2000000}">
      <text>
        <r>
          <rPr>
            <sz val="11"/>
            <rFont val="Calibri"/>
            <family val="2"/>
            <scheme val="minor"/>
          </rPr>
          <t>YULIED.PENARANDA:
Vigencia a reportar</t>
        </r>
      </text>
    </comment>
    <comment ref="B418" authorId="0" shapeId="0" xr:uid="{00000000-0006-0000-0500-0000A3000000}">
      <text>
        <r>
          <rPr>
            <sz val="11"/>
            <rFont val="Calibri"/>
            <family val="2"/>
            <scheme val="minor"/>
          </rPr>
          <t>YULIED.PENARANDA:
Describir los objetivo específico del proyecto, como se definió en la formulación del proyecto</t>
        </r>
      </text>
    </comment>
    <comment ref="C418" authorId="0" shapeId="0" xr:uid="{00000000-0006-0000-0500-0000A4000000}">
      <text>
        <r>
          <rPr>
            <sz val="11"/>
            <rFont val="Calibri"/>
            <family val="2"/>
            <scheme val="minor"/>
          </rPr>
          <t>YULIED.PENARANDA:
Describir los productos del proyecto, como se definió en la formulación del proyecto y de acuerdo con el catálogo de productos DNP</t>
        </r>
      </text>
    </comment>
    <comment ref="D418" authorId="0" shapeId="0" xr:uid="{00000000-0006-0000-0500-0000A5000000}">
      <text>
        <r>
          <rPr>
            <sz val="11"/>
            <rFont val="Calibri"/>
            <family val="2"/>
            <scheme val="minor"/>
          </rPr>
          <t xml:space="preserve">YULIED.PENARANDA:
Nombre completo del indicador. Expresión verbal, precisa y concreta del patrón de evaluación. </t>
        </r>
      </text>
    </comment>
    <comment ref="E418" authorId="0" shapeId="0" xr:uid="{00000000-0006-0000-0500-0000A6000000}">
      <text>
        <r>
          <rPr>
            <sz val="11"/>
            <rFont val="Calibri"/>
            <family val="2"/>
            <scheme val="minor"/>
          </rPr>
          <t xml:space="preserve">YULIED.PENARANDA:
Unidad cualitativa del indicador, define las características de la magnitud a realizar seguimiento. Eje: Hectáreas, estrategias, modelos, etc. </t>
        </r>
      </text>
    </comment>
    <comment ref="F418" authorId="0" shapeId="0" xr:uid="{00000000-0006-0000-0500-0000A7000000}">
      <text>
        <r>
          <rPr>
            <sz val="11"/>
            <rFont val="Calibri"/>
            <family val="2"/>
            <scheme val="minor"/>
          </rPr>
          <t>YULIED.PENARANDA:
Ponderación del indicador se realiza de acuerdo al peso que cada producto tiene en el caso total del proyecto.</t>
        </r>
      </text>
    </comment>
    <comment ref="G418" authorId="0" shapeId="0" xr:uid="{00000000-0006-0000-0500-0000A8000000}">
      <text>
        <r>
          <rPr>
            <sz val="11"/>
            <rFont val="Calibri"/>
            <family val="2"/>
            <scheme val="minor"/>
          </rPr>
          <t>YULIED.PENARANDA:
Nombre completo de la Meta  del Plan de Desarrollo, como se relaciona en el de gestión</t>
        </r>
      </text>
    </comment>
    <comment ref="N418" authorId="0" shapeId="0" xr:uid="{00000000-0006-0000-0500-0000A9000000}">
      <text>
        <r>
          <rPr>
            <sz val="11"/>
            <rFont val="Calibri"/>
            <family val="2"/>
            <scheme val="minor"/>
          </rPr>
          <t>YULIED.PENARANDA:
Descripción concreta del avance, máximo de caracteres 200</t>
        </r>
      </text>
    </comment>
    <comment ref="A431" authorId="0" shapeId="0" xr:uid="{00000000-0006-0000-0500-0000AA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432" authorId="0" shapeId="0" xr:uid="{00000000-0006-0000-0500-0000AB000000}">
      <text>
        <r>
          <rPr>
            <sz val="11"/>
            <rFont val="Calibri"/>
            <family val="2"/>
            <scheme val="minor"/>
          </rPr>
          <t>YULIED.PENARANDA:
Vigencia a reportar</t>
        </r>
      </text>
    </comment>
    <comment ref="B432" authorId="0" shapeId="0" xr:uid="{00000000-0006-0000-0500-0000AC000000}">
      <text>
        <r>
          <rPr>
            <sz val="11"/>
            <rFont val="Calibri"/>
            <family val="2"/>
            <scheme val="minor"/>
          </rPr>
          <t>YULIED.PENARANDA:
Describir los objetivo específico del proyecto, como se definió en la formulación del proyecto</t>
        </r>
      </text>
    </comment>
    <comment ref="C432" authorId="0" shapeId="0" xr:uid="{00000000-0006-0000-0500-0000AD000000}">
      <text>
        <r>
          <rPr>
            <sz val="11"/>
            <rFont val="Calibri"/>
            <family val="2"/>
            <scheme val="minor"/>
          </rPr>
          <t>YULIED.PENARANDA:
Describir los productos del proyecto, como se definió en la formulación del proyecto y de acuerdo con el catálogo de productos del DNP.</t>
        </r>
      </text>
    </comment>
    <comment ref="D432" authorId="0" shapeId="0" xr:uid="{00000000-0006-0000-0500-0000AE000000}">
      <text>
        <r>
          <rPr>
            <sz val="11"/>
            <rFont val="Calibri"/>
            <family val="2"/>
            <scheme val="minor"/>
          </rPr>
          <t xml:space="preserve">YULIED.PENARANDA:
Nombre completo del indicador. Expresión verbal, precisa y concreta del patrón de evaluación. </t>
        </r>
      </text>
    </comment>
    <comment ref="G432" authorId="0" shapeId="0" xr:uid="{00000000-0006-0000-0500-0000AF000000}">
      <text>
        <r>
          <rPr>
            <sz val="11"/>
            <rFont val="Calibri"/>
            <family val="2"/>
            <scheme val="minor"/>
          </rPr>
          <t>YULIED.PENARANDA:
Descripción concreta del avance, máximo de caracteres 200</t>
        </r>
      </text>
    </comment>
    <comment ref="A441" authorId="0" shapeId="0" xr:uid="{00000000-0006-0000-0500-0000B0000000}">
      <text>
        <r>
          <rPr>
            <sz val="11"/>
            <rFont val="Calibri"/>
            <family val="2"/>
            <scheme val="minor"/>
          </rPr>
          <t>YULIED.PENARANDA:
Vigencia a reportar</t>
        </r>
      </text>
    </comment>
    <comment ref="B441" authorId="0" shapeId="0" xr:uid="{00000000-0006-0000-0500-0000B1000000}">
      <text>
        <r>
          <rPr>
            <sz val="11"/>
            <rFont val="Calibri"/>
            <family val="2"/>
            <scheme val="minor"/>
          </rPr>
          <t>YULIED.PENARANDA:
Describir los objetivo específico del proyecto, como se definió en la formulación del proyecto</t>
        </r>
      </text>
    </comment>
    <comment ref="C441" authorId="0" shapeId="0" xr:uid="{00000000-0006-0000-0500-0000B2000000}">
      <text>
        <r>
          <rPr>
            <sz val="11"/>
            <rFont val="Calibri"/>
            <family val="2"/>
            <scheme val="minor"/>
          </rPr>
          <t>YULIED.PENARANDA:
Describir los productos del proyecto, como se definió en la formulación del proyecto y de acuerdo con el catálogo de productos del DNP.</t>
        </r>
      </text>
    </comment>
    <comment ref="D441" authorId="0" shapeId="0" xr:uid="{00000000-0006-0000-0500-0000B3000000}">
      <text>
        <r>
          <rPr>
            <sz val="11"/>
            <rFont val="Calibri"/>
            <family val="2"/>
            <scheme val="minor"/>
          </rPr>
          <t xml:space="preserve">YULIED.PENARANDA:
Nombre completo del indicador. Expresión verbal, precisa y concreta del patrón de evaluación. </t>
        </r>
      </text>
    </comment>
    <comment ref="G441" authorId="0" shapeId="0" xr:uid="{00000000-0006-0000-0500-0000B4000000}">
      <text>
        <r>
          <rPr>
            <sz val="11"/>
            <rFont val="Calibri"/>
            <family val="2"/>
            <scheme val="minor"/>
          </rPr>
          <t>YULIED.PENARANDA:
Descripción concreta del avance, máximo de caracteres 200</t>
        </r>
      </text>
    </comment>
    <comment ref="A450" authorId="0" shapeId="0" xr:uid="{00000000-0006-0000-0500-0000B5000000}">
      <text>
        <r>
          <rPr>
            <sz val="11"/>
            <rFont val="Calibri"/>
            <family val="2"/>
            <scheme val="minor"/>
          </rPr>
          <t>YULIED.PENARANDA:
Vigencia a reportar</t>
        </r>
      </text>
    </comment>
    <comment ref="B450" authorId="0" shapeId="0" xr:uid="{00000000-0006-0000-0500-0000B6000000}">
      <text>
        <r>
          <rPr>
            <sz val="11"/>
            <rFont val="Calibri"/>
            <family val="2"/>
            <scheme val="minor"/>
          </rPr>
          <t>YULIED.PENARANDA:
Describir los objetivo específico del proyecto, como se definió en la formulación del proyecto</t>
        </r>
      </text>
    </comment>
    <comment ref="C450" authorId="0" shapeId="0" xr:uid="{00000000-0006-0000-0500-0000B7000000}">
      <text>
        <r>
          <rPr>
            <sz val="11"/>
            <rFont val="Calibri"/>
            <family val="2"/>
            <scheme val="minor"/>
          </rPr>
          <t>YULIED.PENARANDA:
Describir los productos del proyecto, como se definió en la formulación del proyecto y de acuerdo con el catálogo de productos del DNP.</t>
        </r>
      </text>
    </comment>
    <comment ref="D450" authorId="0" shapeId="0" xr:uid="{00000000-0006-0000-0500-0000B8000000}">
      <text>
        <r>
          <rPr>
            <sz val="11"/>
            <rFont val="Calibri"/>
            <family val="2"/>
            <scheme val="minor"/>
          </rPr>
          <t xml:space="preserve">YULIED.PENARANDA:
Nombre completo del indicador. Expresión verbal, precisa y concreta del patrón de evaluación. </t>
        </r>
      </text>
    </comment>
    <comment ref="G450" authorId="0" shapeId="0" xr:uid="{00000000-0006-0000-0500-0000B9000000}">
      <text>
        <r>
          <rPr>
            <sz val="11"/>
            <rFont val="Calibri"/>
            <family val="2"/>
            <scheme val="minor"/>
          </rPr>
          <t>YULIED.PENARANDA:
Descripción concreta del avance, máximo de caracteres 200</t>
        </r>
      </text>
    </comment>
    <comment ref="A459" authorId="0" shapeId="0" xr:uid="{00000000-0006-0000-0500-0000BA000000}">
      <text>
        <r>
          <rPr>
            <sz val="11"/>
            <rFont val="Calibri"/>
            <family val="2"/>
            <scheme val="minor"/>
          </rPr>
          <t>YULIED.PENARANDA:
Vigencia a reportar</t>
        </r>
      </text>
    </comment>
    <comment ref="B459" authorId="0" shapeId="0" xr:uid="{00000000-0006-0000-0500-0000BB000000}">
      <text>
        <r>
          <rPr>
            <sz val="11"/>
            <rFont val="Calibri"/>
            <family val="2"/>
            <scheme val="minor"/>
          </rPr>
          <t>YULIED.PENARANDA:
Describir los objetivo específico del proyecto, como se definió en la formulación del proyecto</t>
        </r>
      </text>
    </comment>
    <comment ref="C459" authorId="0" shapeId="0" xr:uid="{00000000-0006-0000-0500-0000BC000000}">
      <text>
        <r>
          <rPr>
            <sz val="11"/>
            <rFont val="Calibri"/>
            <family val="2"/>
            <scheme val="minor"/>
          </rPr>
          <t>YULIED.PENARANDA:
Describir los productos del proyecto, como se definió en la formulación del proyecto y de acuerdo con el catálogo de productos del DNP.</t>
        </r>
      </text>
    </comment>
    <comment ref="D459" authorId="0" shapeId="0" xr:uid="{00000000-0006-0000-0500-0000BD000000}">
      <text>
        <r>
          <rPr>
            <sz val="11"/>
            <rFont val="Calibri"/>
            <family val="2"/>
            <scheme val="minor"/>
          </rPr>
          <t xml:space="preserve">YULIED.PENARANDA:
Nombre completo del indicador. Expresión verbal, precisa y concreta del patrón de evaluación. </t>
        </r>
      </text>
    </comment>
    <comment ref="G459" authorId="0" shapeId="0" xr:uid="{00000000-0006-0000-0500-0000BE000000}">
      <text>
        <r>
          <rPr>
            <sz val="11"/>
            <rFont val="Calibri"/>
            <family val="2"/>
            <scheme val="minor"/>
          </rPr>
          <t>YULIED.PENARANDA:
Descripción concreta del avance, máximo de caracteres 200</t>
        </r>
      </text>
    </comment>
    <comment ref="A467" authorId="0" shapeId="0" xr:uid="{00000000-0006-0000-0500-0000BF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468" authorId="0" shapeId="0" xr:uid="{00000000-0006-0000-0500-0000C0000000}">
      <text>
        <r>
          <rPr>
            <sz val="11"/>
            <rFont val="Calibri"/>
            <family val="2"/>
            <scheme val="minor"/>
          </rPr>
          <t>YULIED.PENARANDA:
Vigencia a reportar</t>
        </r>
      </text>
    </comment>
    <comment ref="B468" authorId="0" shapeId="0" xr:uid="{00000000-0006-0000-0500-0000C1000000}">
      <text>
        <r>
          <rPr>
            <sz val="11"/>
            <rFont val="Calibri"/>
            <family val="2"/>
            <scheme val="minor"/>
          </rPr>
          <t>YULIED.PENARANDA:
Describir los objetivo específico del proyecto, como se definió en la formulación del proyecto</t>
        </r>
      </text>
    </comment>
    <comment ref="C468" authorId="0" shapeId="0" xr:uid="{00000000-0006-0000-0500-0000C2000000}">
      <text>
        <r>
          <rPr>
            <sz val="11"/>
            <rFont val="Calibri"/>
            <family val="2"/>
            <scheme val="minor"/>
          </rPr>
          <t>YULIED.PENARANDA:
Describir los productos del proyecto, como se definió en la formulación del proyecto y de acuerdo con el catálogo de productos del DNP.</t>
        </r>
      </text>
    </comment>
    <comment ref="D468" authorId="0" shapeId="0" xr:uid="{00000000-0006-0000-0500-0000C3000000}">
      <text>
        <r>
          <rPr>
            <sz val="11"/>
            <rFont val="Calibri"/>
            <family val="2"/>
            <scheme val="minor"/>
          </rPr>
          <t xml:space="preserve">YULIED.PENARANDA:
Nombre completo del indicador. Expresión verbal, precisa y concreta del patrón de evaluación. </t>
        </r>
      </text>
    </comment>
    <comment ref="G468" authorId="0" shapeId="0" xr:uid="{00000000-0006-0000-0500-0000C4000000}">
      <text>
        <r>
          <rPr>
            <sz val="11"/>
            <rFont val="Calibri"/>
            <family val="2"/>
            <scheme val="minor"/>
          </rPr>
          <t>YULIED.PENARANDA:
Descripción concreta del avance, máximo de caracteres 200</t>
        </r>
      </text>
    </comment>
    <comment ref="A483" authorId="0" shapeId="0" xr:uid="{00000000-0006-0000-0500-0000C5000000}">
      <text>
        <r>
          <rPr>
            <sz val="11"/>
            <rFont val="Calibri"/>
            <family val="2"/>
            <scheme val="minor"/>
          </rPr>
          <t>YULIED.PENARANDA:
Vigencia a reportar</t>
        </r>
      </text>
    </comment>
    <comment ref="B483" authorId="0" shapeId="0" xr:uid="{00000000-0006-0000-0500-0000C6000000}">
      <text>
        <r>
          <rPr>
            <sz val="11"/>
            <rFont val="Calibri"/>
            <family val="2"/>
            <scheme val="minor"/>
          </rPr>
          <t>YULIED.PENARANDA:
Describir los objetivo específico del proyecto, como se definió en la formulación del proyecto</t>
        </r>
      </text>
    </comment>
    <comment ref="C483" authorId="0" shapeId="0" xr:uid="{00000000-0006-0000-0500-0000C7000000}">
      <text>
        <r>
          <rPr>
            <sz val="11"/>
            <rFont val="Calibri"/>
            <family val="2"/>
            <scheme val="minor"/>
          </rPr>
          <t>YULIED.PENARANDA:
Describir los productos del proyecto, como se definió en la formulación del proyecto y de acuerdo con el catálogo de productos del DNP.</t>
        </r>
      </text>
    </comment>
    <comment ref="D483" authorId="0" shapeId="0" xr:uid="{00000000-0006-0000-0500-0000C8000000}">
      <text>
        <r>
          <rPr>
            <sz val="11"/>
            <rFont val="Calibri"/>
            <family val="2"/>
            <scheme val="minor"/>
          </rPr>
          <t xml:space="preserve">YULIED.PENARANDA:
Nombre completo del indicador. Expresión verbal, precisa y concreta del patrón de evaluación. </t>
        </r>
      </text>
    </comment>
    <comment ref="G483" authorId="0" shapeId="0" xr:uid="{00000000-0006-0000-0500-0000C9000000}">
      <text>
        <r>
          <rPr>
            <sz val="11"/>
            <rFont val="Calibri"/>
            <family val="2"/>
            <scheme val="minor"/>
          </rPr>
          <t>YULIED.PENARANDA:
Descripción concreta del avance, máximo de caracteres 200</t>
        </r>
      </text>
    </comment>
    <comment ref="A498" authorId="0" shapeId="0" xr:uid="{00000000-0006-0000-0500-0000CA000000}">
      <text>
        <r>
          <rPr>
            <sz val="11"/>
            <rFont val="Calibri"/>
            <family val="2"/>
            <scheme val="minor"/>
          </rPr>
          <t>YULIED.PENARANDA:
Vigencia a reportar</t>
        </r>
      </text>
    </comment>
    <comment ref="B498" authorId="0" shapeId="0" xr:uid="{00000000-0006-0000-0500-0000CB000000}">
      <text>
        <r>
          <rPr>
            <sz val="11"/>
            <rFont val="Calibri"/>
            <family val="2"/>
            <scheme val="minor"/>
          </rPr>
          <t>YULIED.PENARANDA:
Describir los objetivo específico del proyecto, como se definió en la formulación del proyecto</t>
        </r>
      </text>
    </comment>
    <comment ref="C498" authorId="0" shapeId="0" xr:uid="{00000000-0006-0000-0500-0000CC000000}">
      <text>
        <r>
          <rPr>
            <sz val="11"/>
            <rFont val="Calibri"/>
            <family val="2"/>
            <scheme val="minor"/>
          </rPr>
          <t>YULIED.PENARANDA:
Describir los productos del proyecto, como se definió en la formulación del proyecto y de acuerdo con el catálogo de productos del DNP.</t>
        </r>
      </text>
    </comment>
    <comment ref="D498" authorId="0" shapeId="0" xr:uid="{00000000-0006-0000-0500-0000CD000000}">
      <text>
        <r>
          <rPr>
            <sz val="11"/>
            <rFont val="Calibri"/>
            <family val="2"/>
            <scheme val="minor"/>
          </rPr>
          <t xml:space="preserve">YULIED.PENARANDA:
Nombre completo del indicador. Expresión verbal, precisa y concreta del patrón de evaluación. </t>
        </r>
      </text>
    </comment>
    <comment ref="G498" authorId="0" shapeId="0" xr:uid="{00000000-0006-0000-0500-0000CE000000}">
      <text>
        <r>
          <rPr>
            <sz val="11"/>
            <rFont val="Calibri"/>
            <family val="2"/>
            <scheme val="minor"/>
          </rPr>
          <t>YULIED.PENARANDA:
Descripción concreta del avance, máximo de caracteres 200</t>
        </r>
      </text>
    </comment>
    <comment ref="A513" authorId="0" shapeId="0" xr:uid="{00000000-0006-0000-0500-0000CF000000}">
      <text>
        <r>
          <rPr>
            <sz val="11"/>
            <rFont val="Calibri"/>
            <family val="2"/>
            <scheme val="minor"/>
          </rPr>
          <t>YULIED.PENARANDA:
Vigencia a reportar</t>
        </r>
      </text>
    </comment>
    <comment ref="B513" authorId="0" shapeId="0" xr:uid="{00000000-0006-0000-0500-0000D0000000}">
      <text>
        <r>
          <rPr>
            <sz val="11"/>
            <rFont val="Calibri"/>
            <family val="2"/>
            <scheme val="minor"/>
          </rPr>
          <t>YULIED.PENARANDA:
Describir los objetivo específico del proyecto, como se definió en la formulación del proyecto</t>
        </r>
      </text>
    </comment>
    <comment ref="C513" authorId="0" shapeId="0" xr:uid="{00000000-0006-0000-0500-0000D1000000}">
      <text>
        <r>
          <rPr>
            <sz val="11"/>
            <rFont val="Calibri"/>
            <family val="2"/>
            <scheme val="minor"/>
          </rPr>
          <t>YULIED.PENARANDA:
Describir los productos del proyecto, como se definió en la formulación del proyecto y de acuerdo con el catálogo de productos del DNP.</t>
        </r>
      </text>
    </comment>
    <comment ref="D513" authorId="0" shapeId="0" xr:uid="{00000000-0006-0000-0500-0000D2000000}">
      <text>
        <r>
          <rPr>
            <sz val="11"/>
            <rFont val="Calibri"/>
            <family val="2"/>
            <scheme val="minor"/>
          </rPr>
          <t xml:space="preserve">YULIED.PENARANDA:
Nombre completo del indicador. Expresión verbal, precisa y concreta del patrón de evaluación. </t>
        </r>
      </text>
    </comment>
    <comment ref="G513" authorId="0" shapeId="0" xr:uid="{00000000-0006-0000-0500-0000D3000000}">
      <text>
        <r>
          <rPr>
            <sz val="11"/>
            <rFont val="Calibri"/>
            <family val="2"/>
            <scheme val="minor"/>
          </rPr>
          <t>YULIED.PENARANDA:
Descripción concreta del avance, máximo de caracteres 200</t>
        </r>
      </text>
    </comment>
    <comment ref="A528" authorId="0" shapeId="0" xr:uid="{00000000-0006-0000-0500-0000D4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529" authorId="0" shapeId="0" xr:uid="{00000000-0006-0000-0500-0000D5000000}">
      <text>
        <r>
          <rPr>
            <sz val="11"/>
            <rFont val="Calibri"/>
            <family val="2"/>
            <scheme val="minor"/>
          </rPr>
          <t>YULIED.PENARANDA:
Vigencia a reportar</t>
        </r>
      </text>
    </comment>
    <comment ref="B529" authorId="0" shapeId="0" xr:uid="{00000000-0006-0000-0500-0000D6000000}">
      <text>
        <r>
          <rPr>
            <sz val="11"/>
            <rFont val="Calibri"/>
            <family val="2"/>
            <scheme val="minor"/>
          </rPr>
          <t>YULIED.PENARANDA:
Describir los objetivo específico del proyecto, como se definió en la formulación del proyecto</t>
        </r>
      </text>
    </comment>
    <comment ref="C529" authorId="0" shapeId="0" xr:uid="{00000000-0006-0000-0500-0000D7000000}">
      <text>
        <r>
          <rPr>
            <sz val="11"/>
            <rFont val="Calibri"/>
            <family val="2"/>
            <scheme val="minor"/>
          </rPr>
          <t>YULIED.PENARANDA:
Describir los productos del proyecto, como se definió en la formulación del proyecto y de acuerdo con el catálogo de productos del DNP.</t>
        </r>
      </text>
    </comment>
    <comment ref="D529" authorId="0" shapeId="0" xr:uid="{00000000-0006-0000-0500-0000D8000000}">
      <text>
        <r>
          <rPr>
            <sz val="11"/>
            <rFont val="Calibri"/>
            <family val="2"/>
            <scheme val="minor"/>
          </rPr>
          <t xml:space="preserve">YULIED.PENARANDA:
Nombre completo del indicador. Expresión verbal, precisa y concreta del patrón de evaluación. </t>
        </r>
      </text>
    </comment>
    <comment ref="G529" authorId="0" shapeId="0" xr:uid="{00000000-0006-0000-0500-0000D9000000}">
      <text>
        <r>
          <rPr>
            <sz val="11"/>
            <rFont val="Calibri"/>
            <family val="2"/>
            <scheme val="minor"/>
          </rPr>
          <t>YULIED.PENARANDA:
Descripción concreta del avance, máximo de caracteres 200</t>
        </r>
      </text>
    </comment>
    <comment ref="A544" authorId="0" shapeId="0" xr:uid="{00000000-0006-0000-0500-0000DA000000}">
      <text>
        <r>
          <rPr>
            <sz val="11"/>
            <rFont val="Calibri"/>
            <family val="2"/>
            <scheme val="minor"/>
          </rPr>
          <t>YULIED.PENARANDA:
Vigencia a reportar</t>
        </r>
      </text>
    </comment>
    <comment ref="B544" authorId="0" shapeId="0" xr:uid="{00000000-0006-0000-0500-0000DB000000}">
      <text>
        <r>
          <rPr>
            <sz val="11"/>
            <rFont val="Calibri"/>
            <family val="2"/>
            <scheme val="minor"/>
          </rPr>
          <t>YULIED.PENARANDA:
Describir los objetivo específico del proyecto, como se definió en la formulación del proyecto</t>
        </r>
      </text>
    </comment>
    <comment ref="C544" authorId="0" shapeId="0" xr:uid="{00000000-0006-0000-0500-0000DC000000}">
      <text>
        <r>
          <rPr>
            <sz val="11"/>
            <rFont val="Calibri"/>
            <family val="2"/>
            <scheme val="minor"/>
          </rPr>
          <t>YULIED.PENARANDA:
Describir los productos del proyecto, como se definió en la formulación del proyecto y de acuerdo con el catálogo de productos del DNP.</t>
        </r>
      </text>
    </comment>
    <comment ref="D544" authorId="0" shapeId="0" xr:uid="{00000000-0006-0000-0500-0000DD000000}">
      <text>
        <r>
          <rPr>
            <sz val="11"/>
            <rFont val="Calibri"/>
            <family val="2"/>
            <scheme val="minor"/>
          </rPr>
          <t xml:space="preserve">YULIED.PENARANDA:
Nombre completo del indicador. Expresión verbal, precisa y concreta del patrón de evaluación. </t>
        </r>
      </text>
    </comment>
    <comment ref="G544" authorId="0" shapeId="0" xr:uid="{00000000-0006-0000-0500-0000DE000000}">
      <text>
        <r>
          <rPr>
            <sz val="11"/>
            <rFont val="Calibri"/>
            <family val="2"/>
            <scheme val="minor"/>
          </rPr>
          <t>YULIED.PENARANDA:
Descripción concreta del avance, máximo de caracteres 200</t>
        </r>
      </text>
    </comment>
    <comment ref="A559" authorId="0" shapeId="0" xr:uid="{00000000-0006-0000-0500-0000DF000000}">
      <text>
        <r>
          <rPr>
            <sz val="11"/>
            <rFont val="Calibri"/>
            <family val="2"/>
            <scheme val="minor"/>
          </rPr>
          <t>YULIED.PENARANDA:
Vigencia a reportar</t>
        </r>
      </text>
    </comment>
    <comment ref="B559" authorId="0" shapeId="0" xr:uid="{00000000-0006-0000-0500-0000E0000000}">
      <text>
        <r>
          <rPr>
            <sz val="11"/>
            <rFont val="Calibri"/>
            <family val="2"/>
            <scheme val="minor"/>
          </rPr>
          <t>YULIED.PENARANDA:
Describir los objetivo específico del proyecto, como se definió en la formulación del proyecto</t>
        </r>
      </text>
    </comment>
    <comment ref="C559" authorId="0" shapeId="0" xr:uid="{00000000-0006-0000-0500-0000E1000000}">
      <text>
        <r>
          <rPr>
            <sz val="11"/>
            <rFont val="Calibri"/>
            <family val="2"/>
            <scheme val="minor"/>
          </rPr>
          <t>YULIED.PENARANDA:
Describir los productos del proyecto, como se definió en la formulación del proyecto y de acuerdo con el catálogo de productos del DNP.</t>
        </r>
      </text>
    </comment>
    <comment ref="D559" authorId="0" shapeId="0" xr:uid="{00000000-0006-0000-0500-0000E2000000}">
      <text>
        <r>
          <rPr>
            <sz val="11"/>
            <rFont val="Calibri"/>
            <family val="2"/>
            <scheme val="minor"/>
          </rPr>
          <t xml:space="preserve">YULIED.PENARANDA:
Nombre completo del indicador. Expresión verbal, precisa y concreta del patrón de evaluación. </t>
        </r>
      </text>
    </comment>
    <comment ref="G559" authorId="0" shapeId="0" xr:uid="{00000000-0006-0000-0500-0000E3000000}">
      <text>
        <r>
          <rPr>
            <sz val="11"/>
            <rFont val="Calibri"/>
            <family val="2"/>
            <scheme val="minor"/>
          </rPr>
          <t>YULIED.PENARANDA:
Descripción concreta del avance, máximo de caracteres 200</t>
        </r>
      </text>
    </comment>
    <comment ref="A574" authorId="0" shapeId="0" xr:uid="{00000000-0006-0000-0500-0000E4000000}">
      <text>
        <r>
          <rPr>
            <sz val="11"/>
            <rFont val="Calibri"/>
            <family val="2"/>
            <scheme val="minor"/>
          </rPr>
          <t>YULIED.PENARANDA:
Vigencia a reportar</t>
        </r>
      </text>
    </comment>
    <comment ref="B574" authorId="0" shapeId="0" xr:uid="{00000000-0006-0000-0500-0000E5000000}">
      <text>
        <r>
          <rPr>
            <sz val="11"/>
            <rFont val="Calibri"/>
            <family val="2"/>
            <scheme val="minor"/>
          </rPr>
          <t>YULIED.PENARANDA:
Describir los objetivo específico del proyecto, como se definió en la formulación del proyecto</t>
        </r>
      </text>
    </comment>
    <comment ref="C574" authorId="0" shapeId="0" xr:uid="{00000000-0006-0000-0500-0000E6000000}">
      <text>
        <r>
          <rPr>
            <sz val="11"/>
            <rFont val="Calibri"/>
            <family val="2"/>
            <scheme val="minor"/>
          </rPr>
          <t>YULIED.PENARANDA:
Describir los productos del proyecto, como se definió en la formulación del proyecto y de acuerdo con el catálogo de productos del DNP.</t>
        </r>
      </text>
    </comment>
    <comment ref="D574" authorId="0" shapeId="0" xr:uid="{00000000-0006-0000-0500-0000E7000000}">
      <text>
        <r>
          <rPr>
            <sz val="11"/>
            <rFont val="Calibri"/>
            <family val="2"/>
            <scheme val="minor"/>
          </rPr>
          <t xml:space="preserve">YULIED.PENARANDA:
Nombre completo del indicador. Expresión verbal, precisa y concreta del patrón de evaluación. </t>
        </r>
      </text>
    </comment>
    <comment ref="G574" authorId="0" shapeId="0" xr:uid="{00000000-0006-0000-0500-0000E8000000}">
      <text>
        <r>
          <rPr>
            <sz val="11"/>
            <rFont val="Calibri"/>
            <family val="2"/>
            <scheme val="minor"/>
          </rPr>
          <t>YULIED.PENARANDA:
Descripción concreta del avance, máximo de caracteres 200</t>
        </r>
      </text>
    </comment>
    <comment ref="A589" authorId="0" shapeId="0" xr:uid="{00000000-0006-0000-0500-0000E9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590" authorId="0" shapeId="0" xr:uid="{00000000-0006-0000-0500-0000EA000000}">
      <text>
        <r>
          <rPr>
            <sz val="11"/>
            <rFont val="Calibri"/>
            <family val="2"/>
            <scheme val="minor"/>
          </rPr>
          <t>YULIED.PENARANDA:
Vigencia a reportar</t>
        </r>
      </text>
    </comment>
    <comment ref="B590" authorId="0" shapeId="0" xr:uid="{00000000-0006-0000-0500-0000EB000000}">
      <text>
        <r>
          <rPr>
            <sz val="11"/>
            <rFont val="Calibri"/>
            <family val="2"/>
            <scheme val="minor"/>
          </rPr>
          <t>YULIED.PENARANDA:
Describir los objetivo específico del proyecto, como se definió en la formulación del proyecto</t>
        </r>
      </text>
    </comment>
    <comment ref="C590" authorId="0" shapeId="0" xr:uid="{00000000-0006-0000-0500-0000EC000000}">
      <text>
        <r>
          <rPr>
            <sz val="11"/>
            <rFont val="Calibri"/>
            <family val="2"/>
            <scheme val="minor"/>
          </rPr>
          <t>YULIED.PENARANDA:
Describir los productos del proyecto, como se definió en la formulación del proyecto y de acuerdo con el catálogo de productos del DNP.</t>
        </r>
      </text>
    </comment>
    <comment ref="D590" authorId="0" shapeId="0" xr:uid="{00000000-0006-0000-0500-0000ED000000}">
      <text>
        <r>
          <rPr>
            <sz val="11"/>
            <rFont val="Calibri"/>
            <family val="2"/>
            <scheme val="minor"/>
          </rPr>
          <t xml:space="preserve">YULIED.PENARANDA:
Nombre completo del indicador. Expresión verbal, precisa y concreta del patrón de evaluación. </t>
        </r>
      </text>
    </comment>
    <comment ref="G590" authorId="0" shapeId="0" xr:uid="{00000000-0006-0000-0500-0000EE000000}">
      <text>
        <r>
          <rPr>
            <sz val="11"/>
            <rFont val="Calibri"/>
            <family val="2"/>
            <scheme val="minor"/>
          </rPr>
          <t>YULIED.PENARANDA:
Descripción concreta del avance, máximo de caracteres 200</t>
        </r>
      </text>
    </comment>
    <comment ref="A605" authorId="0" shapeId="0" xr:uid="{00000000-0006-0000-0500-0000EF000000}">
      <text>
        <r>
          <rPr>
            <sz val="11"/>
            <rFont val="Calibri"/>
            <family val="2"/>
            <scheme val="minor"/>
          </rPr>
          <t>YULIED.PENARANDA:
Vigencia a reportar</t>
        </r>
      </text>
    </comment>
    <comment ref="B605" authorId="0" shapeId="0" xr:uid="{00000000-0006-0000-0500-0000F0000000}">
      <text>
        <r>
          <rPr>
            <sz val="11"/>
            <rFont val="Calibri"/>
            <family val="2"/>
            <scheme val="minor"/>
          </rPr>
          <t>YULIED.PENARANDA:
Describir los objetivo específico del proyecto, como se definió en la formulación del proyecto</t>
        </r>
      </text>
    </comment>
    <comment ref="C605" authorId="0" shapeId="0" xr:uid="{00000000-0006-0000-0500-0000F1000000}">
      <text>
        <r>
          <rPr>
            <sz val="11"/>
            <rFont val="Calibri"/>
            <family val="2"/>
            <scheme val="minor"/>
          </rPr>
          <t>YULIED.PENARANDA:
Describir los productos del proyecto, como se definió en la formulación del proyecto y de acuerdo con el catálogo de productos del DNP.</t>
        </r>
      </text>
    </comment>
    <comment ref="D605" authorId="0" shapeId="0" xr:uid="{00000000-0006-0000-0500-0000F2000000}">
      <text>
        <r>
          <rPr>
            <sz val="11"/>
            <rFont val="Calibri"/>
            <family val="2"/>
            <scheme val="minor"/>
          </rPr>
          <t xml:space="preserve">YULIED.PENARANDA:
Nombre completo del indicador. Expresión verbal, precisa y concreta del patrón de evaluación. </t>
        </r>
      </text>
    </comment>
    <comment ref="G605" authorId="0" shapeId="0" xr:uid="{00000000-0006-0000-0500-0000F3000000}">
      <text>
        <r>
          <rPr>
            <sz val="11"/>
            <rFont val="Calibri"/>
            <family val="2"/>
            <scheme val="minor"/>
          </rPr>
          <t>YULIED.PENARANDA:
Descripción concreta del avance, máximo de caracteres 200</t>
        </r>
      </text>
    </comment>
    <comment ref="A620" authorId="0" shapeId="0" xr:uid="{00000000-0006-0000-0500-0000F4000000}">
      <text>
        <r>
          <rPr>
            <sz val="11"/>
            <rFont val="Calibri"/>
            <family val="2"/>
            <scheme val="minor"/>
          </rPr>
          <t>YULIED.PENARANDA:
Vigencia a reportar</t>
        </r>
      </text>
    </comment>
    <comment ref="B620" authorId="0" shapeId="0" xr:uid="{00000000-0006-0000-0500-0000F5000000}">
      <text>
        <r>
          <rPr>
            <sz val="11"/>
            <rFont val="Calibri"/>
            <family val="2"/>
            <scheme val="minor"/>
          </rPr>
          <t>YULIED.PENARANDA:
Describir los objetivo específico del proyecto, como se definió en la formulación del proyecto</t>
        </r>
      </text>
    </comment>
    <comment ref="C620" authorId="0" shapeId="0" xr:uid="{00000000-0006-0000-0500-0000F6000000}">
      <text>
        <r>
          <rPr>
            <sz val="11"/>
            <rFont val="Calibri"/>
            <family val="2"/>
            <scheme val="minor"/>
          </rPr>
          <t>YULIED.PENARANDA:
Describir los productos del proyecto, como se definió en la formulación del proyecto y de acuerdo con el catálogo de productos del DNP.</t>
        </r>
      </text>
    </comment>
    <comment ref="D620" authorId="0" shapeId="0" xr:uid="{00000000-0006-0000-0500-0000F7000000}">
      <text>
        <r>
          <rPr>
            <sz val="11"/>
            <rFont val="Calibri"/>
            <family val="2"/>
            <scheme val="minor"/>
          </rPr>
          <t xml:space="preserve">YULIED.PENARANDA:
Nombre completo del indicador. Expresión verbal, precisa y concreta del patrón de evaluación. </t>
        </r>
      </text>
    </comment>
    <comment ref="G620" authorId="0" shapeId="0" xr:uid="{00000000-0006-0000-0500-0000F8000000}">
      <text>
        <r>
          <rPr>
            <sz val="11"/>
            <rFont val="Calibri"/>
            <family val="2"/>
            <scheme val="minor"/>
          </rPr>
          <t>YULIED.PENARANDA:
Descripción concreta del avance, máximo de caracteres 200</t>
        </r>
      </text>
    </comment>
    <comment ref="A635" authorId="0" shapeId="0" xr:uid="{00000000-0006-0000-0500-0000F9000000}">
      <text>
        <r>
          <rPr>
            <sz val="11"/>
            <rFont val="Calibri"/>
            <family val="2"/>
            <scheme val="minor"/>
          </rPr>
          <t>YULIED.PENARANDA:
Vigencia a reportar</t>
        </r>
      </text>
    </comment>
    <comment ref="B635" authorId="0" shapeId="0" xr:uid="{00000000-0006-0000-0500-0000FA000000}">
      <text>
        <r>
          <rPr>
            <sz val="11"/>
            <rFont val="Calibri"/>
            <family val="2"/>
            <scheme val="minor"/>
          </rPr>
          <t>YULIED.PENARANDA:
Describir los objetivo específico del proyecto, como se definió en la formulación del proyecto</t>
        </r>
      </text>
    </comment>
    <comment ref="C635" authorId="0" shapeId="0" xr:uid="{00000000-0006-0000-0500-0000FB000000}">
      <text>
        <r>
          <rPr>
            <sz val="11"/>
            <rFont val="Calibri"/>
            <family val="2"/>
            <scheme val="minor"/>
          </rPr>
          <t>YULIED.PENARANDA:
Describir los productos del proyecto, como se definió en la formulación del proyecto y de acuerdo con el catálogo de productos del DNP.</t>
        </r>
      </text>
    </comment>
    <comment ref="D635" authorId="0" shapeId="0" xr:uid="{00000000-0006-0000-0500-0000FC000000}">
      <text>
        <r>
          <rPr>
            <sz val="11"/>
            <rFont val="Calibri"/>
            <family val="2"/>
            <scheme val="minor"/>
          </rPr>
          <t xml:space="preserve">YULIED.PENARANDA:
Nombre completo del indicador. Expresión verbal, precisa y concreta del patrón de evaluación. </t>
        </r>
      </text>
    </comment>
    <comment ref="G635" authorId="0" shapeId="0" xr:uid="{00000000-0006-0000-0500-0000FD000000}">
      <text>
        <r>
          <rPr>
            <sz val="11"/>
            <rFont val="Calibri"/>
            <family val="2"/>
            <scheme val="minor"/>
          </rPr>
          <t>YULIED.PENARANDA:
Descripción concreta del avance, máximo de caracteres 200</t>
        </r>
      </text>
    </comment>
    <comment ref="A650" authorId="0" shapeId="0" xr:uid="{00000000-0006-0000-0500-0000FE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651" authorId="0" shapeId="0" xr:uid="{00000000-0006-0000-0500-0000FF000000}">
      <text>
        <r>
          <rPr>
            <sz val="11"/>
            <rFont val="Calibri"/>
            <family val="2"/>
            <scheme val="minor"/>
          </rPr>
          <t>YULIED.PENARANDA:
Vigencia a reportar</t>
        </r>
      </text>
    </comment>
    <comment ref="B651" authorId="0" shapeId="0" xr:uid="{00000000-0006-0000-0500-000000010000}">
      <text>
        <r>
          <rPr>
            <sz val="11"/>
            <rFont val="Calibri"/>
            <family val="2"/>
            <scheme val="minor"/>
          </rPr>
          <t>YULIED.PENARANDA:
Describir los objetivo específico del proyecto, como se definió en la formulación del proyecto</t>
        </r>
      </text>
    </comment>
    <comment ref="C651" authorId="0" shapeId="0" xr:uid="{00000000-0006-0000-0500-000001010000}">
      <text>
        <r>
          <rPr>
            <sz val="11"/>
            <rFont val="Calibri"/>
            <family val="2"/>
            <scheme val="minor"/>
          </rPr>
          <t>YULIED.PENARANDA:
Describir los productos del proyecto, como se definió en la formulación del proyecto y de acuerdo con el catálogo de productos del DNP.</t>
        </r>
      </text>
    </comment>
    <comment ref="D651" authorId="0" shapeId="0" xr:uid="{00000000-0006-0000-0500-000002010000}">
      <text>
        <r>
          <rPr>
            <sz val="11"/>
            <rFont val="Calibri"/>
            <family val="2"/>
            <scheme val="minor"/>
          </rPr>
          <t xml:space="preserve">YULIED.PENARANDA:
Nombre completo del indicador. Expresión verbal, precisa y concreta del patrón de evaluación. </t>
        </r>
      </text>
    </comment>
    <comment ref="G651" authorId="0" shapeId="0" xr:uid="{00000000-0006-0000-0500-000003010000}">
      <text>
        <r>
          <rPr>
            <sz val="11"/>
            <rFont val="Calibri"/>
            <family val="2"/>
            <scheme val="minor"/>
          </rPr>
          <t>YULIED.PENARANDA:
Descripción concreta del avance, máximo de caracteres 200</t>
        </r>
      </text>
    </comment>
    <comment ref="A666" authorId="0" shapeId="0" xr:uid="{00000000-0006-0000-0500-000004010000}">
      <text>
        <r>
          <rPr>
            <sz val="11"/>
            <rFont val="Calibri"/>
            <family val="2"/>
            <scheme val="minor"/>
          </rPr>
          <t>YULIED.PENARANDA:
Avance indicadores de gestión
NOTA: Desagregar cuadro cuantas veces tenga indicadores asociados</t>
        </r>
      </text>
    </comment>
    <comment ref="A667" authorId="0" shapeId="0" xr:uid="{00000000-0006-0000-0500-000005010000}">
      <text>
        <r>
          <rPr>
            <sz val="11"/>
            <rFont val="Calibri"/>
            <family val="2"/>
            <scheme val="minor"/>
          </rPr>
          <t>YULIED.PENARANDA:
Vigencia a reportar</t>
        </r>
      </text>
    </comment>
    <comment ref="B667" authorId="0" shapeId="0" xr:uid="{00000000-0006-0000-0500-000006010000}">
      <text>
        <r>
          <rPr>
            <sz val="11"/>
            <rFont val="Calibri"/>
            <family val="2"/>
            <scheme val="minor"/>
          </rPr>
          <t xml:space="preserve">YULIED.PENARANDA:
Nombre completo del indicador. Expresión verbal, precisa y concreta del patrón de evaluación. </t>
        </r>
      </text>
    </comment>
    <comment ref="C667" authorId="0" shapeId="0" xr:uid="{00000000-0006-0000-0500-000007010000}">
      <text>
        <r>
          <rPr>
            <sz val="11"/>
            <rFont val="Calibri"/>
            <family val="2"/>
            <scheme val="minor"/>
          </rPr>
          <t xml:space="preserve">YULIED.PENARANDA:
Unidad del indicador, define las características de la magnitud a realizar seguimiento. Eje: Hectáreas, estrategias, modelos, número etc. </t>
        </r>
      </text>
    </comment>
    <comment ref="D667" authorId="0" shapeId="0" xr:uid="{00000000-0006-0000-0500-000008010000}">
      <text>
        <r>
          <rPr>
            <sz val="11"/>
            <rFont val="Calibri"/>
            <family val="2"/>
            <scheme val="minor"/>
          </rPr>
          <t>YULIED.PENARANDA:
Peso porcentual de acuerdo con la distribución de los indicadores de gestión.</t>
        </r>
      </text>
    </comment>
    <comment ref="H667" authorId="0" shapeId="0" xr:uid="{00000000-0006-0000-0500-000009010000}">
      <text>
        <r>
          <rPr>
            <sz val="11"/>
            <rFont val="Calibri"/>
            <family val="2"/>
            <scheme val="minor"/>
          </rPr>
          <t>YULIED.PENARANDA:
Descripción concreta del avance, máximo de caracteres 200</t>
        </r>
      </text>
    </comment>
    <comment ref="A676" authorId="0" shapeId="0" xr:uid="{00000000-0006-0000-0500-00000A010000}">
      <text>
        <r>
          <rPr>
            <sz val="11"/>
            <rFont val="Calibri"/>
            <family val="2"/>
            <scheme val="minor"/>
          </rPr>
          <t>YULIED.PENARANDA:
Vigencia a reportar</t>
        </r>
      </text>
    </comment>
    <comment ref="B676" authorId="0" shapeId="0" xr:uid="{00000000-0006-0000-0500-00000B010000}">
      <text>
        <r>
          <rPr>
            <sz val="11"/>
            <rFont val="Calibri"/>
            <family val="2"/>
            <scheme val="minor"/>
          </rPr>
          <t xml:space="preserve">YULIED.PENARANDA:
Nombre completo del indicador. Expresión verbal, precisa y concreta del patrón de evaluación. </t>
        </r>
      </text>
    </comment>
    <comment ref="C676" authorId="0" shapeId="0" xr:uid="{00000000-0006-0000-0500-00000C010000}">
      <text>
        <r>
          <rPr>
            <sz val="11"/>
            <rFont val="Calibri"/>
            <family val="2"/>
            <scheme val="minor"/>
          </rPr>
          <t xml:space="preserve">YULIED.PENARANDA:
Unidad del indicador, define las características de la magnitud a realizar seguimiento. Eje: Hectáreas, estrategias, modelos, número etc. </t>
        </r>
      </text>
    </comment>
    <comment ref="D676" authorId="0" shapeId="0" xr:uid="{00000000-0006-0000-0500-00000D010000}">
      <text>
        <r>
          <rPr>
            <sz val="11"/>
            <rFont val="Calibri"/>
            <family val="2"/>
            <scheme val="minor"/>
          </rPr>
          <t>YULIED.PENARANDA:
Peso porcentual de acuerdo con la distribución de los indicadores de gestión.</t>
        </r>
      </text>
    </comment>
    <comment ref="H676" authorId="0" shapeId="0" xr:uid="{00000000-0006-0000-0500-00000E010000}">
      <text>
        <r>
          <rPr>
            <sz val="11"/>
            <rFont val="Calibri"/>
            <family val="2"/>
            <scheme val="minor"/>
          </rPr>
          <t>YULIED.PENARANDA:
Descripción concreta del avance, máximo de caracteres 200</t>
        </r>
      </text>
    </comment>
    <comment ref="A685" authorId="0" shapeId="0" xr:uid="{00000000-0006-0000-0500-00000F010000}">
      <text>
        <r>
          <rPr>
            <sz val="11"/>
            <rFont val="Calibri"/>
            <family val="2"/>
            <scheme val="minor"/>
          </rPr>
          <t>YULIED.PENARANDA:
Vigencia a reportar</t>
        </r>
      </text>
    </comment>
    <comment ref="B685" authorId="0" shapeId="0" xr:uid="{00000000-0006-0000-0500-000010010000}">
      <text>
        <r>
          <rPr>
            <sz val="11"/>
            <rFont val="Calibri"/>
            <family val="2"/>
            <scheme val="minor"/>
          </rPr>
          <t xml:space="preserve">YULIED.PENARANDA:
Nombre completo del indicador. Expresión verbal, precisa y concreta del patrón de evaluación. </t>
        </r>
      </text>
    </comment>
    <comment ref="C685" authorId="0" shapeId="0" xr:uid="{00000000-0006-0000-0500-000011010000}">
      <text>
        <r>
          <rPr>
            <sz val="11"/>
            <rFont val="Calibri"/>
            <family val="2"/>
            <scheme val="minor"/>
          </rPr>
          <t xml:space="preserve">YULIED.PENARANDA:
Unidad del indicador, define las características de la magnitud a realizar seguimiento. Eje: Hectáreas, estrategias, modelos, número etc. </t>
        </r>
      </text>
    </comment>
    <comment ref="D685" authorId="0" shapeId="0" xr:uid="{00000000-0006-0000-0500-000012010000}">
      <text>
        <r>
          <rPr>
            <sz val="11"/>
            <rFont val="Calibri"/>
            <family val="2"/>
            <scheme val="minor"/>
          </rPr>
          <t>YULIED.PENARANDA:
Peso porcentual de acuerdo con la distribución de los indicadores de gestión.</t>
        </r>
      </text>
    </comment>
    <comment ref="H685" authorId="0" shapeId="0" xr:uid="{00000000-0006-0000-0500-000013010000}">
      <text>
        <r>
          <rPr>
            <sz val="11"/>
            <rFont val="Calibri"/>
            <family val="2"/>
            <scheme val="minor"/>
          </rPr>
          <t>YULIED.PENARANDA:
Descripción concreta del avance, máximo de caracteres 200</t>
        </r>
      </text>
    </comment>
    <comment ref="A694" authorId="0" shapeId="0" xr:uid="{00000000-0006-0000-0500-000014010000}">
      <text>
        <r>
          <rPr>
            <sz val="11"/>
            <rFont val="Calibri"/>
            <family val="2"/>
            <scheme val="minor"/>
          </rPr>
          <t>YULIED.PENARANDA:
Vigencia a reportar</t>
        </r>
      </text>
    </comment>
    <comment ref="B694" authorId="0" shapeId="0" xr:uid="{00000000-0006-0000-0500-000015010000}">
      <text>
        <r>
          <rPr>
            <sz val="11"/>
            <rFont val="Calibri"/>
            <family val="2"/>
            <scheme val="minor"/>
          </rPr>
          <t xml:space="preserve">YULIED.PENARANDA:
Nombre completo del indicador. Expresión verbal, precisa y concreta del patrón de evaluación. </t>
        </r>
      </text>
    </comment>
    <comment ref="C694" authorId="0" shapeId="0" xr:uid="{00000000-0006-0000-0500-000016010000}">
      <text>
        <r>
          <rPr>
            <sz val="11"/>
            <rFont val="Calibri"/>
            <family val="2"/>
            <scheme val="minor"/>
          </rPr>
          <t xml:space="preserve">YULIED.PENARANDA:
Unidad del indicador, define las características de la magnitud a realizar seguimiento. Eje: Hectáreas, estrategias, modelos, número etc. </t>
        </r>
      </text>
    </comment>
    <comment ref="D694" authorId="0" shapeId="0" xr:uid="{00000000-0006-0000-0500-000017010000}">
      <text>
        <r>
          <rPr>
            <sz val="11"/>
            <rFont val="Calibri"/>
            <family val="2"/>
            <scheme val="minor"/>
          </rPr>
          <t>YULIED.PENARANDA:
Peso porcentual de acuerdo con la distribución de los indicadores de gestión.</t>
        </r>
      </text>
    </comment>
    <comment ref="H694" authorId="0" shapeId="0" xr:uid="{00000000-0006-0000-0500-000018010000}">
      <text>
        <r>
          <rPr>
            <sz val="11"/>
            <rFont val="Calibri"/>
            <family val="2"/>
            <scheme val="minor"/>
          </rPr>
          <t>YULIED.PENARANDA:
Descripción concreta del avance, máximo de caracteres 200</t>
        </r>
      </text>
    </comment>
    <comment ref="A703" authorId="0" shapeId="0" xr:uid="{00000000-0006-0000-0500-000019010000}">
      <text>
        <r>
          <rPr>
            <sz val="11"/>
            <rFont val="Calibri"/>
            <family val="2"/>
            <scheme val="minor"/>
          </rPr>
          <t>YULIED.PENARANDA:
Avance indicadores de gestión
NOTA: Desagregar cuadro cuantas veces tenga indicadores asociados</t>
        </r>
      </text>
    </comment>
    <comment ref="A704" authorId="0" shapeId="0" xr:uid="{00000000-0006-0000-0500-00001A010000}">
      <text>
        <r>
          <rPr>
            <sz val="11"/>
            <rFont val="Calibri"/>
            <family val="2"/>
            <scheme val="minor"/>
          </rPr>
          <t>YULIED.PENARANDA:
Vigencia a reportar</t>
        </r>
      </text>
    </comment>
    <comment ref="B704" authorId="0" shapeId="0" xr:uid="{00000000-0006-0000-0500-00001B010000}">
      <text>
        <r>
          <rPr>
            <sz val="11"/>
            <rFont val="Calibri"/>
            <family val="2"/>
            <scheme val="minor"/>
          </rPr>
          <t xml:space="preserve">YULIED.PENARANDA:
Nombre completo del indicador. Expresión verbal, precisa y concreta del patrón de evaluación. </t>
        </r>
      </text>
    </comment>
    <comment ref="C704" authorId="0" shapeId="0" xr:uid="{00000000-0006-0000-0500-00001C010000}">
      <text>
        <r>
          <rPr>
            <sz val="11"/>
            <rFont val="Calibri"/>
            <family val="2"/>
            <scheme val="minor"/>
          </rPr>
          <t xml:space="preserve">YULIED.PENARANDA:
Unidad del indicador, define las características de la magnitud a realizar seguimiento. Eje: Hectáreas, estrategias, modelos, número etc. </t>
        </r>
      </text>
    </comment>
    <comment ref="D704" authorId="0" shapeId="0" xr:uid="{00000000-0006-0000-0500-00001D010000}">
      <text>
        <r>
          <rPr>
            <sz val="11"/>
            <rFont val="Calibri"/>
            <family val="2"/>
            <scheme val="minor"/>
          </rPr>
          <t>YULIED.PENARANDA:
Peso porcentual de acuerdo con la distribución de los indicadores de gestión.</t>
        </r>
      </text>
    </comment>
    <comment ref="H704" authorId="0" shapeId="0" xr:uid="{00000000-0006-0000-0500-00001E010000}">
      <text>
        <r>
          <rPr>
            <sz val="11"/>
            <rFont val="Calibri"/>
            <family val="2"/>
            <scheme val="minor"/>
          </rPr>
          <t>YULIED.PENARANDA:
Descripción concreta del avance, máximo de caracteres 200</t>
        </r>
      </text>
    </comment>
    <comment ref="A719" authorId="0" shapeId="0" xr:uid="{00000000-0006-0000-0500-00001F010000}">
      <text>
        <r>
          <rPr>
            <sz val="11"/>
            <rFont val="Calibri"/>
            <family val="2"/>
            <scheme val="minor"/>
          </rPr>
          <t>YULIED.PENARANDA:
Vigencia a reportar</t>
        </r>
      </text>
    </comment>
    <comment ref="B719" authorId="0" shapeId="0" xr:uid="{00000000-0006-0000-0500-000020010000}">
      <text>
        <r>
          <rPr>
            <sz val="11"/>
            <rFont val="Calibri"/>
            <family val="2"/>
            <scheme val="minor"/>
          </rPr>
          <t xml:space="preserve">YULIED.PENARANDA:
Nombre completo del indicador. Expresión verbal, precisa y concreta del patrón de evaluación. </t>
        </r>
      </text>
    </comment>
    <comment ref="C719" authorId="0" shapeId="0" xr:uid="{00000000-0006-0000-0500-000021010000}">
      <text>
        <r>
          <rPr>
            <sz val="11"/>
            <rFont val="Calibri"/>
            <family val="2"/>
            <scheme val="minor"/>
          </rPr>
          <t xml:space="preserve">YULIED.PENARANDA:
Unidad del indicador, define las características de la magnitud a realizar seguimiento. Eje: Hectáreas, estrategias, modelos, número etc. </t>
        </r>
      </text>
    </comment>
    <comment ref="D719" authorId="0" shapeId="0" xr:uid="{00000000-0006-0000-0500-000022010000}">
      <text>
        <r>
          <rPr>
            <sz val="11"/>
            <rFont val="Calibri"/>
            <family val="2"/>
            <scheme val="minor"/>
          </rPr>
          <t>YULIED.PENARANDA:
Peso porcentual de acuerdo con la distribución de los indicadores de gestión.</t>
        </r>
      </text>
    </comment>
    <comment ref="H719" authorId="0" shapeId="0" xr:uid="{00000000-0006-0000-0500-000023010000}">
      <text>
        <r>
          <rPr>
            <sz val="11"/>
            <rFont val="Calibri"/>
            <family val="2"/>
            <scheme val="minor"/>
          </rPr>
          <t>YULIED.PENARANDA:
Descripción concreta del avance, máximo de caracteres 200</t>
        </r>
      </text>
    </comment>
    <comment ref="A734" authorId="0" shapeId="0" xr:uid="{00000000-0006-0000-0500-000024010000}">
      <text>
        <r>
          <rPr>
            <sz val="11"/>
            <rFont val="Calibri"/>
            <family val="2"/>
            <scheme val="minor"/>
          </rPr>
          <t>YULIED.PENARANDA:
Vigencia a reportar</t>
        </r>
      </text>
    </comment>
    <comment ref="B734" authorId="0" shapeId="0" xr:uid="{00000000-0006-0000-0500-000025010000}">
      <text>
        <r>
          <rPr>
            <sz val="11"/>
            <rFont val="Calibri"/>
            <family val="2"/>
            <scheme val="minor"/>
          </rPr>
          <t xml:space="preserve">YULIED.PENARANDA:
Nombre completo del indicador. Expresión verbal, precisa y concreta del patrón de evaluación. </t>
        </r>
      </text>
    </comment>
    <comment ref="C734" authorId="0" shapeId="0" xr:uid="{00000000-0006-0000-0500-000026010000}">
      <text>
        <r>
          <rPr>
            <sz val="11"/>
            <rFont val="Calibri"/>
            <family val="2"/>
            <scheme val="minor"/>
          </rPr>
          <t xml:space="preserve">YULIED.PENARANDA:
Unidad del indicador, define las características de la magnitud a realizar seguimiento. Eje: Hectáreas, estrategias, modelos, número etc. </t>
        </r>
      </text>
    </comment>
    <comment ref="D734" authorId="0" shapeId="0" xr:uid="{00000000-0006-0000-0500-000027010000}">
      <text>
        <r>
          <rPr>
            <sz val="11"/>
            <rFont val="Calibri"/>
            <family val="2"/>
            <scheme val="minor"/>
          </rPr>
          <t>YULIED.PENARANDA:
Peso porcentual de acuerdo con la distribución de los indicadores de gestión.</t>
        </r>
      </text>
    </comment>
    <comment ref="H734" authorId="0" shapeId="0" xr:uid="{00000000-0006-0000-0500-000028010000}">
      <text>
        <r>
          <rPr>
            <sz val="11"/>
            <rFont val="Calibri"/>
            <family val="2"/>
            <scheme val="minor"/>
          </rPr>
          <t>YULIED.PENARANDA:
Descripción concreta del avance, máximo de caracteres 200</t>
        </r>
      </text>
    </comment>
    <comment ref="A749" authorId="0" shapeId="0" xr:uid="{00000000-0006-0000-0500-000029010000}">
      <text>
        <r>
          <rPr>
            <sz val="11"/>
            <rFont val="Calibri"/>
            <family val="2"/>
            <scheme val="minor"/>
          </rPr>
          <t>YULIED.PENARANDA:
Vigencia a reportar</t>
        </r>
      </text>
    </comment>
    <comment ref="B749" authorId="0" shapeId="0" xr:uid="{00000000-0006-0000-0500-00002A010000}">
      <text>
        <r>
          <rPr>
            <sz val="11"/>
            <rFont val="Calibri"/>
            <family val="2"/>
            <scheme val="minor"/>
          </rPr>
          <t xml:space="preserve">YULIED.PENARANDA:
Nombre completo del indicador. Expresión verbal, precisa y concreta del patrón de evaluación. </t>
        </r>
      </text>
    </comment>
    <comment ref="C749" authorId="0" shapeId="0" xr:uid="{00000000-0006-0000-0500-00002B010000}">
      <text>
        <r>
          <rPr>
            <sz val="11"/>
            <rFont val="Calibri"/>
            <family val="2"/>
            <scheme val="minor"/>
          </rPr>
          <t xml:space="preserve">YULIED.PENARANDA:
Unidad del indicador, define las características de la magnitud a realizar seguimiento. Eje: Hectáreas, estrategias, modelos, número etc. </t>
        </r>
      </text>
    </comment>
    <comment ref="D749" authorId="0" shapeId="0" xr:uid="{00000000-0006-0000-0500-00002C010000}">
      <text>
        <r>
          <rPr>
            <sz val="11"/>
            <rFont val="Calibri"/>
            <family val="2"/>
            <scheme val="minor"/>
          </rPr>
          <t>YULIED.PENARANDA:
Peso porcentual de acuerdo con la distribución de los indicadores de gestión.</t>
        </r>
      </text>
    </comment>
    <comment ref="H749" authorId="0" shapeId="0" xr:uid="{00000000-0006-0000-0500-00002D010000}">
      <text>
        <r>
          <rPr>
            <sz val="11"/>
            <rFont val="Calibri"/>
            <family val="2"/>
            <scheme val="minor"/>
          </rPr>
          <t>YULIED.PENARANDA:
Descripción concreta del avance, máximo de caracteres 200</t>
        </r>
      </text>
    </comment>
    <comment ref="A764" authorId="0" shapeId="0" xr:uid="{00000000-0006-0000-0500-00002E010000}">
      <text>
        <r>
          <rPr>
            <sz val="11"/>
            <rFont val="Calibri"/>
            <family val="2"/>
            <scheme val="minor"/>
          </rPr>
          <t>YULIED.PENARANDA:
Avance indicadores de gestión.
NOTA: Desagregar cuadro cuantas veces tenga indicadores asociados</t>
        </r>
      </text>
    </comment>
    <comment ref="A765" authorId="0" shapeId="0" xr:uid="{00000000-0006-0000-0500-00002F010000}">
      <text>
        <r>
          <rPr>
            <sz val="11"/>
            <rFont val="Calibri"/>
            <family val="2"/>
            <scheme val="minor"/>
          </rPr>
          <t>YULIED.PENARANDA:
Vigencia a reportar</t>
        </r>
      </text>
    </comment>
    <comment ref="B765" authorId="0" shapeId="0" xr:uid="{00000000-0006-0000-0500-000030010000}">
      <text>
        <r>
          <rPr>
            <sz val="11"/>
            <rFont val="Calibri"/>
            <family val="2"/>
            <scheme val="minor"/>
          </rPr>
          <t xml:space="preserve">YULIED.PENARANDA:
Nombre completo del indicador. Expresión verbal, precisa y concreta del patrón de evaluación. </t>
        </r>
      </text>
    </comment>
    <comment ref="C765" authorId="0" shapeId="0" xr:uid="{00000000-0006-0000-0500-000031010000}">
      <text>
        <r>
          <rPr>
            <sz val="11"/>
            <rFont val="Calibri"/>
            <family val="2"/>
            <scheme val="minor"/>
          </rPr>
          <t xml:space="preserve">YULIED.PENARANDA:
Unidad del indicador, define las características de la magnitud a realizar seguimiento. Eje: Hectáreas, estrategias, modelos, número etc. </t>
        </r>
      </text>
    </comment>
    <comment ref="D765" authorId="0" shapeId="0" xr:uid="{00000000-0006-0000-0500-000032010000}">
      <text>
        <r>
          <rPr>
            <sz val="11"/>
            <rFont val="Calibri"/>
            <family val="2"/>
            <scheme val="minor"/>
          </rPr>
          <t>YULIED.PENARANDA:
Peso porcentual de acuerdo con la distribución de los indicadores de gestión.</t>
        </r>
      </text>
    </comment>
    <comment ref="H765" authorId="0" shapeId="0" xr:uid="{00000000-0006-0000-0500-000033010000}">
      <text>
        <r>
          <rPr>
            <sz val="11"/>
            <rFont val="Calibri"/>
            <family val="2"/>
            <scheme val="minor"/>
          </rPr>
          <t>YULIED.PENARANDA:
Descripción concreta del avance, máximo de caracteres 200</t>
        </r>
      </text>
    </comment>
    <comment ref="A780" authorId="0" shapeId="0" xr:uid="{00000000-0006-0000-0500-000034010000}">
      <text>
        <r>
          <rPr>
            <sz val="11"/>
            <rFont val="Calibri"/>
            <family val="2"/>
            <scheme val="minor"/>
          </rPr>
          <t>YULIED.PENARANDA:
Vigencia a reportar</t>
        </r>
      </text>
    </comment>
    <comment ref="B780" authorId="0" shapeId="0" xr:uid="{00000000-0006-0000-0500-000035010000}">
      <text>
        <r>
          <rPr>
            <sz val="11"/>
            <rFont val="Calibri"/>
            <family val="2"/>
            <scheme val="minor"/>
          </rPr>
          <t xml:space="preserve">YULIED.PENARANDA:
Nombre completo del indicador. Expresión verbal, precisa y concreta del patrón de evaluación. </t>
        </r>
      </text>
    </comment>
    <comment ref="C780" authorId="0" shapeId="0" xr:uid="{00000000-0006-0000-0500-000036010000}">
      <text>
        <r>
          <rPr>
            <sz val="11"/>
            <rFont val="Calibri"/>
            <family val="2"/>
            <scheme val="minor"/>
          </rPr>
          <t xml:space="preserve">YULIED.PENARANDA:
Unidad del indicador, define las características de la magnitud a realizar seguimiento. Eje: Hectáreas, estrategias, modelos, número etc. </t>
        </r>
      </text>
    </comment>
    <comment ref="D780" authorId="0" shapeId="0" xr:uid="{00000000-0006-0000-0500-000037010000}">
      <text>
        <r>
          <rPr>
            <sz val="11"/>
            <rFont val="Calibri"/>
            <family val="2"/>
            <scheme val="minor"/>
          </rPr>
          <t>YULIED.PENARANDA:
Peso porcentual de acuerdo con la distribución de los indicadores de gestión.</t>
        </r>
      </text>
    </comment>
    <comment ref="H780" authorId="0" shapeId="0" xr:uid="{00000000-0006-0000-0500-000038010000}">
      <text>
        <r>
          <rPr>
            <sz val="11"/>
            <rFont val="Calibri"/>
            <family val="2"/>
            <scheme val="minor"/>
          </rPr>
          <t>YULIED.PENARANDA:
Descripción concreta del avance, máximo de caracteres 200</t>
        </r>
      </text>
    </comment>
    <comment ref="A795" authorId="0" shapeId="0" xr:uid="{00000000-0006-0000-0500-000039010000}">
      <text>
        <r>
          <rPr>
            <sz val="11"/>
            <rFont val="Calibri"/>
            <family val="2"/>
            <scheme val="minor"/>
          </rPr>
          <t>YULIED.PENARANDA:
Vigencia a reportar</t>
        </r>
      </text>
    </comment>
    <comment ref="B795" authorId="0" shapeId="0" xr:uid="{00000000-0006-0000-0500-00003A010000}">
      <text>
        <r>
          <rPr>
            <sz val="11"/>
            <rFont val="Calibri"/>
            <family val="2"/>
            <scheme val="minor"/>
          </rPr>
          <t xml:space="preserve">YULIED.PENARANDA:
Nombre completo del indicador. Expresión verbal, precisa y concreta del patrón de evaluación. </t>
        </r>
      </text>
    </comment>
    <comment ref="C795" authorId="0" shapeId="0" xr:uid="{00000000-0006-0000-0500-00003B010000}">
      <text>
        <r>
          <rPr>
            <sz val="11"/>
            <rFont val="Calibri"/>
            <family val="2"/>
            <scheme val="minor"/>
          </rPr>
          <t xml:space="preserve">YULIED.PENARANDA:
Unidad del indicador, define las características de la magnitud a realizar seguimiento. Eje: Hectáreas, estrategias, modelos, número etc. </t>
        </r>
      </text>
    </comment>
    <comment ref="D795" authorId="0" shapeId="0" xr:uid="{00000000-0006-0000-0500-00003C010000}">
      <text>
        <r>
          <rPr>
            <sz val="11"/>
            <rFont val="Calibri"/>
            <family val="2"/>
            <scheme val="minor"/>
          </rPr>
          <t>YULIED.PENARANDA:
Peso porcentual de acuerdo con la distribución de los indicadores de gestión.</t>
        </r>
      </text>
    </comment>
    <comment ref="H795" authorId="0" shapeId="0" xr:uid="{00000000-0006-0000-0500-00003D010000}">
      <text>
        <r>
          <rPr>
            <sz val="11"/>
            <rFont val="Calibri"/>
            <family val="2"/>
            <scheme val="minor"/>
          </rPr>
          <t>YULIED.PENARANDA:
Descripción concreta del avance, máximo de caracteres 200</t>
        </r>
      </text>
    </comment>
    <comment ref="A810" authorId="0" shapeId="0" xr:uid="{00000000-0006-0000-0500-00003E010000}">
      <text>
        <r>
          <rPr>
            <sz val="11"/>
            <rFont val="Calibri"/>
            <family val="2"/>
            <scheme val="minor"/>
          </rPr>
          <t>YULIED.PENARANDA:
Vigencia a reportar</t>
        </r>
      </text>
    </comment>
    <comment ref="B810" authorId="0" shapeId="0" xr:uid="{00000000-0006-0000-0500-00003F010000}">
      <text>
        <r>
          <rPr>
            <sz val="11"/>
            <rFont val="Calibri"/>
            <family val="2"/>
            <scheme val="minor"/>
          </rPr>
          <t xml:space="preserve">YULIED.PENARANDA:
Nombre completo del indicador. Expresión verbal, precisa y concreta del patrón de evaluación. </t>
        </r>
      </text>
    </comment>
    <comment ref="C810" authorId="0" shapeId="0" xr:uid="{00000000-0006-0000-0500-000040010000}">
      <text>
        <r>
          <rPr>
            <sz val="11"/>
            <rFont val="Calibri"/>
            <family val="2"/>
            <scheme val="minor"/>
          </rPr>
          <t xml:space="preserve">YULIED.PENARANDA:
Unidad del indicador, define las características de la magnitud a realizar seguimiento. Eje: Hectáreas, estrategias, modelos, número etc. </t>
        </r>
      </text>
    </comment>
    <comment ref="D810" authorId="0" shapeId="0" xr:uid="{00000000-0006-0000-0500-000041010000}">
      <text>
        <r>
          <rPr>
            <sz val="11"/>
            <rFont val="Calibri"/>
            <family val="2"/>
            <scheme val="minor"/>
          </rPr>
          <t>YULIED.PENARANDA:
Peso porcentual de acuerdo con la distribución de los indicadores de gestión.</t>
        </r>
      </text>
    </comment>
    <comment ref="H810" authorId="0" shapeId="0" xr:uid="{00000000-0006-0000-0500-000042010000}">
      <text>
        <r>
          <rPr>
            <sz val="11"/>
            <rFont val="Calibri"/>
            <family val="2"/>
            <scheme val="minor"/>
          </rPr>
          <t>YULIED.PENARANDA:
Descripción concreta del avance, máximo de caracteres 200</t>
        </r>
      </text>
    </comment>
    <comment ref="A825" authorId="0" shapeId="0" xr:uid="{00000000-0006-0000-0500-000043010000}">
      <text>
        <r>
          <rPr>
            <sz val="11"/>
            <rFont val="Calibri"/>
            <family val="2"/>
            <scheme val="minor"/>
          </rPr>
          <t>YULIED.PENARANDA:
Avance indicadores de gestión.
NOTA: Desagregar cuadro cuantas veces tenga indicadores asociados</t>
        </r>
      </text>
    </comment>
    <comment ref="A826" authorId="0" shapeId="0" xr:uid="{00000000-0006-0000-0500-000044010000}">
      <text>
        <r>
          <rPr>
            <sz val="11"/>
            <rFont val="Calibri"/>
            <family val="2"/>
            <scheme val="minor"/>
          </rPr>
          <t>YULIED.PENARANDA:
Vigencia a reportar</t>
        </r>
      </text>
    </comment>
    <comment ref="B826" authorId="0" shapeId="0" xr:uid="{00000000-0006-0000-0500-000045010000}">
      <text>
        <r>
          <rPr>
            <sz val="11"/>
            <rFont val="Calibri"/>
            <family val="2"/>
            <scheme val="minor"/>
          </rPr>
          <t xml:space="preserve">YULIED.PENARANDA:
Nombre completo del indicador. Expresión verbal, precisa y concreta del patrón de evaluación. </t>
        </r>
      </text>
    </comment>
    <comment ref="C826" authorId="0" shapeId="0" xr:uid="{00000000-0006-0000-0500-000046010000}">
      <text>
        <r>
          <rPr>
            <sz val="11"/>
            <rFont val="Calibri"/>
            <family val="2"/>
            <scheme val="minor"/>
          </rPr>
          <t xml:space="preserve">YULIED.PENARANDA:
Unidad del indicador, define las características de la magnitud a realizar seguimiento. Eje: Hectáreas, estrategias, modelos, número etc. </t>
        </r>
      </text>
    </comment>
    <comment ref="D826" authorId="0" shapeId="0" xr:uid="{00000000-0006-0000-0500-000047010000}">
      <text>
        <r>
          <rPr>
            <sz val="11"/>
            <rFont val="Calibri"/>
            <family val="2"/>
            <scheme val="minor"/>
          </rPr>
          <t>YULIED.PENARANDA:
Ponderación del indicador se realiza de acuerdo al peso que cada producto tiene en el caso total del proyecto.</t>
        </r>
      </text>
    </comment>
    <comment ref="H826" authorId="0" shapeId="0" xr:uid="{00000000-0006-0000-0500-000048010000}">
      <text>
        <r>
          <rPr>
            <sz val="11"/>
            <rFont val="Calibri"/>
            <family val="2"/>
            <scheme val="minor"/>
          </rPr>
          <t>YULIED.PENARANDA:
Descripción concreta del avance, máximo de caracteres 200</t>
        </r>
      </text>
    </comment>
    <comment ref="A841" authorId="0" shapeId="0" xr:uid="{00000000-0006-0000-0500-000049010000}">
      <text>
        <r>
          <rPr>
            <sz val="11"/>
            <rFont val="Calibri"/>
            <family val="2"/>
            <scheme val="minor"/>
          </rPr>
          <t>YULIED.PENARANDA:
Vigencia a reportar</t>
        </r>
      </text>
    </comment>
    <comment ref="B841" authorId="0" shapeId="0" xr:uid="{00000000-0006-0000-0500-00004A010000}">
      <text>
        <r>
          <rPr>
            <sz val="11"/>
            <rFont val="Calibri"/>
            <family val="2"/>
            <scheme val="minor"/>
          </rPr>
          <t xml:space="preserve">YULIED.PENARANDA:
Nombre completo del indicador. Expresión verbal, precisa y concreta del patrón de evaluación. </t>
        </r>
      </text>
    </comment>
    <comment ref="C841" authorId="0" shapeId="0" xr:uid="{00000000-0006-0000-0500-00004B010000}">
      <text>
        <r>
          <rPr>
            <sz val="11"/>
            <rFont val="Calibri"/>
            <family val="2"/>
            <scheme val="minor"/>
          </rPr>
          <t xml:space="preserve">YULIED.PENARANDA:
Unidad del indicador, define las características de la magnitud a realizar seguimiento. Eje: Hectáreas, estrategias, modelos, número etc. </t>
        </r>
      </text>
    </comment>
    <comment ref="D841" authorId="0" shapeId="0" xr:uid="{00000000-0006-0000-0500-00004C010000}">
      <text>
        <r>
          <rPr>
            <sz val="11"/>
            <rFont val="Calibri"/>
            <family val="2"/>
            <scheme val="minor"/>
          </rPr>
          <t>YULIED.PENARANDA:
Ponderación del indicador se realiza de acuerdo al peso que cada producto tiene en el caso total del proyecto.</t>
        </r>
      </text>
    </comment>
    <comment ref="H841" authorId="0" shapeId="0" xr:uid="{00000000-0006-0000-0500-00004D010000}">
      <text>
        <r>
          <rPr>
            <sz val="11"/>
            <rFont val="Calibri"/>
            <family val="2"/>
            <scheme val="minor"/>
          </rPr>
          <t>YULIED.PENARANDA:
Descripción concreta del avance, máximo de caracteres 200</t>
        </r>
      </text>
    </comment>
    <comment ref="A856" authorId="0" shapeId="0" xr:uid="{00000000-0006-0000-0500-00004E010000}">
      <text>
        <r>
          <rPr>
            <sz val="11"/>
            <rFont val="Calibri"/>
            <family val="2"/>
            <scheme val="minor"/>
          </rPr>
          <t>YULIED.PENARANDA:
Vigencia a reportar</t>
        </r>
      </text>
    </comment>
    <comment ref="B856" authorId="0" shapeId="0" xr:uid="{00000000-0006-0000-0500-00004F010000}">
      <text>
        <r>
          <rPr>
            <sz val="11"/>
            <rFont val="Calibri"/>
            <family val="2"/>
            <scheme val="minor"/>
          </rPr>
          <t xml:space="preserve">YULIED.PENARANDA:
Nombre completo del indicador. Expresión verbal, precisa y concreta del patrón de evaluación. </t>
        </r>
      </text>
    </comment>
    <comment ref="C856" authorId="0" shapeId="0" xr:uid="{00000000-0006-0000-0500-000050010000}">
      <text>
        <r>
          <rPr>
            <sz val="11"/>
            <rFont val="Calibri"/>
            <family val="2"/>
            <scheme val="minor"/>
          </rPr>
          <t xml:space="preserve">YULIED.PENARANDA:
Unidad del indicador, define las características de la magnitud a realizar seguimiento. Eje: Hectáreas, estrategias, modelos, número etc. </t>
        </r>
      </text>
    </comment>
    <comment ref="D856" authorId="0" shapeId="0" xr:uid="{00000000-0006-0000-0500-000051010000}">
      <text>
        <r>
          <rPr>
            <sz val="11"/>
            <rFont val="Calibri"/>
            <family val="2"/>
            <scheme val="minor"/>
          </rPr>
          <t>YULIED.PENARANDA:
Ponderación del indicador se realiza de acuerdo al peso que cada producto tiene en el caso total del proyecto.</t>
        </r>
      </text>
    </comment>
    <comment ref="H856" authorId="0" shapeId="0" xr:uid="{00000000-0006-0000-0500-000052010000}">
      <text>
        <r>
          <rPr>
            <sz val="11"/>
            <rFont val="Calibri"/>
            <family val="2"/>
            <scheme val="minor"/>
          </rPr>
          <t>YULIED.PENARANDA:
Descripción concreta del avance, máximo de caracteres 200</t>
        </r>
      </text>
    </comment>
    <comment ref="A871" authorId="0" shapeId="0" xr:uid="{00000000-0006-0000-0500-000053010000}">
      <text>
        <r>
          <rPr>
            <sz val="11"/>
            <rFont val="Calibri"/>
            <family val="2"/>
            <scheme val="minor"/>
          </rPr>
          <t>YULIED.PENARANDA:
Vigencia a reportar</t>
        </r>
      </text>
    </comment>
    <comment ref="B871" authorId="0" shapeId="0" xr:uid="{00000000-0006-0000-0500-000054010000}">
      <text>
        <r>
          <rPr>
            <sz val="11"/>
            <rFont val="Calibri"/>
            <family val="2"/>
            <scheme val="minor"/>
          </rPr>
          <t xml:space="preserve">YULIED.PENARANDA:
Nombre completo del indicador. Expresión verbal, precisa y concreta del patrón de evaluación. </t>
        </r>
      </text>
    </comment>
    <comment ref="C871" authorId="0" shapeId="0" xr:uid="{00000000-0006-0000-0500-000055010000}">
      <text>
        <r>
          <rPr>
            <sz val="11"/>
            <rFont val="Calibri"/>
            <family val="2"/>
            <scheme val="minor"/>
          </rPr>
          <t xml:space="preserve">YULIED.PENARANDA:
Unidad del indicador, define las características de la magnitud a realizar seguimiento. Eje: Hectáreas, estrategias, modelos, número etc. </t>
        </r>
      </text>
    </comment>
    <comment ref="D871" authorId="0" shapeId="0" xr:uid="{00000000-0006-0000-0500-000056010000}">
      <text>
        <r>
          <rPr>
            <sz val="11"/>
            <rFont val="Calibri"/>
            <family val="2"/>
            <scheme val="minor"/>
          </rPr>
          <t>YULIED.PENARANDA:
Ponderación del indicador se realiza de acuerdo al peso que cada producto tiene en el caso total del proyecto.</t>
        </r>
      </text>
    </comment>
    <comment ref="H871" authorId="0" shapeId="0" xr:uid="{00000000-0006-0000-0500-000057010000}">
      <text>
        <r>
          <rPr>
            <sz val="11"/>
            <rFont val="Calibri"/>
            <family val="2"/>
            <scheme val="minor"/>
          </rPr>
          <t>YULIED.PENARANDA:
Descripción concreta del avance, máximo de caracteres 200</t>
        </r>
      </text>
    </comment>
    <comment ref="A888" authorId="0" shapeId="0" xr:uid="{00000000-0006-0000-0500-000058010000}">
      <text>
        <r>
          <rPr>
            <sz val="11"/>
            <rFont val="Calibri"/>
            <family val="2"/>
            <scheme val="minor"/>
          </rPr>
          <t>YULIED.PENARANDA:
Avance indicadores de gestión.
NOTA: Desagregar cuadro cuantas veces tenga indicadores asociados</t>
        </r>
      </text>
    </comment>
    <comment ref="A889" authorId="0" shapeId="0" xr:uid="{00000000-0006-0000-0500-000059010000}">
      <text>
        <r>
          <rPr>
            <sz val="11"/>
            <rFont val="Calibri"/>
            <family val="2"/>
            <scheme val="minor"/>
          </rPr>
          <t>YULIED.PENARANDA:
Vigencia a reportar</t>
        </r>
      </text>
    </comment>
    <comment ref="B889" authorId="0" shapeId="0" xr:uid="{00000000-0006-0000-0500-00005A010000}">
      <text>
        <r>
          <rPr>
            <sz val="11"/>
            <rFont val="Calibri"/>
            <family val="2"/>
            <scheme val="minor"/>
          </rPr>
          <t xml:space="preserve">YULIED.PENARANDA:
Nombre completo del indicador. Expresión verbal, precisa y concreta del patrón de evaluación. </t>
        </r>
      </text>
    </comment>
    <comment ref="C889" authorId="0" shapeId="0" xr:uid="{00000000-0006-0000-0500-00005B010000}">
      <text>
        <r>
          <rPr>
            <sz val="11"/>
            <rFont val="Calibri"/>
            <family val="2"/>
            <scheme val="minor"/>
          </rPr>
          <t xml:space="preserve">YULIED.PENARANDA:
Unidad del indicador, define las características de la magnitud a realizar seguimiento. Eje: Hectáreas, estrategias, modelos, número etc. </t>
        </r>
      </text>
    </comment>
    <comment ref="D889" authorId="0" shapeId="0" xr:uid="{00000000-0006-0000-0500-00005C010000}">
      <text>
        <r>
          <rPr>
            <sz val="11"/>
            <rFont val="Calibri"/>
            <family val="2"/>
            <scheme val="minor"/>
          </rPr>
          <t>YULIED.PENARANDA:
Peso porcentual de acuerdo con la distribución de los indicadores de gestión.</t>
        </r>
      </text>
    </comment>
    <comment ref="H889" authorId="0" shapeId="0" xr:uid="{00000000-0006-0000-0500-00005D010000}">
      <text>
        <r>
          <rPr>
            <sz val="11"/>
            <rFont val="Calibri"/>
            <family val="2"/>
            <scheme val="minor"/>
          </rPr>
          <t>YULIED.PENARANDA:
Descripción concreta del avance, máximo de caracteres 200</t>
        </r>
      </text>
    </comment>
  </commentList>
</comments>
</file>

<file path=xl/sharedStrings.xml><?xml version="1.0" encoding="utf-8"?>
<sst xmlns="http://schemas.openxmlformats.org/spreadsheetml/2006/main" count="2790" uniqueCount="664">
  <si>
    <t>DIRECCIONAMIENTO ESTRATÉGICO</t>
  </si>
  <si>
    <t>Formato: Programación, Actualización y Seguimiento del Plan de Acción -  Componente de gestión</t>
  </si>
  <si>
    <t>Código: PE01-PR02-F2</t>
  </si>
  <si>
    <t>Versión: 14</t>
  </si>
  <si>
    <t>DEPENDENCIA:</t>
  </si>
  <si>
    <t>Subdirección de Ecosistemas y Ruralidad</t>
  </si>
  <si>
    <t>CÓDIGO Y NOMBRE PROYECTO:</t>
  </si>
  <si>
    <t>7769 Implementación de intervenciones para la restauración y mantenimiento de áreas de la Estructura Ecológica Principal, Cerros Orientales y otras áreas de interés ambiental de Bogotá</t>
  </si>
  <si>
    <t>Propósito Plan de Desarrollo</t>
  </si>
  <si>
    <t>02 Cambiar nuestros hábitos de vida para reverdecer a Bogotá y adaptarnos y mitigar la crisis climática</t>
  </si>
  <si>
    <t>Programa Plan de Desarrollo</t>
  </si>
  <si>
    <t>28 Bogotá protectora de sus recursos naturales</t>
  </si>
  <si>
    <t>1. ESTRUCTURA DEL PLAN DE DESARROLLO</t>
  </si>
  <si>
    <t>2. PROGRAMACIÓN Y EJECUCIÓN</t>
  </si>
  <si>
    <t>3, % CUMPLIMIENTO 
(En el periodo)</t>
  </si>
  <si>
    <t>4, % CUMPLIMIENTO ACUMULADO (al periodo)</t>
  </si>
  <si>
    <t>5, % CUMPLIMIENTO ACUMULADO (Vigencia) SEGPLAN</t>
  </si>
  <si>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</si>
  <si>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</si>
  <si>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</si>
  <si>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</si>
  <si>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</si>
  <si>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</si>
  <si>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</si>
  <si>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</si>
  <si>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</si>
  <si>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</si>
  <si>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</si>
  <si>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</si>
  <si>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</si>
  <si>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</si>
  <si>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</si>
  <si>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</si>
  <si>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</si>
  <si>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</si>
  <si>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</si>
  <si>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</si>
  <si>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</si>
  <si>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t>PROGRAMADO VALOR ABSOLUTO VIGENCIA</t>
  </si>
  <si>
    <t>PROGRAMADO ACUMULADO AL PERIODO
AÑO 2020</t>
  </si>
  <si>
    <t>EJECUTADO ACUMUALDO AL PERIODO
 AÑO 2020</t>
  </si>
  <si>
    <t>PROGRAMADO ACUMULADO SEGPLAN
AÑO 2020</t>
  </si>
  <si>
    <t>EJECUTADO ACUMUALDO  SEGPLAN
 AÑO 2020</t>
  </si>
  <si>
    <t>PROGRAMADO ACUMULADO AL PERIODO
AÑO 2021</t>
  </si>
  <si>
    <t>EJECUTADO ACUMUALDO AL PERIODO
 AÑO 2021</t>
  </si>
  <si>
    <t>PROGRAMADO ACUMULADO SEGPLAN
AÑO 2021</t>
  </si>
  <si>
    <t>EJECUTADO ACUMUALDO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</si>
  <si>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</si>
  <si>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</si>
  <si>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</si>
  <si>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</si>
  <si>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</si>
  <si>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</si>
  <si>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</si>
  <si>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</si>
  <si>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</si>
  <si>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</si>
  <si>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</si>
  <si>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</si>
  <si>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Alcanzar el 75% de cumplimiento del  plan de manejo de la franja de adecuación de los Cerros Orientales en lo que corresponde a la SDA.</t>
  </si>
  <si>
    <t>Porcentaje de avance en el cumplimiento de los proyectos del Plan de manejo del área de ocupación público prioritaria de la franja de adecuación de Cerros Orientales de competencia de la SDA.</t>
  </si>
  <si>
    <t>%</t>
  </si>
  <si>
    <t>Creciente</t>
  </si>
  <si>
    <t>N/A</t>
  </si>
  <si>
    <t>Mejorar la oferta de áreas con servicios ecosistémicos de los Cerros Orientales además de la reducción de conflictos socioambientales</t>
  </si>
  <si>
    <t>Archivos en drive proyecto 7769</t>
  </si>
  <si>
    <t xml:space="preserve">Restaurar, rehabilitar o recuperar a 370 nuevas hectáreas degradadas en la estructura ecológica principal y áreas de interés ambiental, con 450.000 individuos.
</t>
  </si>
  <si>
    <t>Número de nuevas hectáreas restauradas, rehabilitadas o recuperadas</t>
  </si>
  <si>
    <t>Hectáreas</t>
  </si>
  <si>
    <t>SUMA</t>
  </si>
  <si>
    <t>Cumplimiento de los objetivos de  restauración, rehabilitación o recuperación según el ecosistema de referencia además de la protección, recuperación y mejora de la oferta del recurso genético de especies disponibles en viveros para la restauración, rehabilitación o recuperación ecológica</t>
  </si>
  <si>
    <t>Número de individuos vegetales plantados</t>
  </si>
  <si>
    <t>#</t>
  </si>
  <si>
    <t>Mantener 590 hectáreas priorizadas en proceso de recuperación, rehabilitación o restauración ecológica en la estructura ecológica principal y áreas de interés ambiental.</t>
  </si>
  <si>
    <t>Número de hectáreas priorizadas con mantenimiento para la recuperación, rehabilitación o restauración ecológica en la estructura ecológica principal y áreas de interés ambiental</t>
  </si>
  <si>
    <t>CONSTANTE</t>
  </si>
  <si>
    <t>Conservar los ecosistemas que hacen del patrimonio ecológico de la ciudad y fortalecer los servicios ecosistémicos, a través del mantenimiento y la sostenibilidad de procesos anteriores de restauración, rehabilitación o recuperación ecológica.</t>
  </si>
  <si>
    <t xml:space="preserve">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
</t>
  </si>
  <si>
    <t>Número de proyectos de conectividad ecológica en implementación y/o seguimiento</t>
  </si>
  <si>
    <t>Lograr la identificación de las acciones socioambientales en la Franja de Adecuación y los Cerros Orientales necesarios para restablecer la conectividad ecológica entre ecosistemas de alta importancia para la ciudad, ampliando espacios de interacción con la naturaleza</t>
  </si>
  <si>
    <t>CONTROL DE CAMBIOS</t>
  </si>
  <si>
    <t>Versión</t>
  </si>
  <si>
    <t xml:space="preserve">Descripción de la Modificación </t>
  </si>
  <si>
    <t>No. Acto Administrativo y fecha</t>
  </si>
  <si>
    <t>Radicado 2020IE191541 del 29 de octubre de 2020</t>
  </si>
  <si>
    <t>Se agregan  en el componente de gestión y de inversión nuevas columnas para establecer más patrones de medición</t>
  </si>
  <si>
    <t>Formato: Programación, Actualización y Seguimiento del Plan de Acción -Componente de Inversión</t>
  </si>
  <si>
    <t>1,  INFORMACIÓN META DE PROYECTO</t>
  </si>
  <si>
    <t>6, % CUMPLIMIENTO ACUMULADO (al periodo)DEL CUATRIENIO</t>
  </si>
  <si>
    <t xml:space="preserve"> AÑO 2020</t>
  </si>
  <si>
    <t>1,1 LÍNEA DE ACCIÓN</t>
  </si>
  <si>
    <t>1,2 COD.</t>
  </si>
  <si>
    <t>1,3 META</t>
  </si>
  <si>
    <t>1,4 TIPOLOGÍA</t>
  </si>
  <si>
    <t>1,5 COD. META PDD A QUE SE ASOCIA META PROY</t>
  </si>
  <si>
    <t>1,6, VARIABLE REQUERIDA</t>
  </si>
  <si>
    <t>1,7, VALOR   CUATRIENIO</t>
  </si>
  <si>
    <t>Implementar intervenciones para la restauración y mantenimiento ecológico en la estructura ecológica principal, la franja de adecuación de los cerros orientales y otras áreas de interés ambiental en el D.C</t>
  </si>
  <si>
    <t>Alcanzar el 75 porciento de cumplimiento del  plan de manejo de la franja de adecuación de los Cerros Orientales en lo que corresponde a la SDA.</t>
  </si>
  <si>
    <t xml:space="preserve">Creciente </t>
  </si>
  <si>
    <t>MAGNITUD  FÍSICA</t>
  </si>
  <si>
    <t>Mejorar la oferta de áreas con servicios ecosistémicos de los Cerros Orientales ademàs de la reducción de conflictos socioambientales</t>
  </si>
  <si>
    <t>PRESUPUESTO VIGENCIA</t>
  </si>
  <si>
    <t>GIRO VIGENCIA</t>
  </si>
  <si>
    <t>MAGNITUD FÍSICA RESERVAS</t>
  </si>
  <si>
    <t>RESERVA PRESUPUESTAL</t>
  </si>
  <si>
    <t>TOTAL MAGNITUD FÍSICA</t>
  </si>
  <si>
    <t>TOTAL PRESUPUESTO DE LA META</t>
  </si>
  <si>
    <t>Restaurar, rehabilitar o recuperar a 370 nuevas hectáreas degradadas en la estructura ecológica principal y áreas de interés ambiental, con 450.000 individuos.</t>
  </si>
  <si>
    <t>Lograr la identificaciòn de las acciones socioambientales en la Franja de Adecuación y los Cerros Orientales necesarios para restablecer la conectividad ecológica entre ecosistemas de alta importancia para la ciudad, ampliando espacios de interacción con la naturaleza</t>
  </si>
  <si>
    <t>TOTAL PROYECTO</t>
  </si>
  <si>
    <t>TOTAL PRESUPUESTO VIGENCIA  DEL PROYECTO</t>
  </si>
  <si>
    <t>TOTAL RESERVA PRESUPUESTAL DEL PROYECTO</t>
  </si>
  <si>
    <t>TOTAL PROYECTO VIGENCIA + RESERVAS</t>
  </si>
  <si>
    <t>Codigo:PE01-PR02-F2</t>
  </si>
  <si>
    <t>1, LÍNEA DE ACCIÓN</t>
  </si>
  <si>
    <t>2, META DE PROYECTO</t>
  </si>
  <si>
    <t>3, CÓDIGO Y NOMBRE DE LA ACTIVIDAD</t>
  </si>
  <si>
    <t>4, SE EJECUTA CON RECURSOS DE:</t>
  </si>
  <si>
    <t>5, PONDERACIÓN HORIZONTAL AÑO: 2023</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</si>
  <si>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</si>
  <si>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</si>
  <si>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</si>
  <si>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</si>
  <si>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</si>
  <si>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</si>
  <si>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</si>
  <si>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</si>
  <si>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</si>
  <si>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</si>
  <si>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</si>
  <si>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</si>
  <si>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</si>
  <si>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</si>
  <si>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</si>
  <si>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</si>
  <si>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</si>
  <si>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</si>
  <si>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</si>
  <si>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1. Realizar acciones de gestión para la adquisición de predios: Selección de predios y determinación de viabilidad del proceso de adquisición y recoleccion de informacion de los predios seleccionados.</t>
  </si>
  <si>
    <t>X</t>
  </si>
  <si>
    <t>Programado</t>
  </si>
  <si>
    <t>Ejecutado</t>
  </si>
  <si>
    <t>2. Implementar la restauración ecológica para generar corredores de bosque y agua para los bogotanos: Intervención 14ha</t>
  </si>
  <si>
    <t>3.Recuperar y mantener de la red de senderos existentes: Seguimiento a ejecución de convenios, articulación, planificación de acciones en nuevos senderos y operación Sendero Guadalupe Aguanoso</t>
  </si>
  <si>
    <t>x</t>
  </si>
  <si>
    <t xml:space="preserve">4. Adecuar 1 zona de cantera para parques y equipamentos: Acciones de planificación e inicio de implementación de intervenciones </t>
  </si>
  <si>
    <t>5. Implementar hitos de amojonamiento sociocultural y ambiental y seguimiento  a iniciativas de participación ciudadana en la gestión ambiental.</t>
  </si>
  <si>
    <t xml:space="preserve">6. Implementar incentivos y acuerdos de conservación. </t>
  </si>
  <si>
    <t>7. Identificar, priorizar áreas y elaborar los respectivos diagnósticos de las zonas a intervenir.</t>
  </si>
  <si>
    <t xml:space="preserve">8. Elaborar los diseños a las áreas priorizadas, de acuerdo a los resultados del diagnóstico realizado. </t>
  </si>
  <si>
    <t>9 Implementar acciones de recuperación, rehabilitación o restauración ecológica.</t>
  </si>
  <si>
    <t>10.  Priorizar áreas que requieren acciones de mantenimiento básicas de fertilización, poda, riego, replante, entre otras. Así como la sostenibilidad mediante la inducción de trayectorias ecológicas</t>
  </si>
  <si>
    <t>11.  Implementar las acciones de mantenimiento y sostenibilidad, con la revisión fitosanitaria, enriquecimiento orgánica, plateo y replante de árboles en las áreas establecidas.</t>
  </si>
  <si>
    <t>12.  Implementar el plan de producción de material vegetal de acuerdo con las necesidades de las metas de restauración ecológica.</t>
  </si>
  <si>
    <t>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</si>
  <si>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 xml:space="preserve">13. Elaborar documentos técnicos de los proyectos de los cuatro corredores de conectividad ecológica urbano-rural entre elementos de la EEP y otras áreas de interés ambiental del D.C. </t>
  </si>
  <si>
    <t xml:space="preserve">14. Aplicar el procedimiento para implementar y efectuar el seguimiento a corredores de conectividad ecológica en Bogotá D.C.  </t>
  </si>
  <si>
    <t xml:space="preserve">15. Implementar estrategias para promover la gobernanza y participación de los actores sociales e institucionales en el diagnóstico, diseño, implementación y seguimiento de corredores ecológicos. </t>
  </si>
  <si>
    <t>16.Implementación de procesos de formación a líderes sociales para la gobernanza en la comunidad.</t>
  </si>
  <si>
    <t>TOTAL</t>
  </si>
  <si>
    <t>Se crea hoja de SPI</t>
  </si>
  <si>
    <t>Radicado No. 2021IE106063 del 31 de mayo del 2021.</t>
  </si>
  <si>
    <t>PERIODO:</t>
  </si>
  <si>
    <t>1 INFORMACIÓN META DE PROYECTO</t>
  </si>
  <si>
    <t xml:space="preserve">2, ACTUALIZACIÓN </t>
  </si>
  <si>
    <t>3,EJECUTADO</t>
  </si>
  <si>
    <t>4, LOCALIZACIÓN GEOGRÁFICA</t>
  </si>
  <si>
    <t>5, ORIENTACIÓN</t>
  </si>
  <si>
    <t>10. POBLACIÓN</t>
  </si>
  <si>
    <t>7, LECCIONES APRENDIDAS - OBSERVACIONES</t>
  </si>
  <si>
    <t>1,1 COD. META</t>
  </si>
  <si>
    <t>1,2, Meta Proyecto</t>
  </si>
  <si>
    <t>1,3. Identificación del punto de invesión</t>
  </si>
  <si>
    <t>1,4, Variable</t>
  </si>
  <si>
    <t>1, 5. PROGRAMACIÓN INICIAL AÑO 2023</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</si>
  <si>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</si>
  <si>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</si>
  <si>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</si>
  <si>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</si>
  <si>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</si>
  <si>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</si>
  <si>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</si>
  <si>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</si>
  <si>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</si>
  <si>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</si>
  <si>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</si>
  <si>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</si>
  <si>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</si>
  <si>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</si>
  <si>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</si>
  <si>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</si>
  <si>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</si>
  <si>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</si>
  <si>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</si>
  <si>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</si>
  <si>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</si>
  <si>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Punto de inversión Cerros Orientales de Bogota D.C.</t>
  </si>
  <si>
    <t xml:space="preserve">UPR oficales registradas en SDP para las zonas rurales de las localidades de influencia.                                            01, Paseo los Libertadores  09. Verbenal, 10, la Uribe, 11. An Cristobal Norte, 13, Los Cedros, 14. Usaquen, UPR 901 Usaquen, 32. San Blas,  50 La Gloria, 51 Los Libertadores, UPR 9024. San Cristobal, 52. La Flora, 61. Ciudad Usme, UPR 905 Usme. 88. El refugio, 89. San Isidro-Patios, 90. Pardo Rubio, 91 Sagrado Corazon, 92. La Macarena, 96. Lourdes,   UPR 903 Santa Fe. </t>
  </si>
  <si>
    <t>Barrios de las UPZ de influencia</t>
  </si>
  <si>
    <t>UPZ y barrios aledaños al área o polígono objerto de estudio. El polígono que  tiene incidencia positiva en la Estructura Ecológica Regional asociada al sistema de páramos y cerros orientales</t>
  </si>
  <si>
    <t xml:space="preserve">9. Verbenal;  11. An Cristobal Norte, 14. Usaquen,  89. San Isidro-Patios, 96. Lourdes, 32. San Blas,  50 La Gloria,51 Los Libertadores, 52. La Flora,      </t>
  </si>
  <si>
    <t xml:space="preserve">1. Para el Manejo del Suelo de Protección del Distrio Capital.  
2. Gestión de la Conservación de la Biodiversidad.
3. Distrital de Espacio Público.
4. Distrital de Gestión del Riesgo.
5.  Pública de Ecourbanismo y Gestión Sostenible (Formulación).
6. Plan Distirtal de Gestión del Riesgo y adaptación a la variabilidad y cambio climático.
7. Plan Ordenamiento Territorial POT.
8. Plan Nacional de Restauración Ecológica.
9. Normatividad relacionada con la gestión y protección de ecosistemas de páramos.
10.Decreo 1076 de 2014 (Areas Protegidas y  Decreto 2372 de 2010. 
11. Política Nacional para la Gestión integral de la Biodiversidad y sus ServiciosEcosistémicos PGIBSE 12, Sentencia Cerros Orientales 
</t>
  </si>
  <si>
    <t>Sin Datos</t>
  </si>
  <si>
    <t>868126 personas (Fuente DANE)</t>
  </si>
  <si>
    <t xml:space="preserve">Ubicaicón de la inversión: Rafael Uribe Uribe,4. San Cristóbal,5. Usme,11.Suba,1Usaqué,19. Ciudad Bolívar,18. Rafael Uribe Uribe,12.Barrios  Unidos,7.Bosa,9.Fontibón,8.Kennedy,10.Engativá,6.Tunjuelito,2Chapinero,3 Santafé.
“Ubicación”: Areas degradadas de la EEP y otras areas de interes ambiental priorizadas para desarrollar acciones de restauracion, rehabilitacion o recuperación en las localidades 1, 2, 3, 4, 5, 6, 7, 8, 9, 10, 11, 18 y 19 ; Descripción: Identificacion y priorizacion de areas de la Estructura Ecologica Principal para implementar acciones de restauracion, rehabilitacion o recuperacion.  </t>
  </si>
  <si>
    <t xml:space="preserve">
4. San Cristóbal,
5. Usme, 
1. Usaquén,
19. Ciudad Bolívar,
7. Bosa,
9. Fontibón,
10. Engativá,
6. Tunjuelito,
2. Chapinero,
3. Santafé
8. Kennedy
11. Suba</t>
  </si>
  <si>
    <t>UPR Zona Norte (1),  UPZ Castilla (46), UPZ Tunjuelito (62)
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</si>
  <si>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Barrios de las UPZ de influenciaBarrios de las UPZ de influencia</t>
  </si>
  <si>
    <r>
      <rPr>
        <b/>
        <sz val="9"/>
        <rFont val="Arial"/>
        <family val="2"/>
      </rPr>
      <t>4-PEDH el Burro</t>
    </r>
    <r>
      <rPr>
        <sz val="9"/>
        <rFont val="Arial"/>
        <family val="2"/>
      </rPr>
      <t xml:space="preserve">;       </t>
    </r>
    <r>
      <rPr>
        <b/>
        <sz val="9"/>
        <rFont val="Arial"/>
        <family val="2"/>
      </rPr>
      <t>6-PEDH  Capellania, Localidad de Fontibón.</t>
    </r>
    <r>
      <rPr>
        <sz val="9"/>
        <rFont val="Arial"/>
        <family val="2"/>
      </rPr>
      <t xml:space="preserve">
</t>
    </r>
    <r>
      <rPr>
        <b/>
        <sz val="9"/>
        <rFont val="Arial"/>
        <family val="2"/>
      </rPr>
      <t xml:space="preserve">PEDH Juan Amarillo </t>
    </r>
    <r>
      <rPr>
        <sz val="9"/>
        <rFont val="Arial"/>
        <family val="2"/>
      </rPr>
      <t xml:space="preserve">
</t>
    </r>
    <r>
      <rPr>
        <b/>
        <sz val="9"/>
        <rFont val="Arial"/>
        <family val="2"/>
      </rPr>
      <t>PEDM Parque Distrital Ecológico de Montaña Entrenubes,</t>
    </r>
    <r>
      <rPr>
        <sz val="9"/>
        <rFont val="Arial"/>
        <family val="2"/>
      </rPr>
      <t xml:space="preserve"> 
</t>
    </r>
    <r>
      <rPr>
        <b/>
        <sz val="9"/>
        <rFont val="Arial"/>
        <family val="2"/>
      </rPr>
      <t>PEDH el Tunjo</t>
    </r>
    <r>
      <rPr>
        <sz val="9"/>
        <rFont val="Arial"/>
        <family val="2"/>
      </rPr>
      <t xml:space="preserve"> 
</t>
    </r>
    <r>
      <rPr>
        <b/>
        <sz val="9"/>
        <rFont val="Arial"/>
        <family val="2"/>
      </rPr>
      <t>Arborizadora Alta
Rio Tunjuelo
PEDH Tibanica
PEDH Techo
PEDH Torca y Guaymaral</t>
    </r>
    <r>
      <rPr>
        <sz val="9"/>
        <rFont val="Arial"/>
        <family val="2"/>
      </rPr>
      <t xml:space="preserve">
</t>
    </r>
  </si>
  <si>
    <r>
      <rPr>
        <sz val="9"/>
        <rFont val="Arial"/>
        <family val="2"/>
      </rPr>
      <t xml:space="preserve"> </t>
    </r>
    <r>
      <rPr>
        <b/>
        <sz val="9"/>
        <rFont val="Arial"/>
        <family val="2"/>
      </rPr>
      <t>50. La Gloria, 51. Los Libertadores,</t>
    </r>
    <r>
      <rPr>
        <sz val="9"/>
        <rFont val="Arial"/>
        <family val="2"/>
      </rPr>
      <t xml:space="preserve">  </t>
    </r>
    <r>
      <rPr>
        <b/>
        <sz val="9"/>
        <rFont val="Arial"/>
        <family val="2"/>
      </rPr>
      <t xml:space="preserve">96 Lourdes, 32 San Blas, 52 La Flora, 56 Danubio,  70 Jerusalen, 85 Bosa Central, 71 Tibabuyes, 28 El Rincon, </t>
    </r>
  </si>
  <si>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17. Plan Nacional de Lucha contra la desertificacion y sequia 
</t>
  </si>
  <si>
    <t xml:space="preserve">Sin Dato </t>
  </si>
  <si>
    <t>3037165 personas (Fuente DANE)</t>
  </si>
  <si>
    <t>Punto de inversión 
Rafael Uribe Uribe,4. San Cristóbal,5. Usme,11.Suba,1Usaqué,19. Ciudad Bolívar,18. Rafael Uribe Uribe,12.Barrios Unidos,7.Bosa,9.Fontibón,8.Kennedy,10.Engativá,6.Tunjuelito,2Chapinero,3 Santafé</t>
  </si>
  <si>
    <t>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</si>
  <si>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 xml:space="preserve">Zona de vida de Paramo en la Ruralidad, en Cerros Orientales, Elemento de la Estructura Ecologica Principal, Localidad de Chapinero.
Localida de Santa Fe
PEDH La Vaca
PEDH  Capellanía
sector de Aguas Claras y en la quebradas los Verejones (Localidad de San Cristóbal) </t>
  </si>
  <si>
    <t>54. Marruecos,34. 20 de julio, 50. La Gloria,51. Los Libertadores, 57. Gran Yomasa, 59. Alfonso López, 89.San Isidro Patios</t>
  </si>
  <si>
    <r>
      <rPr>
        <b/>
        <sz val="9"/>
        <rFont val="Arial"/>
        <family val="2"/>
      </rPr>
      <t>Punto 1. Conector ecosistémico</t>
    </r>
    <r>
      <rPr>
        <sz val="9"/>
        <rFont val="Arial"/>
        <family val="2"/>
      </rPr>
      <t xml:space="preserve"> Páramos Chingaza Sumapaz</t>
    </r>
  </si>
  <si>
    <r>
      <rPr>
        <b/>
        <sz val="9"/>
        <rFont val="Arial"/>
        <family val="2"/>
      </rPr>
      <t xml:space="preserve">UPR </t>
    </r>
    <r>
      <rPr>
        <sz val="9"/>
        <rFont val="Arial"/>
        <family val="2"/>
      </rPr>
      <t xml:space="preserve">de Ciudad Bolivar, Cuenca media y alta del río Tunjuelo
</t>
    </r>
    <r>
      <rPr>
        <b/>
        <sz val="9"/>
        <rFont val="Arial"/>
        <family val="2"/>
      </rPr>
      <t>UPZ:</t>
    </r>
    <r>
      <rPr>
        <sz val="9"/>
        <rFont val="Arial"/>
        <family val="2"/>
      </rPr>
      <t xml:space="preserve"> 63. Mochuelo, 64. Monte Blanco, </t>
    </r>
  </si>
  <si>
    <t>El polígono de conectividad ecológica tiene incidencia positiva en la Estructura Ecológica Regional asociada al sistema de páramos y cerros orientales</t>
  </si>
  <si>
    <t xml:space="preserve"> 9. Verbenal; 11 San Cristóbal;; 89. San Isidro Patios; 96. Lourdes; 32. San Blas; 34. 20 de Julio; 50. La Gloria; 51. Los Libertadores; 52. La Flora; 57. Gran Yomasa; 58. Comuneros; 59. Alfonso López; 54. Marruecos; 55. Diana Turbay; 67. Lucero; 68. El Tesoro.</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</si>
  <si>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t>
  </si>
  <si>
    <t>395.967 personas (Fuente DANE)</t>
  </si>
  <si>
    <r>
      <rPr>
        <b/>
        <sz val="9"/>
        <rFont val="Arial"/>
        <family val="2"/>
      </rPr>
      <t xml:space="preserve">Punto 2. Conector ecosistémico - </t>
    </r>
    <r>
      <rPr>
        <sz val="9"/>
        <rFont val="Arial"/>
        <family val="2"/>
      </rPr>
      <t xml:space="preserve">  Bosque Oriental - Río Bogotá</t>
    </r>
  </si>
  <si>
    <t>UPZ: 1 PASEO DE LOS LIBERTADORES, 9 VERBENAL, 10 LA URIBE, 11 SAN CRISTOBAL NORTE, 12 TOBERIN, 13 LOS CEDROS, 14 USAQUEN, 15 COUNTRY CLUB, 16 SANTA BÁRBARA, 901 UPR USAQUÉN- 
2LA ACADEMIA, 3 GUAYMARAL, 17 SAN JOSÉ DE BAVARIA, 18 BRITALIA, 19 EL PRADO, 20 LA ALHAMBRA, 23 CASA BLANCA SUBA, 24 NIZA, 25 LA FLORESTA, 27 SUBA, 28 EL RINCÓN, 71 TIBABUYES, 911 UPR SUBA</t>
  </si>
  <si>
    <t>UPZ y barrios aledaños al área o polígono objerto de estudio.
El polígono del Corredor de conectividad ecológica indice positivamente en los polígonos de la EEP de la cuenca Torca</t>
  </si>
  <si>
    <t>9. Verbenal; 11 San Cristóbal; 27. Suba; 28 Rincón; 71 Tibabuyes</t>
  </si>
  <si>
    <t>1.738.288 personas (Fuente DANE)</t>
  </si>
  <si>
    <r>
      <rPr>
        <b/>
        <sz val="9"/>
        <rFont val="Arial"/>
        <family val="2"/>
      </rPr>
      <t xml:space="preserve">Punto 3. Conector ecosistémico - </t>
    </r>
    <r>
      <rPr>
        <sz val="9"/>
        <rFont val="Arial"/>
        <family val="2"/>
      </rPr>
      <t>Cerros - Virrey - Neuque</t>
    </r>
  </si>
  <si>
    <t>02. Chapinero</t>
  </si>
  <si>
    <t>UPR oficales registradas en SDP para las zonas rurales de las localidades de influencia.
UPZ: 
88. El Refugio, 97. Chicó Lago, 89. San Isidro Patios; 21. Los Andes, 24. Niza, 25. La Floresta, 28. El Rincón, 29. Minuto de Dios, 71. Tibabuyes,  72. Bolivia</t>
  </si>
  <si>
    <t>UPZ y barrios aledaños al área o polígono objerto de estudio.
El polígono del Corredor de concetividad ecológica indice positivamente en los polígonos de la EEP de la cuenca Salitre</t>
  </si>
  <si>
    <t>89. San Isidro Patios.
28. El Rincon, 71. Tubabuyes
74. Engativa</t>
  </si>
  <si>
    <t>899.947 personas (Fuente: DANE)</t>
  </si>
  <si>
    <r>
      <rPr>
        <b/>
        <sz val="9"/>
        <rFont val="Arial"/>
        <family val="2"/>
      </rPr>
      <t xml:space="preserve">Punto 4. Conector ecosistémico - </t>
    </r>
    <r>
      <rPr>
        <sz val="9"/>
        <rFont val="Arial"/>
        <family val="2"/>
      </rPr>
      <t xml:space="preserve"> Suba - Conejera</t>
    </r>
  </si>
  <si>
    <t>11. Suba</t>
  </si>
  <si>
    <t>UPR oficales registradas en SDP para las zonas rurales de la localidad de influencia.
UPZ: 
LA ACADEMIA, 3 GUAYMARAL, 17 SAN JOSÉ DE BAVARIA, 18 BRITALIA, 19 EL PRADO, 20 LA ALHAMBRA, 23 CASA BLANCA SUBA, 24 NIZA, 25 LA FLORESTA, 27 SUBA, 28 EL RINCÓN, 71 TIBABUYES, 911 UPR SUBA</t>
  </si>
  <si>
    <t>UPZ y barrios aledaños al área o polígono objerto de estudio.
El polígono del Corredor de conectividad ecológica indice positivamente en los polígonos de la EEP de la cuenca Torca y área de manejo especial del río Bogotá.</t>
  </si>
  <si>
    <t xml:space="preserve"> 27. Suba; 28 Rincón; 71 Tibabuyes</t>
  </si>
  <si>
    <t>1.192.322 (Fuente: DANE)</t>
  </si>
  <si>
    <r>
      <rPr>
        <b/>
        <sz val="9"/>
        <rFont val="Arial"/>
        <family val="2"/>
      </rPr>
      <t>Punto 5</t>
    </r>
    <r>
      <rPr>
        <sz val="9"/>
        <rFont val="Arial"/>
        <family val="2"/>
      </rPr>
      <t>. Conector ecosistémico - Media Luna del Sur y Conector ecosistémico Río Fucha</t>
    </r>
  </si>
  <si>
    <t xml:space="preserve">Se identifican las UPL
17 Bosa, 18 Kennedy, 3 Arborizadora, 62Tunjuelito </t>
  </si>
  <si>
    <t>Barrios de las UPL de influencia</t>
  </si>
  <si>
    <t>El polígono del Corredor de conectividad ecológica indice positivamente en los polígonos de la EEP de la cuenca Tunjuelo y área de manejo especial del río Bogotá.</t>
  </si>
  <si>
    <t>Continuo a 62. Tunjuelito</t>
  </si>
  <si>
    <t>Total Meta</t>
  </si>
  <si>
    <t>TOTALES - PROYECTO</t>
  </si>
  <si>
    <t>TOTALES Rec. Vigencia</t>
  </si>
  <si>
    <t>TOTALES Rec. Reservas</t>
  </si>
  <si>
    <t>TOTAL PRESUPUESTO</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</si>
  <si>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</si>
  <si>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</si>
  <si>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PROGRAMADO</t>
    </r>
    <r>
      <rPr>
        <b/>
        <sz val="12"/>
        <rFont val="Arial"/>
        <family val="2"/>
      </rPr>
      <t xml:space="preserve"> FEB.</t>
    </r>
  </si>
  <si>
    <r>
      <rPr>
        <sz val="12"/>
        <rFont val="Arial"/>
        <family val="2"/>
      </rPr>
      <t xml:space="preserve">PROGRAMADO </t>
    </r>
    <r>
      <rPr>
        <b/>
        <sz val="12"/>
        <rFont val="Arial"/>
        <family val="2"/>
      </rPr>
      <t>MAR.</t>
    </r>
  </si>
  <si>
    <r>
      <rPr>
        <sz val="12"/>
        <rFont val="Arial"/>
        <family val="2"/>
      </rPr>
      <t xml:space="preserve">PROGRAMADO </t>
    </r>
    <r>
      <rPr>
        <b/>
        <sz val="12"/>
        <rFont val="Arial"/>
        <family val="2"/>
      </rPr>
      <t>ABR.</t>
    </r>
  </si>
  <si>
    <r>
      <rPr>
        <sz val="12"/>
        <rFont val="Arial"/>
        <family val="2"/>
      </rPr>
      <t xml:space="preserve">PROGRAMADO </t>
    </r>
    <r>
      <rPr>
        <b/>
        <sz val="12"/>
        <rFont val="Arial"/>
        <family val="2"/>
      </rPr>
      <t>MAY.</t>
    </r>
  </si>
  <si>
    <r>
      <rPr>
        <sz val="12"/>
        <rFont val="Arial"/>
        <family val="2"/>
      </rPr>
      <t>PROGRAMADO</t>
    </r>
    <r>
      <rPr>
        <b/>
        <sz val="12"/>
        <rFont val="Arial"/>
        <family val="2"/>
      </rPr>
      <t xml:space="preserve"> JUN.</t>
    </r>
  </si>
  <si>
    <r>
      <rPr>
        <sz val="12"/>
        <rFont val="Arial"/>
        <family val="2"/>
      </rPr>
      <t>PROGRAMADO</t>
    </r>
    <r>
      <rPr>
        <b/>
        <sz val="12"/>
        <rFont val="Arial"/>
        <family val="2"/>
      </rPr>
      <t xml:space="preserve"> JUL.</t>
    </r>
  </si>
  <si>
    <r>
      <rPr>
        <sz val="12"/>
        <rFont val="Arial"/>
        <family val="2"/>
      </rPr>
      <t xml:space="preserve">PROGRAMADO </t>
    </r>
    <r>
      <rPr>
        <b/>
        <sz val="12"/>
        <rFont val="Arial"/>
        <family val="2"/>
      </rPr>
      <t>AGO.</t>
    </r>
  </si>
  <si>
    <r>
      <rPr>
        <sz val="12"/>
        <rFont val="Arial"/>
        <family val="2"/>
      </rPr>
      <t xml:space="preserve">PROGRAMADO </t>
    </r>
    <r>
      <rPr>
        <b/>
        <sz val="12"/>
        <rFont val="Arial"/>
        <family val="2"/>
      </rPr>
      <t>SEP.</t>
    </r>
  </si>
  <si>
    <r>
      <rPr>
        <sz val="12"/>
        <rFont val="Arial"/>
        <family val="2"/>
      </rPr>
      <t>PROGRAMADO</t>
    </r>
    <r>
      <rPr>
        <b/>
        <sz val="12"/>
        <rFont val="Arial"/>
        <family val="2"/>
      </rPr>
      <t xml:space="preserve"> OCT.</t>
    </r>
  </si>
  <si>
    <r>
      <rPr>
        <sz val="12"/>
        <rFont val="Arial"/>
        <family val="2"/>
      </rPr>
      <t xml:space="preserve">PROGRAMADO </t>
    </r>
    <r>
      <rPr>
        <b/>
        <sz val="12"/>
        <rFont val="Arial"/>
        <family val="2"/>
      </rPr>
      <t>NOV.</t>
    </r>
  </si>
  <si>
    <r>
      <rPr>
        <sz val="12"/>
        <rFont val="Arial"/>
        <family val="2"/>
      </rPr>
      <t xml:space="preserve">PROGRAMADO  </t>
    </r>
    <r>
      <rPr>
        <b/>
        <sz val="12"/>
        <rFont val="Arial"/>
        <family val="2"/>
      </rPr>
      <t>DIC.</t>
    </r>
  </si>
  <si>
    <t>Porcentaje</t>
  </si>
  <si>
    <t>Arboles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</si>
  <si>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</si>
  <si>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</si>
  <si>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</si>
  <si>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</si>
  <si>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</si>
  <si>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</si>
  <si>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</si>
  <si>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</si>
  <si>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</si>
  <si>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</si>
  <si>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12-OTROS DISTRITO</t>
  </si>
  <si>
    <t xml:space="preserve">263-RECURSOS PASIVOS PLUSVALIA </t>
  </si>
  <si>
    <t>27-FONDO CUENTA FINANCIACIÓN PGA</t>
  </si>
  <si>
    <t>41-PLUSVALIA</t>
  </si>
  <si>
    <t>508-PASIVOS EXIGIBLES CUPO</t>
  </si>
  <si>
    <t>AGOSTO</t>
  </si>
  <si>
    <t>SEPTIEMBRE</t>
  </si>
  <si>
    <t>OCTUBRE</t>
  </si>
  <si>
    <t>NOVIEMBRE</t>
  </si>
  <si>
    <t>DICIEMBRE</t>
  </si>
  <si>
    <t>I PRESUPUESTAL VIGENCIA 2021</t>
  </si>
  <si>
    <t>ENERO</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</si>
  <si>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</si>
  <si>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</si>
  <si>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</si>
  <si>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</si>
  <si>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</si>
  <si>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</si>
  <si>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</si>
  <si>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</si>
  <si>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FEBRERO</t>
  </si>
  <si>
    <t>1-100-F001-VA-RECURSOS DISTRITO</t>
  </si>
  <si>
    <t>1-100-F039-VA-CREDITO</t>
  </si>
  <si>
    <t>1-100-I004-VA-1% INGRESOS CORRIENTES-LEY 99 DE 1993</t>
  </si>
  <si>
    <t>1-100-I032-VA-OTROS RECURSOS GESTIÓN AMBIENTAL</t>
  </si>
  <si>
    <t>1-601-I015-PAS-MULTAS DE TRÁNSITO</t>
  </si>
  <si>
    <t>1-601-I021-PAS-PLUSVALÍA</t>
  </si>
  <si>
    <t>1-601-I030-PAS-OTROS RECURSOS GESTIÓN AMBIENTAL
FONDO CUENTA PGA</t>
  </si>
  <si>
    <t>1-604-I001-PAS-RF-RECURSOS GESTIÓN AMBIENTAL</t>
  </si>
  <si>
    <t>MARZO</t>
  </si>
  <si>
    <t>ABRIL</t>
  </si>
  <si>
    <t>1-601-F001-PAS-OTROS DISTRITO</t>
  </si>
  <si>
    <t>MAYO</t>
  </si>
  <si>
    <t>JUNIO</t>
  </si>
  <si>
    <t>1-601-F001- PAS-OTROS DISTRITO</t>
  </si>
  <si>
    <t>I PRESUPUESTAL VIGENCIA 2022</t>
  </si>
  <si>
    <t>1-200-I004-RB-1% INGRESOS CORRIENTES-LEY 99 DE 1993</t>
  </si>
  <si>
    <t>1-601-I030 PAS-OTROS RECURSOS GESTIÓN AMBIENTAL</t>
  </si>
  <si>
    <t>1-602-I030 PAS-RB-OTROS RECURSOS GESTIÓN AMBIENTAL</t>
  </si>
  <si>
    <t>1-100-F001  VA-RECURSOS DISTRITO</t>
  </si>
  <si>
    <t>1-100-F039  VA-CRÉDITO</t>
  </si>
  <si>
    <t>1-200-I004  RB-1% INGRESOS CORRIENTES-LEY 99</t>
  </si>
  <si>
    <t>1-601-I030  PAS-OTROS RECURSOS GESTIÓN AMBIENTAL</t>
  </si>
  <si>
    <t>1-602-I030  PAS-RB-OTROS RECURSOS GESTIÓN AMBIENTAL</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</si>
  <si>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</si>
  <si>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</si>
  <si>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</si>
  <si>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</si>
  <si>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</si>
  <si>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</si>
  <si>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</si>
  <si>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</si>
  <si>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</si>
  <si>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</si>
  <si>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</si>
  <si>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</si>
  <si>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</si>
  <si>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</si>
  <si>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</si>
  <si>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</si>
  <si>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</si>
  <si>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</si>
  <si>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Documentos de lineamientos técnicos realizados</t>
  </si>
  <si>
    <t>Número - Número: Cantidad</t>
  </si>
  <si>
    <t>Identificación y priorización de senderos en conjunto con la Empresa de Acueducto y Alcantarillado de Bogotá, se adelanto la revisión de componentes de diseño del proyecto Serranía del Zuque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</si>
  <si>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</si>
  <si>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</si>
  <si>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Restaurar, rehabilitar o recuperar nuevas hectáreas y mantener y hacer seguimiento a las áreas ya restauradas.</t>
  </si>
  <si>
    <t>Servicio de restauración de ecosistemas</t>
  </si>
  <si>
    <t>Áreas en proceso de restauración</t>
  </si>
  <si>
    <t>Hectáreas - Hectarea: Superficie</t>
  </si>
  <si>
    <t>El acumulado al mes de octubre es de 1,54 ha implementadas en Humedal Vaca sector Norte (0,39 ha) y Sur (0,2 ha), Capellanía (0,14 ha) Parque Entrenubes (0,81 ha), respecto a las 5 ha de esta vigencia</t>
  </si>
  <si>
    <t xml:space="preserve">El acumulado total al mes de noviembre en áreas nuevas en restauración implementadas es de 2,54 ha y de 1729 individuos. </t>
  </si>
  <si>
    <t xml:space="preserve">El acumulado total al mes de diciembre en áreas nuevas en restauración implementadas es de 5,49ha y de 2.900 individuos. </t>
  </si>
  <si>
    <t xml:space="preserve"> Áreas en proceso restauración en mantenimiento </t>
  </si>
  <si>
    <t>Se continua con erradicación de retamo y replante en Chapinero vereda Verjones predio la Unión, estamos en conversaciones con propietario de otros predio en misma vereda.</t>
  </si>
  <si>
    <t xml:space="preserve">Se continua con las  actividades en la Localidad Chapinero vereda Verjones predio la Unión continuando con erradicación de retamo, replante y se empezaron trabajos en el Predio Utopia en misma vereda </t>
  </si>
  <si>
    <t>El avance del indicador a diciembre es de 5,24ha de las 54ha programadas para esta vigencia de los cuales en el periodo se continua con la  erradicación de rebrotes de retamo y plantación en ahoyado</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</si>
  <si>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</si>
  <si>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</si>
  <si>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</si>
  <si>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 xml:space="preserve">Se identificaron los nodos del corredor Cuenca Alta-Cerro -Van Der Hammen-Torca, se ajustó el trazado corredor Cerros-El Virrey y se desarrollaron 13 secciones del diagnóstico de este corredor.
</t>
  </si>
  <si>
    <t>Se avanzó en la consolidación del documento de diagnóstico construido participativamente con todos los actores de la mesa del corredor Cerros - El Virrey.</t>
  </si>
  <si>
    <t>Se continua la consolidación del documento de diagnóstico construido participativamente con todos los actores de la mesa del corredor del gran Chicó,</t>
  </si>
  <si>
    <t>II PRODUCTO (FÍSICO) VIGENCIA 2021</t>
  </si>
  <si>
    <t>% PESO 2021</t>
  </si>
  <si>
    <t>META VIGENCIA  2021</t>
  </si>
  <si>
    <t>AVANCE VIGENCIA 2021</t>
  </si>
  <si>
    <t>% AVANCE VIGENCIA 2021</t>
  </si>
  <si>
    <t>Se avanzó en un 0,16 lo anterior está representado en la ejecución de las diversas actividades, las cuales para el mes de enero aportan una magnitud de 8% al total de la meta de la vigencia</t>
  </si>
  <si>
    <t>Se avanzó en un 0,33 acumulado lo anterior está representado en la ejecución de las diversas actividades, las cuales al  mes de Febrero aportan una magnitud de 17% al total de la meta de la vigencia</t>
  </si>
  <si>
    <t>Se avanzó en un 0,50 acumulado,lo anterior está representado en la ejecución de las diversas actividades, las cuales al  mes de marzo aportan una magnitud de 25% al total de la meta de la vigencia</t>
  </si>
  <si>
    <t>Se avanzó en un 0,66 acumulado,lo anterior está representado en la ejecución de las diversas actividades, las cuales al  mes de abril aportan una magnitud de 33% al total de la meta de la vigencia</t>
  </si>
  <si>
    <t>Se avanzó en un 0,90 acumulado,lo anterior está representado en la ejecución de las diversas actividades, las cuales al  mes de mayo aportan una magnitud de 40% al total de la meta de la vigencia</t>
  </si>
  <si>
    <t>Se avanzó en un 1 acumulado,lo anterior está representado en la ejecución de las diversas actividades, las cuales al  mes de junio  aportan una magnitud de 50% al total de la meta de la vigencia</t>
  </si>
  <si>
    <t>Se avanzó en un 1,16 acumulado,lo anterior está representado en la ejecución de las diversas actividades, las cuales al  mes de julio  aportan una magnitud de 58% al total de la meta de la vigencia</t>
  </si>
  <si>
    <t>Se avanzó en un 1,33 acumulado,lo anterior está representado en la ejecución de las diversas actividades, las cuales al  mes de Agosto  aportan una magnitud de 67% al total de la meta de la vigencia</t>
  </si>
  <si>
    <t>Se avanzó en un 1,50 acumulado,lo anterior está representado en la ejecución de las diversas actividades, las cuales al  mes de septiembre aportan una magnitud de 75% al total de la meta de la vigencia</t>
  </si>
  <si>
    <t>Se avanzó en un 1,67 acumulado,lo anterior está representado en la ejecución de las diversas actividades, las cuales a octubre aportan una magnitud de 84% al total de la meta de la vigencia</t>
  </si>
  <si>
    <t>Se avanzó en un 1,83 acumulado,lo anterior está representado en la ejecución de las diversas actividades, las cuales a noviembre aportan una magnitud de 92% al total de la meta de la vigencia</t>
  </si>
  <si>
    <t>Se avanzó en un 2 acumulado, lo anterior está representado en la ejecución de las diversas actividades, las cuales a diciembe aportan una magnitud de 100% al total de la meta de la vigencia</t>
  </si>
  <si>
    <t>Al mes de enero se registran 0,12ha nuevas, las cuales corresponden a 0,04ha en el Parque Ecológico Distrital de Humedal Juan Amarillo como parte de la fase 2 del plan de restauración de la Chucua de los Curíes. Por otra parte, se realizan 0,08ha en PEDH Humedal la Conejera.</t>
  </si>
  <si>
    <t>Al mes de febrero se registran 0,12ha nuevas, las cuales corresponden a 0,04ha en el Parque Ecológico Distrital de Humedal Juan Amarillo como parte de la fase 2 del plan de restauración de la Chucua de los Curíes. Por otra parte, se realizan 0,08ha en PEDH Humedal la Conejera.</t>
  </si>
  <si>
    <t>Al mes de marzo se registran 0,12ha nuevas, las cuales corresponden a 0,04ha en el Parque Ecológico Distrital de Humedal Juan Amarillo como parte de la fase 2 del plan de restauración de la Chucua de los Curíes. Por otra parte, se realizan 0,08ha en PEDH Humedal la Conejera.</t>
  </si>
  <si>
    <t>Al mes de abril se registran 0,12ha nuevas, las cuales corresponden a 0,04ha en el Parque Ecológico Distrital de Humedal Juan Amarillo como parte de la fase 2 del plan de restauración de la Chucua de los Curíes. Por otra parte, se realizan 0,08ha en PEDH Humedal la Conejera.</t>
  </si>
  <si>
    <t>Al mes de mayo se registran 0,12ha nuevas, las cuales corresponden a 0,04ha en el Parque Ecológico Distrital de Humedal Juan Amarillo como parte de la fase 2 del plan de restauración de la Chucua de los Curíes. Por otra parte, se realizan 0,08ha en PEDH Humedal la Conejera.</t>
  </si>
  <si>
    <t xml:space="preserve">Al mes de junio se registran 1,10ha nuevas, las cuales corresponden a acciones realizadas en  
en la localidad de Usme, Suba, San Cristóbal, Usaquén, y PEDH Juan Amarillo y Conejera. 
</t>
  </si>
  <si>
    <t xml:space="preserve">Al mes de julio se registran 1,10ha nuevas, las cuales corresponden a acciones realizadas en  
en la localidad de Usme, Suba, San Cristóbal, Usaquén, y PEDH Juan Amarillo y Conejera. 
</t>
  </si>
  <si>
    <t xml:space="preserve">Al mes de agosto se registran 1,73ha nuevas, las cuales corresponden a acciones realizadas en  
en la localidad de Usme, Suba, San Cristóbal, Usaquén, y PEDH Juan Amarillo y Conejera. 
</t>
  </si>
  <si>
    <t xml:space="preserve">Al mes de septiembre se registran 2,24ha nuevas, las cuales corresponden a acciones realizadas en la localidad de Usme, Suba, San Cristóbal, Usaquén, y PEDH Juan Amarillo y Conejera. 
</t>
  </si>
  <si>
    <t xml:space="preserve">Al mes de octubre se registran 6,09ha nuevas, las cuales corresponden a acciones realizadas en la localidad de Usme, Suba, San Cristóbal, Usaquén, y PEDH Juan Amarillo y Conejera. 
</t>
  </si>
  <si>
    <t xml:space="preserve">Al mes de noviembre se registran 11,06ha nuevas, las cuales corresponden a acciones realizadas en la localidad de Usme, Suba, San Cristóbal, Usaquén, y PEDH Juan Amarillo y Conejera. 
</t>
  </si>
  <si>
    <t xml:space="preserve">Al mes de diciembre se registran 14,19ha nuevas, las cuales corresponden a acciones realizadas en la localidad de Usme, Suba, San Cristóbal, Usaquén, y PEDH Juan Amarillo y Conejera. 
</t>
  </si>
  <si>
    <t>Se reporta un acumulado de 1,48ha, lo cual se distribuye entre lo reportado en las áreas de humedal de mantenimiento, por contrato de Aguas de Bogotá y lo realizado en el predio Utopia</t>
  </si>
  <si>
    <t>Se reporta un acumulado de 2,86ha, lo cual se distribuye entre lo reportado en las áreas de humedal de mantenimiento, lo realizado en el predio Utopia y quebrada los Verjones</t>
  </si>
  <si>
    <t>Se reporta un acumulado de 8,71ha, lo cual se distribuye entre lo reportado en las áreas de humedal de mantenimiento, lo realizado en el predio Utopia, quebrada los Verjones y e n el sector de Aguas Claras, localidad San Cristobal</t>
  </si>
  <si>
    <t>Se reporta un acumulado de 10,01ha, lo cual se distribuye entre lo reportado en las áreas de humedal de mantenimiento, lo realizado en el predio Utopia, quebrada los Verjones y e n el sector de Aguas Claras, localidad San Cristobal</t>
  </si>
  <si>
    <t>Se reporta un acumulado de 29,73ha, lo cual se distribuye entre lo reportado en las áreas de humedal de mantenimiento, lo realizado en el predio Utopia, quebrada los Verjones y e n el sector de Aguas Claras, localidad San Cristobal</t>
  </si>
  <si>
    <t>Se reporta un acumulado de 35,48ha lo cual se distribuye entre lo reportado en las áreas de humedal de mantenimiento, en lalocalidad San Cristobal, localidad de Suba y localidad de Usme</t>
  </si>
  <si>
    <t>Se reporta un acumulado de 40,72ha, lo cual se distribuye entre lo reportado en las áreas de humedal de mantenimiento, en lalocalidad San Cristobal, localidad de Suba y localidad de Usme</t>
  </si>
  <si>
    <t>Se reporta un acumulado de 55,02ha, lo cual se distribuye entre lo reportado en las áreas de humedal de mantenimiento, en lalocalidad San Cristobal, localidad de Suba y localidad de Usme</t>
  </si>
  <si>
    <t>Se reporta un acumulado de 57,14ha, lo cual se distribuye entre lo reportado en las áreas de humedal de mantenimiento, en lalocalidad San Cristobal, localidad de Suba y localidad de Usme</t>
  </si>
  <si>
    <t>Se reporta un acumulado de 60,56ha, lo cual se distribuye entre lo reportado en las áreas de humedal de mantenimiento, en lalocalidad San Cristobal, localidad de Suba y localidad de Usme</t>
  </si>
  <si>
    <t>Se avanzó en consolidar la propuesta de procedimiento para implementar y efectuar el seguimiento a corredores de conectividad ecológica en Bogotá D.C</t>
  </si>
  <si>
    <t>Durante este periodo se continúa con la consolidación de la propuesta de procedimiento para implementar y efectuar el seguimiento a corredores de conectividad ecológica en Bogotá D.C,</t>
  </si>
  <si>
    <t xml:space="preserve">Para cuatrienio se tiene un acumulado del 0.40 con un avance en la vigencia del 0,14 a la fecha, representado en acciones de diferentes mesas de trabajo para avanzar en la revisión y retroalimentación de los diferentes documentos
</t>
  </si>
  <si>
    <t xml:space="preserve">Para cuatrienio se tiene un acumulado del 0.46 con un avance en la vigencia del 0,20 a la fecha, representado en acciones de diferentes mesas de trabajo para avanzar en la revisión y retroalimentación de los diferentes documentos
</t>
  </si>
  <si>
    <t xml:space="preserve">Para cuatrienio se tiene un acumulado del 0.53 con un avance en la vigencia del 0,26 a la fecha, representado en acciones de diferentes mesas de trabajo para avanzar en la revisión y retroalimentación de los diferentes documentos
</t>
  </si>
  <si>
    <t>Para cuatrienio se tiene un acumulado del 0.59 con un avance en la vigencia del 0,26 a la fecha, representado en acciones de diferentes mesas de trabajo para avanzar en la revisión y retroalimentación de los diferentes documentos</t>
  </si>
  <si>
    <t>Para cuatrienio se tiene un acumulado del 0,65 con un avance en la vigencia del 0,39 a la fecha, representado en acciones de diferentes mesas de trabajo para avanzar en la revisión y retroalimentación de los diferentes documentos</t>
  </si>
  <si>
    <t>Para cuatrienio se tiene un acumulado del 0,73 con un avance en la vigencia del 0,46 a la fecha, representado en acciones de diferentes mesas de trabajo para avanzar en la revisión y retroalimentación de los diferentes documentos</t>
  </si>
  <si>
    <t>Para cuatrienio se tiene un acumulado del 0,79 con un avance en la vigencia del 0,53 a la fecha, representado en acciones de diferentes mesas de trabajo para avanzar en la revisión y retroalimentación de los diferentes documentos</t>
  </si>
  <si>
    <t>Para cuatrienio se tiene un acumulado del 0,86 con un avance en la vigencia del 0,60 a la fecha, representado en acciones de diferentes mesas de trabajo para avanzar en la revisión y retroalimentación de los diferentes documentos</t>
  </si>
  <si>
    <t>Para cuatrienio se tiene un acumulado del 0,93 con un avance en la vigencia del 0,67 a la fecha, representado en acciones de diferentes mesas de trabajo para avanzar en la revisión y retroalimentación de los diferentes documentos</t>
  </si>
  <si>
    <t>Para cuatrienio se tiene un cumplimiento del 0,73 con un cumplimiento del 100% para la vigencia 2021, representado en acciones de diferentes mesas de trabajo para avanzar en la revisión y retroalimentación de los diferentes documentos tecnicos</t>
  </si>
  <si>
    <t>II PRODUCTO (FÍSICO) VIGENCIA 2023</t>
  </si>
  <si>
    <t>% PESO 2023</t>
  </si>
  <si>
    <t>META VIGENCIA  2023</t>
  </si>
  <si>
    <t>AVANCE VIGENCIA 2023</t>
  </si>
  <si>
    <t>% AVANCE VIGENCIA 2023</t>
  </si>
  <si>
    <t>Para enero no se programaron acciones que aportaran al cumplimiento de la meta, debido a que nos encontramos en procesos de contratación de personal de apoyo requerido para el cumplimiento de la misma</t>
  </si>
  <si>
    <t>Se avanzó en un 0,18 acumulado lo anterior está representado en la ejecución de las diversas actividades, las cuales al  mes de Febrero aportan una magnitud de 9% al total de la meta de la vigencia</t>
  </si>
  <si>
    <t xml:space="preserve">En enero del 2023 no hubo acciones en campo ya que se priorizaron las actividades de planeación y contratación del recurso humano para las actividades de restauración. </t>
  </si>
  <si>
    <t xml:space="preserve">En febrero de 2023 no hubo acciones en campo ya que el CONSORCIO BARZZILAI  empresa que ganó la licitación para la restauración del 2022 – 2023 se encuentra en la etapa preoperativa y en contratación </t>
  </si>
  <si>
    <t>En el enero de 2023, se realizaron actividades relacionadas con el mantenimiento del material vegetal  ubicado en los tres viveros que administra la Secretaria Distrital de Ambiente</t>
  </si>
  <si>
    <t>En el febrero de 2023, se realizaron actividades relacionadas con el mantenimiento del material vegetal  ubicado en los tres viveros que administra la Secretaria Distrital de Ambiente</t>
  </si>
  <si>
    <t>En enero 2023 no se programaron acciones que aportaran al cumplimiento de la meta, ya que nos encontramos en procesos de contratación de personal de apoyo requerido para el cumplimiento de la misma</t>
  </si>
  <si>
    <t>Durante este periodo se continúa implementacio y el seguimiento a los corredores de conectividad ecológica en Bogotá D.C,</t>
  </si>
  <si>
    <t>II PRODUCTO (FÍSICO) VIGENCIA 2024</t>
  </si>
  <si>
    <t>% PESO 2022</t>
  </si>
  <si>
    <t>META VIGENCIA  2022</t>
  </si>
  <si>
    <t>AVANCE VIGENCIA 2022</t>
  </si>
  <si>
    <t>% AVANCE VIGENCIA 2022</t>
  </si>
  <si>
    <t>III ACTIVIDADES SUIFT (PRESUPUESTO) VIGENCIA 2020</t>
  </si>
  <si>
    <t>ACTIVIDAD (SUIFT) META (SEGPLAN)</t>
  </si>
  <si>
    <t>PRESUPUESTO VIGENCIA SUIFP 2020</t>
  </si>
  <si>
    <t>PRESUPUESTO
OBLIGADO (GIRADO) 2020</t>
  </si>
  <si>
    <t>Observación mensual (200 Caracteres)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</si>
  <si>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</si>
  <si>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</si>
  <si>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Operador Logistico Obligado</t>
  </si>
  <si>
    <t>Prestaciones de servicio y operador logístico obligados hasta Octubre</t>
  </si>
  <si>
    <t>Prestaciones de servicio obligadas hasta noviembre, operador logístico y adición al contrato de transporte.</t>
  </si>
  <si>
    <t>Prestaciones de servicio obligadas hasta Diciembre y adiciones, operador logístico, adición al contrato de transporte, convenio de restauración con IDIPRON, fortalecimiento de huertas comunitarias, estudios y diseños 200ha</t>
  </si>
  <si>
    <t>Inversión - Adquisición de Bienes y Servicios: Restaurar, rehabilitar o recuperar a 370 nuevas hectáreas degradadas en la estructura ecológica principal y áreas de interés ambiental, con 450.000 individuos.</t>
  </si>
  <si>
    <t>No hubo ejecución presupuestal</t>
  </si>
  <si>
    <t>Prestaciones de servicio obligadas hasta Octubre</t>
  </si>
  <si>
    <t>Prestaciones de servicio obligadas hasta Noviembre y adición al contrato de transporte.</t>
  </si>
  <si>
    <t>Prestaciones de servicio obligadas hasta diciembre y adiciones, adición al contrato de transporte y contrato de Estudios y Diseños de 200ha</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</si>
  <si>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</si>
  <si>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</si>
  <si>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Prestaciones de servicio obligadas hasta Noviembre, servicio de telefonía  y adición al contrato de transporte.</t>
  </si>
  <si>
    <t>Prestaciones de servicio obligadas hasta diciembre y adiciones, servicio de telefonía, adición al contrato de transporte, convenio de ocupaciones ilegales, adquisición de chaquetas, Elementos Informativos Interno y Externo,</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</si>
  <si>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</si>
  <si>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</si>
  <si>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Prestaciones de servicio obligadas hasta Noviembre  y adición al contrato de transporte.</t>
  </si>
  <si>
    <t>Prestaciones de servicio obligadas hasta diciembre y adición, contrato de diseño e implemtación de un diplomado virtual  y adición al contrato de transporte.</t>
  </si>
  <si>
    <t>III ACTIVIDADES SUIFT (PRESUPUESTO) VIGENCIA 2021</t>
  </si>
  <si>
    <t>PRESUPUESTO VIGENCIA SUIFP 2021</t>
  </si>
  <si>
    <t>PRESUPUESTO
OBLIGADO (GIRADO) 2021</t>
  </si>
  <si>
    <t xml:space="preserve">Sin Presupuesto obligado por encontrarnos en periodo de contrataciòn </t>
  </si>
  <si>
    <t>Representado en la adiciòn al contrato de transporte y contrataciòn de OPS</t>
  </si>
  <si>
    <t>Representado en el transporte y la adiciòn de mismo ademas de la contrataciòn de OPS</t>
  </si>
  <si>
    <t>Representado en el transporte, adiciòn de mismo y elementos de bioseguridad ademas de la contrataciòn de OPS</t>
  </si>
  <si>
    <t>Representado en el transporte, adiciòn de mismo, convenio de PSA, elementos de bioseguridad ademas de la contrataciòn de OPS</t>
  </si>
  <si>
    <t>Representado en el transporte, adiciòn de mismo, convenio de PSA, elementos de bioseguridad y el contrato de mantenimiento de areas ademas de la contrataciòn de OPS</t>
  </si>
  <si>
    <t>Representado en el transporte, adiciòn de mismo, convenio de PSA, elementos de bioseguridad, contrato de mantenimiento y el de restauración de areas, adición al convenios 1240 con la EAAB, pago del pasivo con IDIPRON y pago de sentencia ademas de la contrataciòn de OPS</t>
  </si>
  <si>
    <t>Representado en la contrataciòn de OPS</t>
  </si>
  <si>
    <t>Representado en la contrataciòn de OPS y el contrato de transporte</t>
  </si>
  <si>
    <t>Representado en la contrataciòn de OPS, el contrato de transporte y de elementos de bioseguridad</t>
  </si>
  <si>
    <t>Representado en la contrataciòn de OPS, el contrato de transporte, de elementos de bioseguridad y viveros</t>
  </si>
  <si>
    <t>Representado en la contrataciòn de OPS, el contrato de transporte, de elementos de bioseguridad, viveros y restauraciòn</t>
  </si>
  <si>
    <t>Representado en la adiciòn al contrato de transporte, el pago de telefonia movil y contrataciòn de OPS</t>
  </si>
  <si>
    <t>Representado contrato de transporte y la adiciòn, el pago de telefonia movi, pago de Pasivo con el JBB  y contrataciòn de OPS</t>
  </si>
  <si>
    <t>Representado contrato de transporte y la adiciòn, el pago de telefonia movi, pago de Pasivo con el JBB, elementos de bioseguridad y contrataciòn de OPS</t>
  </si>
  <si>
    <t>Representado contrato de transporte y la adiciòn, el pago de telefonia movil, pago de Pasivo con el JBB, elementos de bioseguridad, convenio con PNUD -mujeres reverdecen y contrataciòn de OPS</t>
  </si>
  <si>
    <t>Representado contrato de transporte y la adiciòn, el pago de telefonia movil, pago de Pasivo con el JBB, elementos de bioseguridad, convenio con PNUD -mujeres reverdecen, mantenimiento de areas y contrataciòn de OPS</t>
  </si>
  <si>
    <t>III ACTIVIDADES SUIFT (PRESUPUESTO) VIGENCIA 2022</t>
  </si>
  <si>
    <t>PRESUPUESTO VIGENCIA SUIFP 2022</t>
  </si>
  <si>
    <t>PRESUPUESTO
OBLIGADO (GIRADO) 2022</t>
  </si>
  <si>
    <t xml:space="preserve"> </t>
  </si>
  <si>
    <t>Representado en la contrataciòn de OPS y contrato de trasporte</t>
  </si>
  <si>
    <t>Representado en la contrataciòn de OPS, contrato de trasporte y Zuque</t>
  </si>
  <si>
    <t>Representado en la contrataciòn de OPS, contrato de trasporte, Zuque y su interventoria</t>
  </si>
  <si>
    <t>Representado en la contrataciòn de OPS y contrato de trasporte e interventoria de restauraciòn</t>
  </si>
  <si>
    <t>Representado en la contrataciòn de OPS, contrato de trasporte e interventoria de restauraciòn del 2021 y contrato de restauracion y su interventoria</t>
  </si>
  <si>
    <t>Representado en la contrataciòn de OPS, contrato de trasporte, pago de pasivo y adición al contrato de interventoria de mantenimiento</t>
  </si>
  <si>
    <t>Representado en la contrataciòn de OPS, contrato de trasporte, pago de pasivo, adición al contrato de interventoria de mantenimiento2021 y contrato de mantenimiento e interventoria</t>
  </si>
  <si>
    <t>Representado en la contrataciòn de OPS, contrato de trasporte y el contrato de señaletica</t>
  </si>
  <si>
    <t>III ACTIVIDADES SUIFT (PRESUPUESTO) VIGENCIA 2023</t>
  </si>
  <si>
    <t>PRESUPUESTO VIGENCIA SUIFP 2023</t>
  </si>
  <si>
    <t>PRESUPUESTO
OBLIGADO (GIRADO) 2023</t>
  </si>
  <si>
    <t>Representado en la contrataciòn de OPS, contrato de trasporte y el contato de Zuque</t>
  </si>
  <si>
    <t>Representado en la contrataciòn de OPS, contrato de trasporte y el contrato de Zuque</t>
  </si>
  <si>
    <t>Representado en la contrataciòn de OPS, contrato de trasporte y el contato de Restauraciòn</t>
  </si>
  <si>
    <t>Representado en la contrataciòn de OPS, contrato de trasporte y el contrato de mantenimiento</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</si>
  <si>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</si>
  <si>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</si>
  <si>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</si>
  <si>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</si>
  <si>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</si>
  <si>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</si>
  <si>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</si>
  <si>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</si>
  <si>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1000G725Porcentaje de acciones de fortalecimineto a los beneficairios directos , emprendidas-</t>
  </si>
  <si>
    <t>Porcentaje- Porcentaje: Cantidad</t>
  </si>
  <si>
    <t xml:space="preserve">0900G188- Areas sembradas con cobertura vegetal </t>
  </si>
  <si>
    <t>Hectáreas- Hectarea: Superficie</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</si>
  <si>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</si>
  <si>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</si>
  <si>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</si>
  <si>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la consolidación del documento de diagnóstico construido participativamente con todos los actores de la mesa del corredor del gran Chicó</t>
  </si>
  <si>
    <t>IV GESTIÓN  (FÍSICO) VIGENCIA 2021</t>
  </si>
  <si>
    <t>META VIGENCIA 2021</t>
  </si>
  <si>
    <t>AVANCE META VIGENCIA 2021</t>
  </si>
  <si>
    <t>% AVANCE META VIGENCIA 2021</t>
  </si>
  <si>
    <t>Se avanzó en un 46.28%, cabe señalar que esta meta inicia de una línea base establecida de 44%, lo anterior está representado en la ejecución de las diversas actividades, las cuales para el mes de enero aportan una magnitud de 0.36% al total de la meta.</t>
  </si>
  <si>
    <t>Se avanzó en un 46.64%, cabe señalar que esta meta inicia de una línea base establecida de 44%, lo anterior está representado en la ejecución de las diversas actividades, las cuales para el mes de enero aportan una magnitud de 0.36% al total de la meta.</t>
  </si>
  <si>
    <t>Se avanzó en un 47,02%, cabe señalar que esta meta inicia de una línea base establecida de 44%, lo anterior está representado en la ejecución de las diversas actividades, las cuales para el mes de enero aportan una magnitud de 0.38% al total de la meta.</t>
  </si>
  <si>
    <t xml:space="preserve">Se avanzó en un 47,10%, cabe señalar que esta meta inicia de una línea base establecida de 44%, lo anterior está representado en la ejecución de las diversas actividades, las cuales para el mes de abril aportan una magnitud de 0.08% al total de la meta.
</t>
  </si>
  <si>
    <t>Se avanzó en un 47,56%, cabe señalar que esta meta inicia de una línea base establecida de 44%, lo anterior está representado en la ejecución de las diversas actividades, las cuales para el mes de mayo aportan una magnitud de 0.46% al total de la meta.</t>
  </si>
  <si>
    <t>Se avanzó en un 47,81%, cabe señalar que esta meta inicia de una línea base establecida de 44%, lo anterior está representado en la ejecución de las diversas actividades, las cuales para el mes de junio aportan una magnitud de 0.25% al total de la meta.</t>
  </si>
  <si>
    <t>Se avanzó en un 48,74%, cabe señalar que esta meta inicia de una línea base establecida de 44%, lo anterior está representado en la ejecución de las diversas actividades, las cuales para el mes de julio aportan una magnitud de 0.93% al total de la meta.</t>
  </si>
  <si>
    <t>Se avanzó en un 49,19%, cabe señalar que esta meta inicia de una línea base establecida de 44%, lo anterior está representado en la ejecución de las diversas actividades, las cuales para el mes de agosto aportan una magnitud de 0.45% al total de la meta.</t>
  </si>
  <si>
    <t>Se avanzó en un 49,95%, cabe señalar que esta meta inicia de una línea base establecida de 44%, lo anterior está representado en la ejecución de las diversas actividades, las cuales para el mes de septiembre aportan una magnitud de 0.76% al total de la meta.</t>
  </si>
  <si>
    <t>Se avanzó en un 50,86%, cabe señalar que esta meta inicia de una línea base establecida de 44%, lo anterior está representado en la ejecución de las diversas actividades, las cuales para el mes de octubre aportan una magnitud de 0.91% al total de la meta.</t>
  </si>
  <si>
    <t>Se avanzó en un 51,66%, cabe señalar que esta meta inicia de una línea base establecida de 44%, lo anterior está representado en la ejecución de las diversas actividades, las cuales para el mes de noviembre aportan una magnitud de 0.80% al total de la meta.</t>
  </si>
  <si>
    <t>Se avanzó en un 52,19%, cabe señalar que esta meta inicia de una línea base establecida de 44%, lo anterior está representado en la ejecución de las diversas actividades, las cuales para el mes de diciembre aportan una magnitud de 93,20% al total de la meta.</t>
  </si>
  <si>
    <t>Se registran 0,12ha nuevas, las cuales corresponden a 0,04ha en el Humedal Juan Amarillo como parte de la fase 2 del plan de restauración de la Chucua de los Curíes. Por otra parte, se realizan 0,08ha en PEDH Humedal la Conejera.</t>
  </si>
  <si>
    <t>Se registran 1,10ha nuevas, las cuales corresponden a acciones realizadas en  en la localidad de Usme, Suba, San Cristóbal, Usaquén, y PEDH Juan Amarillo y Conejera</t>
  </si>
  <si>
    <t>Se registran 1,73ha nuevas, las cuales corresponden a acciones realizadas en  en la localidad de Usme, Suba, San Cristóbal, Usaquén, y PEDH Juan Amarillo y Conejera</t>
  </si>
  <si>
    <t>Se registran 2,24ha nuevas, las cuales corresponden a acciones realizadas en  en la localidad de Usme, Suba, San Cristóbal, Usaquén, y PEDH Juan Amarillo y Conejera</t>
  </si>
  <si>
    <t>Se registran 6,29ha nuevas, las cuales corresponden a acciones realizadas en  en la localidad de Usme, Suba, San Cristóbal, Usaquén, y PEDH Juan Amarillo y Conejera</t>
  </si>
  <si>
    <t>Se registran 11,06ha nuevas, las cuales corresponden a acciones realizadas en  en la localidad de Usme, Suba, San Cristóbal, Usaquén, y PEDH Juan Amarillo y Conejera</t>
  </si>
  <si>
    <t>Se registran 14,19ha nuevas, las cuales corresponden a acciones realizadas en  en la localidad de Usme, Suba, San Cristóbal, Usaquén, y PEDH Juan Amarillo y Conejera</t>
  </si>
  <si>
    <t>Se reporta un acumulado de 35,48ha, lo cual se distribuye entre lo reportado en las áreas de humedal de mantenimiento, en lalocalidad San Cristobal, localidad de Suba y localidad de Usme</t>
  </si>
  <si>
    <t>Se reporta un acumulado de 60,56ha, lo cual se distribuye entre lo reportado en las áreas de humedal de mantenimiento, en la localidad San Cristobal, localidad de Suba y localidad de Usme</t>
  </si>
  <si>
    <t>El avance esta para este periodo esta representado en acciones de diferentes mesas de trabajo para avanzar en la revisión y retroalimentación de los diferentes documentos</t>
  </si>
  <si>
    <t>Para cuatrienio se tiene un acumulado del 0.65 con un avance en la vigencia del 0,39 a la fecha, representado en acciones de diferentes mesas de trabajo para avanzar en la revisión y retroalimentación de los diferentes documentos</t>
  </si>
  <si>
    <t>Para cuatrienio se tiene un cumplimiento en la vigencia del 100% representado en acciones de diferentes mesas de trabajo para avanzar en la revisión y retroalimentación de los diferentes documentos</t>
  </si>
  <si>
    <t>IV GESTIÓN  (FÍSICO) VIGENCIA 2022</t>
  </si>
  <si>
    <t>META VIGENCIA 2022</t>
  </si>
  <si>
    <t>AVANCE META VIGENCIA 2022</t>
  </si>
  <si>
    <t>% AVANCE META VIGENCIA 2022</t>
  </si>
  <si>
    <t>Se avanzó en un52,59%, cabe señalar que esta meta inicia de una línea base establecida de 44%, lo anterior está representado en la ejecución de las diversas actividades, las cuales para el mes de febrero aportan una magnitud de 0.40% al total de la meta.</t>
  </si>
  <si>
    <t>Se avanzó en un 53,18%, cabe señalar que esta meta inicia de una línea base establecida de 44%, lo anterior está representado en la ejecución de las diversas actividades, las cuales para el mes de marzo aportan una magnitud de 0,99% al total de la meta.</t>
  </si>
  <si>
    <t>Se avanzó en un 53,85%, cabe señalar que esta meta inicia de una línea base establecida de 44%, lo anterior está representado en la ejecución de las diversas actividades, las cuales para el mes de abril aportan una magnitud de 0,84% al total de la meta.</t>
  </si>
  <si>
    <t>Se avanzó en un 55,45%, cabe señalar que esta meta inicia de una línea base establecida de 44%, lo anterior está representado en la ejecución de las diversas actividades, las cuales para el mes de junio aportan una magnitud de 0,87% al total de la meta.</t>
  </si>
  <si>
    <t>Se avanzó en un 55,45%, cabe señalar que esta meta inicia de una línea base establecida de 44%, lo anterior está representado en la ejecución de las diversas actividades, las cuales para el mes de junio aportan una magnitud de 0,85% al total de la meta.</t>
  </si>
  <si>
    <t>Se avanzó en un 57,85%, cabe señalar que esta meta inicia de una línea base establecida de 44%, lo anterior está representado en la ejecución de las diversas actividades, las cuales para el mes de agosto aportan una magnitud de 0,90% al total de la meta.</t>
  </si>
  <si>
    <t>Se avanzó en un 59,06%, cabe señalar que esta meta inicia de una línea base establecida de 44%, lo anterior está representado en la ejecución de las diversas actividades, las cuales a septiembre aportan una magnitud de 0,92% al total de la meta.</t>
  </si>
  <si>
    <t>Se avanzó en un60,24%, cabe señalar que esta meta inicia de una línea base establecida de 44%, lo anterior está representado en la ejecución de las diversas actividades, las cuales a octubre aportan una magnitud de 0,94% al total de la meta.</t>
  </si>
  <si>
    <t>Se avanzó en un 61.33%, cabe señalar que esta meta inicia de una línea base establecida de 44%, lo anterior está representado en la ejecución de las diversas actividades, las cuales a octubre aportan una magnitud de 0,96% al total de la meta.</t>
  </si>
  <si>
    <t>Se avanzó en un 62,61%, cabe señalar que esta meta inicia de una línea base establecida de 44%, lo anterior está representado en la ejecución de las diversas actividades, las cuales a octubre aportan una magnitud de 0,98% al total de la meta.</t>
  </si>
  <si>
    <t xml:space="preserve">En enero del 2022 no hubo acciones en campo ya que se priorizaron las actividades de planeación y contratación del recurso humano para las actividades de restauración. </t>
  </si>
  <si>
    <t xml:space="preserve">Enfebrero del 2022 no hubo acciones en campo ya que se priorizaron las actividades de planeación y diseños de contratación para las actividades de restauración. </t>
  </si>
  <si>
    <t>Para la vigencia 2022 en el periodo comprendido de enero a marzo, el avance acumulado es 3,20ha</t>
  </si>
  <si>
    <t>Para la vigencia 2022 en el periodo comprendido de enero a abril, el avance acumulado es 3,30ha</t>
  </si>
  <si>
    <t>Para la vigencia 2022 en el periodo comprendido de enero a mayo, el avance acumulado es 4,27ha</t>
  </si>
  <si>
    <t>Para la vigencia 2022 en el periodo comprendido de enero a junio, el avance acumulado es 4,36ha</t>
  </si>
  <si>
    <t>Para la vigencia 2022 en el periodo comprendido de enero a julio, el avance acumulado es 16,89ha</t>
  </si>
  <si>
    <t>Para la vigencia 2022 en el periodo comprendido de enero a agosto, el avance acumulado es 17,02ha</t>
  </si>
  <si>
    <t>Para la vigencia 2022 en el periodo comprendido de enero aseptiembre, el avance acumulado es 24,46ha</t>
  </si>
  <si>
    <t>Para la vigencia 2022 en el periodo comprendido de enero a octubre, el avance acumulado es 27,18ha</t>
  </si>
  <si>
    <t>Para la vigencia 2022 en el periodo comprendido de enero a noviembre, el avance acumulado es 28,15ha</t>
  </si>
  <si>
    <t>Para la vigencia 2022 en el periodo comprendido de enero a diciembre, el avance acumulado es 30,66ha</t>
  </si>
  <si>
    <t>En el enero de 2022, se realizaron actividades relacionadas con el mantenimiento del material vegetal  ubicado en los tres viveros que administra la Secretaria Distrital de Ambiente</t>
  </si>
  <si>
    <t>En el febrero de 2022, se realizaron actividades relacionadas con el mantenimiento del material vegetal  ubicado en los tres viveros que administra la Secretaria Distrital de Ambiente</t>
  </si>
  <si>
    <t>En marzo se avanzó en 7.12ha correspondiente a las actividades de mantenimiento</t>
  </si>
  <si>
    <t>En abril se avanzó en 7.12ha correspondiente a las actividades de mantenimiento</t>
  </si>
  <si>
    <t>En mayo se avanzó en 17,55ha correspondiente a las actividades de mantenimiento</t>
  </si>
  <si>
    <t>En Junio se avanzó en 24,52ha correspondiente a las actividades de mantenimiento</t>
  </si>
  <si>
    <t>En Julio se avanzó en 27,66ha correspondiente a las actividades de mantenimiento</t>
  </si>
  <si>
    <t>En agosto se avanzó en 35,16ha correspondiente a las actividades de mantenimiento</t>
  </si>
  <si>
    <t>En Septiembre se avanzó en 35,16ha correspondiente a las actividades de mantenimiento</t>
  </si>
  <si>
    <t>En octubre se avanzó en 35,16ha correspondiente a las actividades de mantenimiento</t>
  </si>
  <si>
    <t>En noviembre se avanzó en 35,16ha correspondiente a las actividades de mantenimiento</t>
  </si>
  <si>
    <t>En diciembre se avanzó en 35,16ha correspondiente a las actividades de mantenimiento</t>
  </si>
  <si>
    <t>En enero 2022 no se programaron acciones que aportaran al cumplimiento de la meta, ya que nos encontramos en procesos de contratación de personal de apoyo requerido para el cumplimiento de la misma</t>
  </si>
  <si>
    <t>IV GESTIÓN  (FÍSICO) VIGENCIA 2023</t>
  </si>
  <si>
    <t>META VIGENCIA 2023</t>
  </si>
  <si>
    <t>AVANCE META VIGENCIA 2023</t>
  </si>
  <si>
    <t>% AVANCE META VIGENCIA 2023</t>
  </si>
  <si>
    <t>Se avanzó en un62,81%, cabe señalar que esta meta inicia de una línea base establecida de 44%, lo anterior está representado en la ejecución de las diversas actividades, las cuales para el mes de febrero aportan una magnitud de 0.20% al total de la meta.</t>
  </si>
  <si>
    <t>En enero de 2023, se realizaron actividades relacionadas con el mantenimiento del material vegetal  ubicado en los tres viveros que administra la Secretaria Distrital de Ambiente</t>
  </si>
  <si>
    <t>IV GESTIÓN  (FÍSICO) VIGENCIA 2024</t>
  </si>
  <si>
    <t>% PESO 2024</t>
  </si>
  <si>
    <t>META VIGENCIA 2024</t>
  </si>
  <si>
    <t>AVANCE META VIGENCIA 2024</t>
  </si>
  <si>
    <t>% AVANCE META VIGENCIA 2024</t>
  </si>
  <si>
    <r>
      <t>7, LOGROS CORTE MARZO</t>
    </r>
    <r>
      <rPr>
        <b/>
        <sz val="9"/>
        <color rgb="FFFF0000"/>
        <rFont val="Arial"/>
        <family val="2"/>
      </rPr>
      <t xml:space="preserve"> </t>
    </r>
    <r>
      <rPr>
        <b/>
        <sz val="9"/>
        <rFont val="Arial"/>
        <family val="2"/>
      </rPr>
      <t xml:space="preserve">AÑO </t>
    </r>
    <r>
      <rPr>
        <b/>
        <u/>
        <sz val="9"/>
        <rFont val="Arial"/>
        <family val="2"/>
      </rPr>
      <t>2023</t>
    </r>
  </si>
  <si>
    <t xml:space="preserve">La meta parte de una línea base establecida del 44%, en el 2020 se realizó un avance del 1,09%, en el 2021 del 6,27%, en el 2022 de 10,42% y en el 2023 de 0,60% lo que permite que actualmente el avance acumulado sea de 63,21% Las actividades desarrolladas durante estos periodos son:
Predios: Se continua con el seguimiento del Convenio 1240 de 2017 con la Empresa de Acueducto de Bogotá – EAAB a la fecha se tienen 87 predios en gestión, 2 predios adquiridos con un área de 20,21ha en el Área de Ocupación Publico Prioritaria AOPP. 
Restauración: Durante el cuatrienio se han implementado 19,6 Ha. Para lo corrido de la vigencia 2023 (Enero a abril), se realizaron las visitas y se entregaron seis polígono al Consorcio Barzzilai para la restauración que incluye 11,2ha nuevas en franja de adecuación.
Senderos: Para lo corrido de la vigencia 2023 se realizó la operación del camino Guadalupe Aguanoso durante 8 fines de semana, se reactivó la operación el último fin de semana de febrero,  en marzo se operó con normalidad excepto el fin de semana del 11 por condiciones climáticas . Se está finalizando la contratación del personal para la operación del sendero en la vigencia 2023.  Se  han realizado dos comités técnicos del Convenio SDA-20211323. 
Cantera: En cuanto a la obra de Zuque se realizó el trámite de modificación contractual correspondiente a reprogramación y traslapo de etapas de apropiación y ajuste de diseños con etapa de ejecución de obras. En actividades de obra se adelantaron demoliciones de estructuras existentes, remoción parcial de escombros, rellenos en material seleccionado y fundición de concretos de limpieza de algunas de las aulas ambientales.
Iniciativas: Avanza implementación de iniciativa, se adelantan gestiones de planificación de acciones para dar cierre a la iniciativa "Caminos de Hijuefuchas",  incluyendo las áreas intervenidas con acciones de restauración  en el contrato SDA-20221989, para su mantenimiento y realizando gestiones con el Jardín Botánico de Bogotá -JBB para continuar el fortalecimiento de las huertas  y realizar selección e implementación de iniciativa en la Localidad de Chapinero.
Hitos de amojonamiento: Se avanza proceso de elaboración de señales informativas en la franja y su Área de Ocupación Público Prioritaria-AAOP, realizando ajustes a los diseños presentados por parte del contratista, se realizan visitas de verificación a sitios de instalación, revisión predial y cartográfica.
Pago por Servicios Ambientales: Se firmó el acuerdo de conservación con Umbral Horizontes que involucra 0,72ha en Franja. Vinculación del predio San Rafael Tibaque-localidad de Usme con 5,2ha en conservación y protección y se avanza en gestiones para firma de acuerdo de conservación. Se realizó reunión y recorrido en un predio del instituto Roosevelt con potencial para vinculación con acuerdo de conservación.
</t>
  </si>
  <si>
    <t xml:space="preserve">Para lo corrido de la vigencia 2023 (enero a marzo), en la ejecución del convenio interadministrativo 1240 de 2017 se adelantaron los siguientes tramites:
• Solicitud ante la Secretaria Distrital de Planeación de 3 conceptos de uso del suelo localizados en el Área de Importancia Estratégica- AIE, de Cerros Orientales para iniciar el trámite de avalúo, así:
2 predios identificados con el ID CEOR-0090 y CEOR-0089 están parcialmente contenidos el Área de Ocupación Publico Prioritaria, AOPP.
1 predio con ID CEOR-0088 el cual está completamente contenido en el Área de Ocupación Publico Prioritaria, AOPP.
Gestión convenio 1240 de 2017: Se realizó comité de seguimiento a los predios localizados en AOPP. 87 predios en gestión. Se remitió a notaria la escritura de compraventa  de 1 predio en el AIE Cerros Orientales y que se encuentra en el AOPP. Gestión por parte de la DGA: RT10: Continua proceso de expropiación, pendiente designación del juez para el proceso. RT17: Devolución del expediente a la DGA para reiniciar el proceso de adquisición por enajenación voluntaria en 2023.
Transferencias de derechos de construcción: se tiene una versión 2.0 de proyecto de decreto, DTS y exposición de motivos, el cual ha sido trabajado de manera coordinada con la Secretaria Distrital de Planeación - SDP . Se sostuvo reuniones con SDP y la Secretaria Distrital de Hacienda -SDH para afinar las cifras de zonas generadoras y el impacto en los costos directos en los procesos de construcción. Este instrumento permite adquirir predios en AOPP.
</t>
  </si>
  <si>
    <t>Para lo corrido de la vigencia 2023  (enero a marzo) se realizó la operación del camino Guadalupe Aguanoso durante 4 fines de semana en el mes de enero y se reactivó la operación el último fin de semana de febrero, cumpliendo con 8 fines de semana (sin contar con el fin de semana de 11 de marzo, por condiciones climáticas). Se está finalizando  con la contratación del personal para la operación del sendero en la vigencia 2023. Se reanudaron las mesas de trabajo del Proyecto Camino de los Cerros, se realizaron dos comités técnicos del Convenio SDA-20211323. La señalética producto de los contratos derivados se encuentra en fabricación para su instalación en el mes de abril. Se aprobó el Plan de Recreación Pasiva - PRP del sendero La Serranía por parte de la CAR. Finalmente, se está adelantando las gestiones y el plan de acción para Semana Santa en los caminos de los Cerros.</t>
  </si>
  <si>
    <t>Para lo corrido de la vigencia 2023  (enero a marzo), se desarrolló la primera etapa del proyecto en cuanto a la revisión y apropiación de estudios y diseños, los cuales fueron observados por el Contratista de Obra y la Interventoría, en especial el componente de geotecnia correspondiente a las obras de mitigación del riesgo. Se iniciaron actividades preliminares de obra como localización y replanteo, además de algunas demoliciones. El día 18 de febrero de 2023 se realizó la reunión de socialización del proyecto con la comunidad de la localidad de San Cristóbal. Durante marzo se realizó trámite de modificación contractual correspondiente a reprogramación y traslapo de etapas de apropiación y ajuste de diseños con etapa de ejecución de obras. Esta modificación no implicó variación de plazo o costo del contrato de obra. En actividades de obra se adelantaron demoliciones de estructuras existentes, remoción parcial de escombros, rellenos en material seleccionado y fundición de concretos de limpieza de algunas de las aulas ambientales. Administrativamente se llevaron a cabo los comités de seguimiento de obra (semanales) y se adelantó procesos de pago de los dos primeros periodos del contrato de interventoría.</t>
  </si>
  <si>
    <t xml:space="preserve">Para lo corrido de la vigencia 2023 (enero a marzo), en cuanto a Hitos de Amojonamiento: Se continua con el proceso de elaboración de señales informativas en la franja y su Área de Ocupación Público Prioritaria-AAOP, realizando ajustes a los diseños presentados por parte del contratista, se realizan visitas de verificación a sitios de instalación, revisión predial y cartográfica y ajuste de puntos de instalación.
Iniciativas: Se adelantan gestiones de planificación e implementación de acciones para dar cierre a la iniciativa "Caminos de Hijuefuchas", incluyendo las áreas intervenidas con acciones de restauración  en el contrato SDA-20221989, para su mantenimiento y realizando gestiones con el Jardín Botánico de Bogotá - JBB para continuar el fortalecimiento de las huertas a través del programa ECO de Secretaría de Educación. 
En relación a la selección e implementación de iniciativa en la Localidad de Chapinero, se establecio la temática de educación ambiental, por lo que se realizó reunión con líderes comunitarios y ambientales del barrio San Luis, presentando un contexto general de la propuesta.
</t>
  </si>
  <si>
    <t>Para lo corrido de la vigencia 2023  (enero a marzo), se realizó revisión de la información obtenida en 2022 y comenzaron las gestiones de planificación y desarrollo de actividades y/o acciones encaminadas a la vinculación de predios en el programa de Pago por Servicios Ambientales-PSA, el cual se encuentra en implementación a través del convenio SDA-PNUD y la vinculación de predios con acuerdos de conservación; en este sentido, se realizó reunión y recorrido en un predio del instituto Roosevelt con potencial para vinculación con acuerdo de conservación. De igual forma, se establecieron contactos con el Seminario Calazand en Chapinero (acuerdo de conservación), y con la propietaria de 4 predios en Usme y el administrador de un predio en Chapinero (PSA).</t>
  </si>
  <si>
    <t xml:space="preserve">En el periodo comprendido de enero a marzo de 2023, se realizaron actividades relacionadas con el mantenimiento del material vegetal  ubicado en los tres viveros que administra la Secretaria Distrital de Ambiente (Soratama, Entrenubes y Ceresa) en los cuales se realizaron tareas de riego, fertilización, llenado de bolsa  y mantenimiento de infraestructura de los mismos, los inventarios se mantienen con las siguientes cifras en viveros:  individuos vegetales disponibles 147.358 y 61.874 individuos en desarrollo para un total de 209.232 individuos vegetales.
En cuanto a las reservas de la meta, se reportan 13,8193ha de mantenimiento, las cuales se distribuyen así: por medio del programa “Mujeres Sembradoras” en la localidad de Usme 3.5500ha; por medio del contrato SDA-20221646 con Aguas de Bogotá en las localidades de Usme 0.1622ha, San Cristóbal 0.5457ha, Usaquén 0.1655ha, Suba 0.1013 ha, Engativá 0.1931ha, Barrios Unidos 0.0208ha, Fontibón 0.4225ha, Kennedy 0.2325ha, Bosa 0.1479 ha y Tunjuelito 0.1978 ha, para un total de 2.1893ha; Por medio del convenio 20221918 entre la SDA-IDIPRON- FDLSC en la localidad de San Cristóbal 7.6200 ha; además se realizaron acciones de sostenibilidad de la sucesión ecológica a través de intervenciones directas, mediante plantación para enriquecimiento con 52 individuos vegetales, dentro de un área en los polígonos RESB 0087, RESB 100 y RESB 164 localizados en RDH La Conejera, el área de mantenimiento por sostenibilidad a reportar de 0,46 has en la Localidad de Suba.
El contrato de mantenimiento SDA-20221989 con El Consorcio Baruc inicio actividades en la segunda semana del mes de febrero, durante este periodo se reportó la ejecución de las siguientes actividades: 34883 plateos, 30178 fertilizaciones, 8663 fertirriegos, 0.08 ha de control de retamo y la georreferenciación de 10441 individuos donde se han realizado las anteriores actividades. Las actividades se realizaron en las localidades de Usme y Ciudad Bolívar, en los polígonos REUS0006, REUS0007, REUS0008, REUS0009, REUS0039, PEDMEN03-1 y PEDMEN 97-70-96-93, localizados en el Parque Ecológico Distrital de Montaña, PEDM Entrenubes. El reporte como meta de la actividad se realizará una vez sean terminadas las acciones de mantenimiento (plateo, fertilización, fertirriego y georreferenciación) en cada polígono.
</t>
  </si>
  <si>
    <t xml:space="preserve">En el periodo comprendido de enero a marzo de 2023, se realizaron actividades relacionadas con el mantenimiento del material vegetal  ubicado en los tres viveros que administra la Secretaria Distrital de Ambiente (Soratama, Entrenubes y Ceresa), los inventarios se mantienen con las siguientes cifras en viveros:  individuos vegetales disponibles 147.358 y 61.874 individuos en desarrollo para un total de 209.232 individuos vegetales.
En cuanto a las reservas de la meta, se reportan 13,8193ha de mantenimiento, las cuales se distribuyen así: por medio del programa “Mujeres Sembradoras” en la localidad de Usme 3.5500ha; por medio del contrato SDA-20221646 con Aguas de Bogotá en las localidades de Usme 0.1622ha, San Cristóbal 0.5457ha, Usaquén 0.1655ha, Suba 0.1013 ha, Engativá 0.1931ha, Barrios Unidos 0.0208ha, Fontibón 0.4225ha, Kennedy 0.2325ha, Bosa 0.1479 ha y Tunjuelito 0.1978 ha, para un total de 2.1893ha; Por medio del convenio 20221918 entre la SDA-IDIPRON- FDLSC en la localidad de San Cristóbal 7.6200 ha; además se realizaron acciones de sostenibilidad de la sucesión ecológica a través de intervenciones directas, mediante plantación para enriquecimiento con 52 individuos vegetales, dentro de un área en los polígonos RESB 0087, RESB 100 y RESB 164 localizados en RDH La Conejera, el área de mantenimiento por sostenibilidad a reportar de 0,46 has en la Localidad de Suba.
El contrato de mantenimiento SDA-20221989 con El Consorcio Baruc inicio actividades en la segunda semana del mes de febrero, durante este periodo se reportó la ejecución de las siguientes actividades: 34883 plateos, 30178 fertilizaciones, 8663 fertirriegos, 0.08 ha de control de retamo y la georreferenciación de 10441 individuos donde se han realizado las anteriores actividades. El reporte como meta de la actividad se realizará una vez sean terminadas las acciones de mantenimiento (plateo, fertilización, fertirriego y georreferenciación) en cada polígono.
</t>
  </si>
  <si>
    <t xml:space="preserve">En el periodo comprendido de enero a marzo de 2023, En cuanto a las reservas de la meta, se realizó el mantenimiento de  13.8193ha, las cuales se distribuyen así: por medio del programa “Mujeres Sembradoras” en la localidad de Usme 3.5500ha; por medio del contrato SDA-20221646 con Aguas de Bogotá en las localidades de Usme 0.1622ha, San Cristóbal 0.5457ha, Usaquén 0.1655ha, Suba 0.1013ha, Engativá 0.1931ha, Barrios Unidos 0.0208ha, Fontibón 0.4225ha, Kennedy 0.2325ha, Bosa 0.1479ha y Tunjuelito 0.1978ha para un total de 2.1893ha; Por medio del convenio 20221918 entre la SDA-IDIPRON-FDLSC  en la localidad de San Cristóbal 7.62ha; además se realizaron acciones de sostenibilidad de la sucesión ecológica a través de intervenciones directas, mediante plantación para enriquecimiento con 52 individuos vegetales, dentro de un área en los polígonos RESB 0087, RESB100 y RESB164 localizados en RDH La Conejera el área de mantenimiento por sostenibilidad a reportar de 0,46 has en la Localidad de Suba.
El contrato de mantenimiento SDA-20221989 con El Consorcio Baruc inició actividades en la segunda semana del mes de febrero, durante este periodo se reportó la ejecución de las siguientes actividades: 34833 plateos, 30178 fertilizaciones, 8663 fertirriegos, 0.08ha de control de retamo y la georreferenciación de 10441 individuos donde se han realizado las anteriores actividades. Las actividades se realizaron en los polígonos REUS0006, REUS0007, REUS0008, REUS0009, REUS0039, PEDMEN03-1 y PEDMEN 97-70-96-93, localizados en el Parque Ecológico Distrital de Montaña, PEDM Entrenubes, en las localidades de Usme y Ciudad Bolívar. El reporte como meta de la actividad se realizará una vez sea terminada las acciones de mantenimiento (plateo, fertilización, fertirriego y georreferenciación).
</t>
  </si>
  <si>
    <t>En el periodo comprendido de enero a marzo de 2023, se realizaron actividades relacionadas con el mantenimiento del material vegetal  ubicado en los tres viveros que administra la Secretaria Distrital de Ambiente (Soratama, Entrenubes y Ceresa) en los cuales se realizaron tareas de riego, fertilización, llenado de bolsa  y mantenimiento de infraestructura de los mismos, los inventarios se mantienen con las siguientes cifras en viveros: individuos vegetales disponibles 147.358 y 61.874 individuos en desarrollo para un total de 209.232 individuos vegetales.</t>
  </si>
  <si>
    <t xml:space="preserve">Se tiene un avance acumulado de 2.18 proyectos del cual 0.26 corresponden a la vigencia 2020, 0.74 a la vigencia 2021, 1.0 a la vigencia de 2022 y 0,18 para la vigencia 2023 mediante el desarrollo de las siguientes actividades: Elaboración documentos técnicos: análisis elementos espaciales del total del conector Bosque Oriental – Río Bogotá, el nodo Arzobispo – Park Way del conector Cerros – Virrey – Neuque y el total del conector, el total del conector Suba – Conejera, el nodo Tunjo – Tingua Azul del conector Media Luna del Sur y se elaboró la versión final del total de este conector, el nodo Alto Fucha del Conector Subcuenca del Río Fucha y del nodo bosque urbano Santa Helena y Chingaza - Sumapaz. Documento técnico de caracterización biótica para: el total del conector Bosque Oriental – Río Bogotá, el nodo Arzobispo – Park Way y el nodo Brazo Salitre V2 del conector Cerros – Virrey – Neuque, el total del conector Suba – Conejera, el total del conector Media Luna del Sur, el nodo Alto Fucha del Conector Subcuenca del Río Fucha y del nodo bosque urbano Santa Helena y conector Chingaza-Sumapaz. Versión final documento modelo de conectividad funcional para el conector Bosque Oriental – Río Bogotá y la versión final para el conector Media Luna del Sur. Análisis de coberturas de la tierra y análisis del arbolado del conector subcuenca Río Fuha. Análisis de tensionantes ambientales para el conector Media Luna del Sur. VF ciencia ciudadana para conectores.  Documentos sociales:  Media Luna del Sur V.5, Tunjo V4, Subcuentca  río Fucha V.5, nodo Alto Fucha V3, Cerros Orientales Localidad Suba V1 y los conectores Suba La Conejera V1 y Cerros, Virrey, Neuque V4. Documento socioambiental Media Luna del sur V1. Planificación intervenciones áreas priorizadas de los conectores, espacios articulación interinstitucional: mesa Chicó Virrey,  taller con instituciones distritales y la CAR, nodo Arzobispo - Parkway y Brazo Salitre, reunión seguimiento plan interinstitucional nodo Tunjo Tingua Azul. 
Trabajo de campo nodo: Tunjo - Tingua Azul.  Seguimiento mediante solicitud a grupos de Restauración y Humedales SER de las actividades propuestas de intervención en el Nodo Tunjo – Tingua Azul del Conector Media Luna Sur.  Participación en 3 mesa de los vecinos del Parque Simón Bolívar dando a conocer el contexto de conectores.
 Trabajo socioambiental en los nodos priorizados mediante reconocimiento de actores claves, acercamiento con la comunidad, recorridos por el territorio, taller de cartografía social, intercambio de experiencias, siembra de árboles, trabajo mancomunado en huertas comunitarias, novena navideña participación en Pacto de borde de Mochuelo. 24 socializaciones señalética. 2 eventos de cierre de conectores. Inicio contrato 20222042 de señalética: 6 reuniones de seguimiento. Acciones para consolidación Bosque urbanos Santa Helena y Brazo Salitre. Celebracipon día de agua RDH La Vaca, Chingaza
</t>
  </si>
  <si>
    <t>Se tiene un avance acumulado de 2.18 proyectos del cual 0.26 corresponden a la vigencia 2020, 0.74 a la vigencia 2021, 1.0 a la vigencia de 2022 y 0,18 para la vigencia 2023 mediante el desarrollo de las siguientes actividades: Elaboración documentos técnicos: análisis elementos espaciales del total del conector Bosque Oriental – Río Bogotá, el nodo Arzobispo – Park Way del conector Cerros – Virrey – Neuque y el total del conector, el total del conector Suba – Conejera, el nodo Tunjo – Tingua Azul del conector Media Luna del Sur y se elaboró la versión final del total de este conector, Documento técnico de caracterización biótica para: el total del conector Bosque Oriental – Río Bogotá, el nodo Arzobispo – Park Way y el nodo Brazo Salitre V2 del conector Cerros – Virrey – Neuque, el total del conector Suba – Conejera, el total del conector Media Luna del Sur, el nodo Alto Fucha del Conector Subcuenca del Río Fucha y del nodo bosque urbano Santa Helena y conector Chingaza-Sumapaz. Versión final documento modelo de conectividad funcional para el conector Bosque Oriental – Río Bogotá y la versión final para el conector Media Luna del Sur.Análisis de tensionantes ambientales para el conector Media Luna del Sur. VF. Documentos sociales:  Media Luna del Sur V.5, Tunjo V4, Subcuentca  río Fucha V.5, nodo Alto Fucha V3 y los conectores Suba La Conejera V1 y Cerros, Virrey, Neuque V4. Documento socioambiental Media Luna del sur V1. Trabajo de campo nodo: Tunjo - Tingua Azul. Trabajo socioambiental en los nodos priorizados mediante reconocimiento de actores claves, acercamiento con la comunidad, recorridos por el territorio, taller de cartografía social, intercambio de experiencias, siembra de árboles, trabajo mancomunado en huertas comunitarias. 24 socializaciones señalética. Inicio contrato 20222042 de señalética: 6 reuniones de seguimiento. Acciones para consolidación Bosque urbanos Santa Helena y Brazo Salitre. Celebración día de agua RDH La Vaca, Chingaza</t>
  </si>
  <si>
    <t>Entre el período de enero a marzo del 2023 se realizaron documentos sociales de los Nodos Tunjo V4, Alto Fucha V3, Bosques Orientales Localidad Suba V1 y los conectores Suba La Conejera V1, Cerros, Virrey, Neuque V4 y técnicos: Ajuste de polígonos conectores ecosistémicos, coberturas de la tierra del conector Río Fucha V1, análisis del arbolado del conector ecosistémico subcuenca Rio Fucha V1 y factores tensionantes del nodo Tunjo_Tingua Azúl del conector Media Luna del Sur V1. Documento socioambiental CE Media Luna del Sur V1</t>
  </si>
  <si>
    <t>Entre el período de enero a marzo del 2023 se realizaron 4 reuniones con la comunidad para socializar el proyecto de señalética. Se realizaron 6 reuniones de seguimiento con Strategy contratista quien está ejecutando el contrato SDA-20222042 de señalética. Se consolido textos, mapas e imágenes para el diseño de 126 vallas dentro del contrato SDA-20222042. Conector Cerros - Virrey - Neuque Nodo Chico Virrey: Alimentarte 1 recorrido con comunidad, 1 recorrido con Fundación Corazón Verde. Conector Media Luna del Sur nodo Altos de la Estancia: rendición de cuentas 1 reunión. Conector suba - Conejera 1 reunión mesa territorial RDH La conejera. Propuesta marco como estrategia para conectores ecosistémicos</t>
  </si>
  <si>
    <t>Entre el período de enero a marzo del 2023 se realizó: Conectores Cerros Orientales Rio Bogotá y Suba La Conejera actividades para el fortalecimiento de lazos con la comunidad y promoción de la gobernanza mediante la asistencia a espacios de participación el 08/02, aplicación de instrumentos de recolección de información el 09/02 y articulación con el grupo de Humedales de la SDA para la celebración del día de los humedales el 02/02 esta acción también se realizaron para el Conector Cerros Virrey Neuque, en el que además se acompañó a la comunidad en el recorrido del 18/02 sobre el sector de Rafael Núñez. Acciones para la consolidación del bosque urbano Santa Helena y Brazo Salitre: 1 reunión con comunidad, 2 recorridos con comunidad, 1 reunión con expertos internacionales. Celebración fechas especiales: dia del agua RDH La Vaca, I.E en el Conector Sumapaz - Chinagaza.</t>
  </si>
  <si>
    <t>Se avanzó en un 0,36 acumulado lo anterior está representado en la ejecución de las diversas actividades, las cuales al  mes de marzo aportan una magnitud de 18% al total de la meta de la vigencia</t>
  </si>
  <si>
    <t>En marzo de 2023, se realizaron actividades relacionadas con el mantenimiento del material vegetal  ubicado en los tres viveros que administra la Secretaria Distrital de Ambiente</t>
  </si>
  <si>
    <t>Durante este periodo se continúa implementacion y el seguimiento a los corredores de conectividad ecológica en Bogotá D.C,</t>
  </si>
  <si>
    <t>Se avanzó en un 63,21%, cabe señalar que esta meta inicia de una línea base establecida de 44%, lo anterior está representado en la ejecución de las diversas actividades, las cuales para el mes de marzo aportan una magnitud de 85,42% al total de la meta.</t>
  </si>
  <si>
    <t>En el marzo de 2023, se realizaron actividades relacionadas con el mantenimiento del material vegetal  ubicado en los tres viveros que administra la Secretaria Distrital de Ambiente</t>
  </si>
  <si>
    <t xml:space="preserve">01Usaquén
02 Chapinero
03 Santafe
04 San Cristobal
05 Usme </t>
  </si>
  <si>
    <t xml:space="preserve">El total acumulado en el Plan de Desarrollo es 86,184 ha; de las cuales 5,49ha corresponden al 2020;  14,19ha corresponden al 2021;  30,66ha a la vigencia 2022, 35,81ha a la ejecución de la reserva de la meta en esta misma vigencia y 0,034 ha de 2023 en las siguientes localidades:
Vigencia 2020: Fontibón 0,40ha; Kennedy 0,59ha; San Cristóbal y Usme Parque Ecológico Distrital de Montaña Entre Nubes (PEDMEN) 4,114ha; Tunjuelito y Ciudad Bolívar (PEDH El Tunjo) 0,1ha; Engativá 0,26ha; Usme 0,03ha; para un total de 5,49ha. 
Vigencia 2021: Suba 4,621ha; Barrios Unidos 0,0318ha; Usme 8,209ha; Kennedy 0,0001ha; Tunjuelito 0,28ha; San Cristóbal 0,24ha; Engativá 0,07ha; Usaquén 0,68ha y Chapinero 0,058ha; para un total de 14,19 ha. 
Vigencia 2022: Usme 7,023ha, Suba 6,783ha, Fontibón 5,56ha, San Cristóbal 0,317ha, Santa Fe 3,54ha, Kennedy  0,026ha, Chapinero 0,026ha, Usaquén 0,29ha, Engativá 1,008ha, Candelaria 0,521ha, Ciudad Bolívar 0,14ha, Barrios Unidos 0,025ha y Tunjuelito 5,4ha; para un total de 30.66ha
Reserva vigencia 2022: Engativá 7,34ha, Usme 11,49ha, Suba 6,44ha, Kennedy 4,19ha, Bosa 1,60ha, Fontibón 0,69ha y Ciudad Bolívar 4,06ha; para un total de 35,81ha.
Vigencia 2023: Kennedy 0,017 ha y Suba 0,017 ha.
Adicionalmente se realizó la entrega de áreas para que el CONSORCIO BARZZILAI empresa que ganó la licitación para la restauración del 2022 – 2023, inició las labores de implementación en RDH Jaboque. Las áreas entregadas del componente 1 fueron: Predio La Serranía, localidad de Usaquén; El Delirio, localidad de San Cristóbal; FA 13. Entregado, localidad de Chapinero; FA 12. Entregado, localidad de Santa fe; Ruralidad, localidad de Usme. Del componente 2: Predio La Serranía, polígono de franja La serranía, localidad de Usaquén y Predio Barrancas El Cerrito, localidad de Usaquén y El FA01 y El Tesoro.
</t>
  </si>
  <si>
    <t xml:space="preserve">Para el periodo comprendido de enero a marzo del 2023 se realizaron acciones de restauración en la localidad de Kennedy 0,017ha  y en la localidad de Suba  0,017ha para un total de 0,034ha.
Adicionalmente en el 2023 se plantaron en las localidades de Ciudad Bolívar 38 individuos, Suba 343, Kennedy 76, Fontibón 7, Usaquén 70, San Cristóbal 220, Usme 581, Engativá 77 y Rafael Uribe Uribe 70; para un total de 1482;  en esta vigencia, llegando a si a 89.683 para el cuatrienio.
</t>
  </si>
  <si>
    <t>En Marzo se realizaron acciones de restauración en la localidad de Kennedy 0,017ha  y en la localidad de Suba  0,017ha para un total de 0,034ha.</t>
  </si>
  <si>
    <t>En marzo se realizaron acciones de restauración en la localidad de Kennedy 0,017ha  y en la localidad de Suba  0,017ha para un total de 0,034ha.</t>
  </si>
  <si>
    <t>18.Rafael Uribe Uribe
4.San Cristóbal
5.Usme
11.Suba
1.Usaquén
19.Ciudad Bolívar
12.Barrios Unidos
7.Bosa
9.Fontibón
8.Kennedy
10.Engativá
6.Tunjuelito
2.Chapinero
3.Santafé</t>
  </si>
  <si>
    <t xml:space="preserve"> 05 Usme
19. Ciudad Bolivar 
</t>
  </si>
  <si>
    <t>01. Usaquén
11. Suba</t>
  </si>
  <si>
    <t>6. Tunjuelito
7. Bosa
8. Kennedy
19. Ciudad Bolivar</t>
  </si>
  <si>
    <t xml:space="preserve">*Shape RDH Jaboque
*Ficha de restauración PDEM Entrenubes, predio 219, Rafael Uribe Uribe
*Ficha de restauración PDEM, predio 506, CAT, Juan Rey, Usme
*Ficha de restauración PDEM RT 14, La Fiscala Alta, Usme
*Anexo cartográfico de RDH La Conejera y RDH El Burro
</t>
  </si>
  <si>
    <t>PMR</t>
  </si>
  <si>
    <t>Se reportan 2.0625ha de mantenimiento, las cuales se distribuyen así: por medio del programa “Mujeres Sembradoras” 1.5500ha; por medio del contrato SDA-20221646 con Aguas de Bogotá 0.5125ha.</t>
  </si>
  <si>
    <t>En cuanto a las reservas de la meta, se reportan 2,5225ha de mantenimiento, por medio del programa “Mujeres Sembradoras” 1.5500ha; por medio del contrato SDA-20221646 con Aguas de Bogotá 0.5125ha; por medio de intervenciones directas 0,46ha</t>
  </si>
  <si>
    <r>
      <t xml:space="preserve">En reservas se reportan 13,8193ha de mantenimiento, así por el programa “Mujeres Sembradoras” 3,55ha; por contrato SDA-20221646 con Aguas de Bogotá 2,1893ha; Por convenio 20221918 entre la SDA-IDIPRON-FDLSC 7,62ha; </t>
    </r>
    <r>
      <rPr>
        <sz val="12"/>
        <color rgb="FF1F1F1F"/>
        <rFont val="Arial"/>
        <family val="2"/>
      </rPr>
      <t>por intervenciones directas 0,46ha</t>
    </r>
  </si>
  <si>
    <r>
      <t xml:space="preserve">En el periodo comprendido de enero a marzo de 2023, se realizaron actividades relacionadas con el mantenimiento del material vegetal  ubicado en los tres viveros que administra la Secretaria Distrital de Ambiente (Soratama, Entrenubes y Ceresa) en los cuales se realizaron tareas de riego, fertilización, llenado de bolsa  y mantenimiento de infraestructura de los mismos, los inventarios se mantienen con las siguientes cifras en viveros:  individuos vegetales disponibles 147.358 y 61.874 individuos en desarrollo para un total de 209.232 individuos vegetales.
En cuanto a las reservas de la meta, se reportan 13,8193ha de mantenimiento, las cuales se distribuyen así: por medio del programa “Mujeres Sembradoras” en la localidad de Usme 3.5500ha; por medio del contrato SDA-20221646 con Aguas de Bogotá en las localidades de Usme 0.1622ha, San Cristóbal 0.5457ha, </t>
    </r>
    <r>
      <rPr>
        <sz val="12"/>
        <color rgb="FFFF0000"/>
        <rFont val="Calibri"/>
        <family val="2"/>
      </rPr>
      <t>Usaquén 0.1655ha</t>
    </r>
    <r>
      <rPr>
        <sz val="12"/>
        <rFont val="Calibri"/>
        <family val="2"/>
      </rPr>
      <t xml:space="preserve">, Suba 0.1013 ha, Engativá 0.1931ha, Barrios Unidos 0.0208ha, Fontibón 0.4225ha, Kennedy 0.2325ha, Bosa 0.1479 ha y Tunjuelito 0.1978 ha, para un total de 2.1893ha; Por medio del convenio 20221918 entre la SDA-IDIPRON- FDLSC en la localidad de San Cristóbal 7.6200 ha; además se realizaron acciones de sostenibilidad de la sucesión ecológica a través de intervenciones directas, mediante plantación para enriquecimiento con 52 individuos vegetales, dentro de un área en los polígonos RESB 0087, RESB 100 y RESB 164 localizados en RDH La Conejera, el área de mantenimiento por sostenibilidad a reportar de 0,46 has en la Localidad de Suba.
El contrato de mantenimiento SDA-20221989 con El Consorcio Baruc inicio actividades en la segunda semana del mes de febrero, durante este periodo se reportó la ejecución de las siguientes actividades: 34883 plateos, 30178 fertilizaciones, 8663 fertirriegos, 0.08 ha de control de retamo y la georreferenciación de 10441 individuos donde se han realizado las anteriores actividades. Las actividades se realizaron en las localidades de Usme y Ciudad Bolívar, en los polígonos REUS0006, REUS0007, REUS0008, REUS0009, REUS0039, PEDMEN03-1 y PEDMEN 97-70-96-93, localizados en el Parque Ecológico Distrital de Montaña, PEDM Entrenubes. El reporte como meta de la actividad se realizará una vez sean terminadas las acciones de mantenimiento (plateo, fertilización, fertirriego y georreferenciación) en cada polígono.
</t>
    </r>
  </si>
  <si>
    <r>
      <t xml:space="preserve">El total acumulado en el Plan de Desarrollo es </t>
    </r>
    <r>
      <rPr>
        <b/>
        <sz val="12"/>
        <rFont val="Calibri"/>
        <family val="2"/>
      </rPr>
      <t>86,184 ha</t>
    </r>
    <r>
      <rPr>
        <sz val="12"/>
        <rFont val="Calibri"/>
        <family val="2"/>
      </rPr>
      <t xml:space="preserve">; de las cuales 5,49ha corresponden al 2020;  14,19ha corresponden al 2021;  30,66ha a la vigencia 2022, 35,81ha a la ejecución de la reserva de la meta en esta misma vigencia y </t>
    </r>
    <r>
      <rPr>
        <b/>
        <sz val="12"/>
        <rFont val="Calibri"/>
        <family val="2"/>
      </rPr>
      <t xml:space="preserve">0,034 ha de 2023 </t>
    </r>
    <r>
      <rPr>
        <sz val="12"/>
        <rFont val="Calibri"/>
        <family val="2"/>
      </rPr>
      <t xml:space="preserve">en las siguientes localidades:
</t>
    </r>
    <r>
      <rPr>
        <b/>
        <sz val="12"/>
        <rFont val="Calibri"/>
        <family val="2"/>
      </rPr>
      <t>Vigencia 2020:</t>
    </r>
    <r>
      <rPr>
        <sz val="12"/>
        <rFont val="Calibri"/>
        <family val="2"/>
      </rPr>
      <t xml:space="preserve"> Fontibón 0,40ha; Kennedy 0,59ha; San Cristóbal y Usme Parque Ecológico Distrital de Montaña Entre Nubes (PEDMEN) 4,114ha; Tunjuelito y Ciudad Bolívar (PEDH El Tunjo) 0,1ha; Engativá 0,26ha; Usme 0,03ha; para un total de 5,49ha. 
</t>
    </r>
    <r>
      <rPr>
        <b/>
        <sz val="12"/>
        <rFont val="Calibri"/>
        <family val="2"/>
      </rPr>
      <t>Vigencia 2021:</t>
    </r>
    <r>
      <rPr>
        <sz val="12"/>
        <rFont val="Calibri"/>
        <family val="2"/>
      </rPr>
      <t xml:space="preserve"> Suba 4,621ha; Barrios Unidos 0,0318ha; Usme 8,209ha; Kennedy 0,0001ha; Tunjuelito 0,28ha; San Cristóbal 0,24ha; Engativá 0,07ha; </t>
    </r>
    <r>
      <rPr>
        <sz val="12"/>
        <color rgb="FFFF0000"/>
        <rFont val="Calibri"/>
        <family val="2"/>
      </rPr>
      <t>Usaquén 0,68ha</t>
    </r>
    <r>
      <rPr>
        <sz val="12"/>
        <rFont val="Calibri"/>
        <family val="2"/>
      </rPr>
      <t xml:space="preserve"> y Chapinero 0,058ha; para un total de 14,19 ha. 
</t>
    </r>
    <r>
      <rPr>
        <b/>
        <sz val="12"/>
        <rFont val="Calibri"/>
        <family val="2"/>
      </rPr>
      <t>Vigencia 2022</t>
    </r>
    <r>
      <rPr>
        <sz val="12"/>
        <rFont val="Calibri"/>
        <family val="2"/>
      </rPr>
      <t xml:space="preserve">: Usme 7,023ha, Suba 6,783ha, Fontibón 5,56ha, San Cristóbal 0,317ha, Santa Fe 3,54ha, Kennedy  0,026ha, Chapinero 0,026ha, </t>
    </r>
    <r>
      <rPr>
        <sz val="12"/>
        <color rgb="FFFF0000"/>
        <rFont val="Calibri"/>
        <family val="2"/>
      </rPr>
      <t>Usaquén 0,29ha</t>
    </r>
    <r>
      <rPr>
        <sz val="12"/>
        <rFont val="Calibri"/>
        <family val="2"/>
      </rPr>
      <t xml:space="preserve">, Engativá 1,008ha, Candelaria 0,521ha, Ciudad Bolívar 0,14ha, Barrios Unidos 0,025ha y Tunjuelito 5,4ha; para un total de 30.66ha
</t>
    </r>
    <r>
      <rPr>
        <b/>
        <sz val="12"/>
        <rFont val="Calibri"/>
        <family val="2"/>
      </rPr>
      <t>Reserva vigencia 2022</t>
    </r>
    <r>
      <rPr>
        <sz val="12"/>
        <rFont val="Calibri"/>
        <family val="2"/>
      </rPr>
      <t xml:space="preserve">: Engativá 7,34ha, Usme 11,49ha, Suba 6,44ha, Kennedy 4,19ha, Bosa 1,60ha, Fontibón 0,69ha y Ciudad Bolívar 4,06ha; para un total de 35,81ha.
</t>
    </r>
    <r>
      <rPr>
        <b/>
        <sz val="12"/>
        <rFont val="Calibri"/>
        <family val="2"/>
      </rPr>
      <t>Vigencia 2023</t>
    </r>
    <r>
      <rPr>
        <sz val="12"/>
        <rFont val="Calibri"/>
        <family val="2"/>
      </rPr>
      <t xml:space="preserve">: Kennedy 0,017 ha y Suba 0,017 ha.
Adicionalmente se realizó la entrega de áreas para que el CONSORCIO BARZZILAI empresa que ganó la licitación para la restauración del 2022 – 2023, inició las labores de implementación en RDH Jaboque. Las áreas entregadas del componente 1 fueron: Predio La Serranía, localidad de Usaquén; El Delirio, localidad de San Cristóbal; FA 13. Entregado, localidad de Chapinero; FA 12. Entregado, localidad de Santa fe; Ruralidad, localidad de Usme. Del componente 2: Predio La Serranía, polígono de franja La serranía, localidad de Usaquén y Predio Barrancas El Cerrito, localidad de Usaquén y El FA01 y El Tesoro.
</t>
    </r>
  </si>
  <si>
    <r>
      <t>El total acumulado en el Plan de Desarrollo es de</t>
    </r>
    <r>
      <rPr>
        <b/>
        <sz val="12"/>
        <rFont val="Calibri"/>
        <family val="2"/>
      </rPr>
      <t xml:space="preserve"> 89.683</t>
    </r>
    <r>
      <rPr>
        <sz val="12"/>
        <rFont val="Calibri"/>
        <family val="2"/>
      </rPr>
      <t xml:space="preserve"> individuos de los cuales 2.900 se plantaron en el 2020, 30.019 en el 2021 y 55.282 en el 2022 y 1.482 en el 2023 así:
</t>
    </r>
    <r>
      <rPr>
        <b/>
        <sz val="12"/>
        <rFont val="Calibri"/>
        <family val="2"/>
      </rPr>
      <t>En el 2020</t>
    </r>
    <r>
      <rPr>
        <sz val="12"/>
        <rFont val="Calibri"/>
        <family val="2"/>
      </rPr>
      <t xml:space="preserve"> se plantaron 555 en Fontibón, 1.435 en el Parque Ecológico Distrital de Montaña Entrenubes, 580 en Kennedy, 163 en el Parque Ecológico Distrital de Humedales - PEDH El Tunjo, 106 en PEDH Juan Amarillo y 61 en Usme; para un total de 2.900
</t>
    </r>
    <r>
      <rPr>
        <b/>
        <sz val="12"/>
        <rFont val="Calibri"/>
        <family val="2"/>
      </rPr>
      <t>En el 2021</t>
    </r>
    <r>
      <rPr>
        <sz val="12"/>
        <rFont val="Calibri"/>
        <family val="2"/>
      </rPr>
      <t xml:space="preserve"> se plantaron 105 en Barrios Unidos, 20 en Chapinero, 1.260 en Ciudad Bolívar, 38 en Engativá, 1.505 en Kennedy, 8.222 en San Cristóbal, 1.469 en Suba, 100 en Tunjuelito, </t>
    </r>
    <r>
      <rPr>
        <sz val="12"/>
        <color rgb="FFFF0000"/>
        <rFont val="Calibri"/>
        <family val="2"/>
      </rPr>
      <t>1.526 en Usaquén</t>
    </r>
    <r>
      <rPr>
        <sz val="12"/>
        <rFont val="Calibri"/>
        <family val="2"/>
      </rPr>
      <t xml:space="preserve"> y 15.774 en Usme; para un total de 30.019
</t>
    </r>
    <r>
      <rPr>
        <b/>
        <sz val="12"/>
        <rFont val="Calibri"/>
        <family val="2"/>
      </rPr>
      <t>En el 2022</t>
    </r>
    <r>
      <rPr>
        <sz val="12"/>
        <rFont val="Calibri"/>
        <family val="2"/>
      </rPr>
      <t xml:space="preserve"> se plantaron en Usme 11.614, Ciudad Bolívar 6.718, Suba 4.824, San Cristóbal 8.555, Engativá 3.496, Kennedy 3.934, Santa fe 5.113, Fontibón 4.682, Bosa 1.770, Tunjuelito 2.405, Chapinero 920,</t>
    </r>
    <r>
      <rPr>
        <sz val="12"/>
        <color rgb="FFFF0000"/>
        <rFont val="Calibri"/>
        <family val="2"/>
      </rPr>
      <t xml:space="preserve"> Usaquén 829</t>
    </r>
    <r>
      <rPr>
        <sz val="12"/>
        <rFont val="Calibri"/>
        <family val="2"/>
      </rPr>
      <t xml:space="preserve">, Barrios Unidos 162 y La Candelaria 260; para un total de 55.282
</t>
    </r>
    <r>
      <rPr>
        <b/>
        <sz val="12"/>
        <rFont val="Calibri"/>
        <family val="2"/>
      </rPr>
      <t>En el 2023</t>
    </r>
    <r>
      <rPr>
        <sz val="12"/>
        <rFont val="Calibri"/>
        <family val="2"/>
      </rPr>
      <t xml:space="preserve"> se plantaron en Ciudad Bolívar 38 individuos, Suba 343, Kennedy 76, Fontibón 7, </t>
    </r>
    <r>
      <rPr>
        <sz val="12"/>
        <color rgb="FFFF0000"/>
        <rFont val="Calibri"/>
        <family val="2"/>
      </rPr>
      <t>Usaquén 70</t>
    </r>
    <r>
      <rPr>
        <sz val="12"/>
        <rFont val="Calibri"/>
        <family val="2"/>
      </rPr>
      <t xml:space="preserve">, San Cristóbal 220, Usme 581, Engativá  77 y Rafael UribeUribe 70; para un total de 1482.
Adicionalmente se iniciaron las acciones de restauración del componente 1 con el  CONSORCIO BARZZILAI empresa que ganó la licitación para la restauración del 2022 – 2023 en RDH Jaboque con la plantación de 77 individuos vegetales.  Las áreas entregadas del componente 1 fueron: Predio La Serranía, localidad de Usaquén; El Delirio, localidad de San Cristóbal; FA 13. Entregado, localidad de Chapinero; FA 12. Entregado, localidad de Santa fe; Ruralidad, localidad de Usme. Del componente 2: Predio La Serranía, polígono de franja La serranía, localidad de Usaquén y Predio Barrancas El Cerrito, localidad de Usaquén y El FA01 y El Tesoro.
</t>
    </r>
  </si>
  <si>
    <t xml:space="preserve">Para el periodo comprendido de enero a marzo 2023, La identificación, priorización y elaboración de los diagnósticos de las respectivas zonas de intervención se realizaron de manera indirecta en el marco del contrato 20221646 con Aguas Bogotá y el contrato con CONSORCIO BARZZILAI. De manera directa el diagnóstico se realiza en las siguientes áreas: en las RDH La Conejera, El Burro, El Tunjo y  Jaboque. En los PDEM Mirador de los Nevados, Serranía Zuque, SORATAMA y ENTRENUBES en los sectores de La Fiscala, CAT y Nueva Esperanza.
Las áreas entregadas del componente 1 fueron: RDH Jaboque (18,10ha), localidad de Engativá; Predio La Serranía (11,936 ha), localidad de Usaquén; El Delirio (19,99 ha), localidad de San Cristóbal; Ruralidad Arrayanes 1 (2,012 ha), localidad de Usme; RFTVDH sector sur (2,64 ha), localidad de Suba; Franja de Adecuación: FA21 (4,47 ha), FA20_2 (1,96 ha), FA19 (0,663 ha), localidad de Usaquén; FA12 (2,503 ha), localidad de Santa Fe; FA13_2 (0,611 ha), FA15 (0,983 ha) localidad de Chapinero; . Del componente 2: Predio La Serranía (136,25 ha), Predio Barrancas El Cedrito (36,04 ha); El FA01 (11,288 ha) en la localidad de Usaquén y PDEM Entrenubes (6,677 ha) localidad de Usme. 
</t>
  </si>
  <si>
    <t xml:space="preserve">Para el periodo comprendido de enero a marzo 2023, la elaboración de diseños se realizó de manera indirecta en el marco del contrato 20221646 con Aguas Bogotá y el CONSORCIO BARZZILAI y de manera directa en las siguientes áreas: en las RDH La Conejera (232 individuos), El Burro (76), El Tunjo (38), Capellanía (7) y Jaboque (77). En los PDEM Mirador de los Nevados (111), Serranía del Zuque (220), SORATAMA (70) y Entrenubes en los sectores de La Fiscala en el RT14 (414), CAT (167) y Nueva Esperanza en el RT219 (70). Para un total de 1482 individuos vegetales plantados.
Específicamente en el mes de marzo se realizaron plantaciones de manera indirecta con el contrato 20221646 de Aguas Bogotá en los sectores: RDH La Conejera (156); PDEM en el sector de La Fiscala (380) y CAT (160); en los PDEM Mirador de los Nevados (111), Serranía del Zuque (220) y SORATAMA (30).
Así mismo en el marco del contrato con el CONSORCIO BARZZILAI, se plantaron en RDH Jaboque (77). 
Plantación directa en PDEM RT14 (34), RT 219 (70) y CAT (7); con la ayuda del Batallón Ingenieros N°13- General Antonio Baraya. Para un total de 1245 individuos plantados. 
Además el Consorcio Barzzilai se encuentra trabajando en los diseños de las áreas priorizadas: Barrancas El Cedrito, La serranía, Franja de Adecuación La serranía y PDEM Entrenubes (Componente II del contrato).
</t>
  </si>
  <si>
    <t>En el periodo comprendido de enero a marzo de 2023, la SDA entregó el 100% de las áreas al CONSORCIO BARUC, empresa que ganó la licitación para el mantenimiento del 2022 – 2023. Los 73 polígonos entregados se distribuyen así: 60.15 ha en Ciudad Bolívar, 12.53 ha en Rafael Uribe Uribe, 125.7 ha en  San Cristóbal, 251.26 ha en Santa Fe, 5.82 ha en Usaquén y 156.19 ha en Usme.  Se espera entregar el 100% de las áreas. Cabe resaltar que del área entregada, 38.40 ha, se encuentran en  Área de Ocupación Público Prioritaria de la Franja de Adecuación.</t>
  </si>
  <si>
    <t xml:space="preserve">Para lo corrido de la vigencia 2023  (enero a marzo), se realizaron las visitas y se entregaran siete (7) polígonos para el CONSORCIO BARZZILAI contrato SDA-20222007 con objeto “Contratar la restauración ecológica en áreas de importancia ambiental y de la estructura ecológica principal del Distrito Capital”, que incluye  11,2 ha nuevas en franja de adecuación componente  1, polígonos FA_19, FA_20, FA_21, localidad de Usaquén, FA_15 y FA_13 localidad de Chapinero y FA_12 localidad de Santa Fe, para el componente 2 se entregó el área de  franja predio la Serranía que  cuenta con 11,26 ha.
De otra parte, es importante resaltar que en la meta de mantenimiento de las 590 ha entregadas al contrato SDA- 20221989 consorcio BARUC  38,40 ha se encuentran en el Área de Ocupación Público Prioritaria de la Franja de Adecuación.  Se realizaron las visitas y se entregaron los polígonos: Caminos de hijuefucha (Altos de Fucha) 1,08573 ha, Cantera 0,035002 ha, Colegio Monseñor 2,990746 ha, El triangulo 0,656421 ha, Futuro Parque Metropolitano La Arboleda 6,363303 ha, La Serranía - Intervención (2018) 2,220482ha , La Serranía - Intervención (2020) 3,601918 ha, Parque Nacional 1    9,092651 ha, Q. Aguas Claras Occ. 3,987038 ha, Q. El Pilar 0,362028 ha, Quebrada Toches 0,610768 ha, Quebrada Verejones 3,765223 ha, Serranía del Zuque 3,630412 ha.
</t>
  </si>
  <si>
    <t xml:space="preserve">El total acumulado en el Plan de Desarrollo es 86,184 ha; de las cuales 5,49ha corresponden al 2020;  14,19ha corresponden al 2021;  30,66ha a la vigencia 2022, 35,81ha a la ejecución de la reserva de la meta en esta misma vigencia y 0,03 ha de 2023 en las siguientes localidades:
Vigencia 2020: Fontibón 0,40ha; Kennedy 0,59ha; San Cristóbal y Usme Parque Ecológico Distrital de Montaña Entre Nubes (PEDMEN) 4,114ha; Tunjuelito y Ciudad Bolívar (PEDH El Tunjo) 0,1ha; Engativá 0,26ha; Usme 0,03ha; para un total de 5,49ha. 
Vigencia 2021: Suba 4,621ha; Barrios Unidos 0,0318ha; Usme 8,209ha; Kennedy 0,0001ha; Tunjuelito 0,28ha; San Cristóbal 0,24ha; Engativá 0,07ha; Usaquén 0,68ha y Chapinero 0,058ha; para un total de 14,19 ha. 
Vigencia 2022: Usme 7,023ha, Suba 6,783ha, Fontibón 5,56ha, San Cristóbal 0,317ha, Santa Fe 3,54ha, Kennedy  0,026ha, Chapinero 0,026ha, Usaquén 0,29ha, Engativá 1,008ha, Candelaria 0,521ha, Ciudad Bolívar 0,14ha, Barrios Unidos 0,025ha y Tunjuelito 5,4ha; para un total de 30.66ha
Reserva vigencia 2022: Engativá 7,34ha, Usme 11,49ha, Suba 6,44ha, Kennedy 4,19ha, Bosa 1,60ha, Fontibón 0,69ha y Ciudad Bolívar 4,06ha; para un total de 35,81ha.
Vigencia 2023: Kennedy 0,017 ha y Suba 0,017 ha.
Adicionalmente se realizó la entrega de áreas para que el CONSORCIO BARZZILAI empresa que ganó la licitación para la restauración del 2022 – 2023, inició las labores de implementación en RDH Jaboque. Las áreas entregadas del componente 1 fueron: Predio La Serranía, localidad de Usaquén; El Delirio, localidad de San Cristóbal; FA 13. Entregado, localidad de Chapinero; FA 12. Entregado, localidad de Santa fe; Ruralidad, localidad de Usme. Del componente 2: Predio La Serranía, polígono de franja La serranía, localidad de Usaquén y Predio Barrancas El Cerrito, localidad de Usaquén y El FA01 y El Tesoro.
</t>
  </si>
  <si>
    <r>
      <t>La meta parte de una línea base establecida del 44%, en el 2020 se realizó un avance del 1,09%, en el 2021 del 6,27%, en el 2022 de 10,42% y en el 2023 de 0,60% lo que permite que actualmente el avance acumulado sea de 63,21% Las actividades desarrolladas durante estos periodos son:
Predios: Se continua con el seguimiento del Convenio 1240 de 2017 con la Empresa de Acueducto de Bogotá – EAAB a la fecha se tienen 87 predios en gestión, 2 predios adquiridos con un área de 20,21ha en el Área de Ocupación Publico Prioritaria AOPP. 
Restauración: Para lo corrido de la vigencia 2023, se realizaron las visitas y se entregaron seis polígono al Consorcio Barzzilai para la restauración que incluye 11,2ha nuevas en franja de adecuación.
Senderos: Para lo corrido de la vigencia 2023 se realizó la operación del camino Guadalupe Aguanoso durante 8 fines de semana, se reactivó la operación el último fin de semana de febrero,  en marzo se operó con normalidad excepto el fin de semana del 11 por condiciones climáticas . 
Cantera: En cuanto a la obra de Zuque en actividades de obra se adelantaron demoliciones de estructuras existentes, remoción parcial de escombros, rellenos en material seleccionado y fundición de concretos de limpieza de algunas de las aulas ambientales.
Iniciativas: Avanza implementación de iniciativa, se adelantan gestiones de planificación de acciones para dar cierre a la iniciativa "Caminos de Hijuefuchas",  Hitos de amojonamiento: Se avanza proceso de elaboración de señales informativas en la franja y su Área de Ocupación Público Prioritaria-AAOP.
Pago por Servicios Ambientales: Durante lo corrido del cuatrienio S</t>
    </r>
    <r>
      <rPr>
        <sz val="9"/>
        <color rgb="FFFF0000"/>
        <rFont val="Arial Narrow"/>
        <family val="2"/>
      </rPr>
      <t xml:space="preserve">e firmó el acuerdo de conservación con Umbral Horizontes que involucra 0,72ha en Franja y vinculación del predio San Rafael Tibaque-localidad de Usme con 5,2ha en conservación y protección. Para el 2023 se avanza en gestiones para firma de acuerdos de conservación. 
</t>
    </r>
  </si>
  <si>
    <t>Formato: Programación, Actualización y Seguimiento del Plan de Acción - Componente de Actividades</t>
  </si>
  <si>
    <r>
      <t>Versión:</t>
    </r>
    <r>
      <rPr>
        <b/>
        <sz val="14"/>
        <color rgb="FFFF0000"/>
        <rFont val="Arial"/>
        <family val="2"/>
      </rPr>
      <t xml:space="preserve"> </t>
    </r>
    <r>
      <rPr>
        <b/>
        <sz val="14"/>
        <rFont val="Arial"/>
        <family val="2"/>
      </rPr>
      <t>14</t>
    </r>
  </si>
  <si>
    <t>2, PROGRAMACIÓN Y EJECUCIÓN</t>
  </si>
  <si>
    <t xml:space="preserve"> AÑO 2021</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</si>
  <si>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</si>
  <si>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</si>
  <si>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</si>
  <si>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</si>
  <si>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</si>
  <si>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</si>
  <si>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</si>
  <si>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</si>
  <si>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</si>
  <si>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</si>
  <si>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</si>
  <si>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</si>
  <si>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</si>
  <si>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</si>
  <si>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</si>
  <si>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</si>
  <si>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</si>
  <si>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</si>
  <si>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</si>
  <si>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</si>
  <si>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</si>
  <si>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</si>
  <si>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</si>
  <si>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</si>
  <si>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</si>
  <si>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r>
      <t>PROGRAMADO</t>
    </r>
    <r>
      <rPr>
        <b/>
        <sz val="12"/>
        <rFont val="Arial"/>
        <family val="2"/>
      </rPr>
      <t xml:space="preserve"> ABR.</t>
    </r>
  </si>
  <si>
    <r>
      <t xml:space="preserve">6, % CUMPLIMIENTO ACUMULADO (al periodo) </t>
    </r>
    <r>
      <rPr>
        <b/>
        <sz val="16"/>
        <rFont val="Arial"/>
        <family val="2"/>
      </rPr>
      <t>cuatrienio</t>
    </r>
  </si>
  <si>
    <t xml:space="preserve">02 
</t>
  </si>
  <si>
    <r>
      <t>CORTE A MARZO AÑO</t>
    </r>
    <r>
      <rPr>
        <sz val="12"/>
        <rFont val="Arial"/>
        <family val="2"/>
      </rPr>
      <t xml:space="preserve"> </t>
    </r>
    <r>
      <rPr>
        <b/>
        <u/>
        <sz val="12"/>
        <rFont val="Arial"/>
        <family val="2"/>
      </rPr>
      <t>2023</t>
    </r>
  </si>
  <si>
    <t>Formato: Programación, Actualización y Seguimiento del Plan de Acción - Componente de  Territorialización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</si>
</sst>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_€_-;\-* #,##0\ _€_-;_-* &quot;-&quot;??\ _€_-;_-@"/>
    <numFmt numFmtId="165" formatCode="#,##0_ ;\-#,##0\ "/>
    <numFmt numFmtId="166" formatCode="_-* #,##0.00\ _€_-;\-* #,##0.00\ _€_-;_-* &quot;-&quot;??\ _€_-;_-@"/>
    <numFmt numFmtId="167" formatCode="_-* #,##0_-;\-* #,##0_-;_-* &quot;-&quot;_-;_-@"/>
    <numFmt numFmtId="168" formatCode="_-* #,##0.000\ _€_-;\-* #,##0.000\ _€_-;_-* &quot;-&quot;??\ _€_-;_-@"/>
    <numFmt numFmtId="169" formatCode="_-* #,##0_-;\-* #,##0_-;_-* &quot;-&quot;??_-;_-@"/>
    <numFmt numFmtId="170" formatCode="_-* #,##0.00_-;\-* #,##0.00_-;_-* &quot;-&quot;??_-;_-@"/>
    <numFmt numFmtId="171" formatCode="&quot;$&quot;\ #,##0.00"/>
    <numFmt numFmtId="172" formatCode="#,##0.000"/>
    <numFmt numFmtId="173" formatCode="&quot;$&quot;\ #,##0"/>
    <numFmt numFmtId="174" formatCode="_-&quot;$&quot;\ * #,##0_-;\-&quot;$&quot;\ * #,##0_-;_-&quot;$&quot;\ * &quot;-&quot;_-;_-@"/>
    <numFmt numFmtId="175" formatCode="#,##0.000;\-#,##0.000"/>
    <numFmt numFmtId="176" formatCode="_-* #,##0.0\ _€_-;\-* #,##0.0\ _€_-;_-* &quot;-&quot;??\ _€_-;_-@"/>
    <numFmt numFmtId="177" formatCode="_-&quot;$&quot;* #,##0_-;\-&quot;$&quot;* #,##0_-;_-&quot;$&quot;* &quot;-&quot;??_-;_-@"/>
    <numFmt numFmtId="178" formatCode="&quot;$&quot;#,##0.00"/>
    <numFmt numFmtId="179" formatCode="_-&quot;$&quot;\ * #,##0.00_-;\-&quot;$&quot;\ * #,##0.00_-;_-&quot;$&quot;\ * &quot;-&quot;??_-;_-@"/>
    <numFmt numFmtId="180" formatCode="0.0%"/>
    <numFmt numFmtId="181" formatCode="0.000%"/>
    <numFmt numFmtId="182" formatCode="#,##0.00_ ;\-#,##0.00\ "/>
    <numFmt numFmtId="183" formatCode="_ * #,##0_ ;_ * \-#,##0_ ;_ * &quot;-&quot;??_ ;_ @_ "/>
    <numFmt numFmtId="184" formatCode="_-&quot;$&quot;* #,##0.00_-;\-&quot;$&quot;* #,##0.00_-;_-&quot;$&quot;* &quot;-&quot;_-;_-@"/>
    <numFmt numFmtId="185" formatCode="_-* #,##0\ _€_-;\-* #,##0\ _€_-;_-* &quot;-&quot;??\ _€_-;_-@_-"/>
    <numFmt numFmtId="186" formatCode="_-* #,##0_-;\-* #,##0_-;_-* &quot;-&quot;??_-;_-@_-"/>
    <numFmt numFmtId="187" formatCode="_-* #,##0.00\ _€_-;\-* #,##0.00\ _€_-;_-* &quot;-&quot;??\ _€_-;_-@_-"/>
    <numFmt numFmtId="188" formatCode="_-&quot;$&quot;* #,##0_-;\-&quot;$&quot;* #,##0_-;_-&quot;$&quot;* &quot;-&quot;_-;_-@_-"/>
    <numFmt numFmtId="189" formatCode="_-&quot;$&quot;* #,##0.00_-;\-&quot;$&quot;* #,##0.00_-;_-&quot;$&quot;* &quot;-&quot;??_-;_-@_-"/>
    <numFmt numFmtId="190" formatCode="_-* #,##0.00\ &quot;€&quot;_-;\-* #,##0.00\ &quot;€&quot;_-;_-* &quot;-&quot;??\ &quot;€&quot;_-;_-@_-"/>
    <numFmt numFmtId="191" formatCode="_(&quot;$&quot;\ * #,##0.00_);_(&quot;$&quot;\ * \(#,##0.00\);_(&quot;$&quot;\ * &quot;-&quot;??_);_(@_)"/>
    <numFmt numFmtId="192" formatCode="_ &quot;$&quot;\ * #,##0.00_ ;_ &quot;$&quot;\ * \-#,##0.00_ ;_ &quot;$&quot;\ * &quot;-&quot;??_ ;_ @_ "/>
    <numFmt numFmtId="193" formatCode="_ * #,##0.00_ ;_ * \-#,##0.00_ ;_ * &quot;-&quot;??_ ;_ @_ "/>
    <numFmt numFmtId="194" formatCode="_(&quot;$&quot;\ * #,##0_);_(&quot;$&quot;\ * \(#,##0\);_(&quot;$&quot;\ * &quot;-&quot;_);_(@_)"/>
    <numFmt numFmtId="195" formatCode="#,##0.00\ \€"/>
    <numFmt numFmtId="196" formatCode="_(* #,##0.00_);_(* \(#,##0.00\);_(* &quot;-&quot;??_);_(@_)"/>
    <numFmt numFmtId="197" formatCode="_(&quot;$&quot;* #,##0.00_);_(&quot;$&quot;* \(#,##0.00\);_(&quot;$&quot;* &quot;-&quot;??_);_(@_)"/>
  </numFmts>
  <fonts count="93" x14ac:knownFonts="1">
    <font>
      <sz val="11"/>
      <name val="Calibri"/>
      <scheme val="minor"/>
    </font>
    <font>
      <sz val="11"/>
      <color theme="1"/>
      <name val="Calibri"/>
      <family val="2"/>
      <scheme val="minor"/>
    </font>
    <font>
      <sz val="11"/>
      <name val="Calibri"/>
      <family val="2"/>
    </font>
    <font>
      <sz val="24"/>
      <name val="Calibri"/>
      <family val="2"/>
    </font>
    <font>
      <sz val="11"/>
      <name val="Calibri"/>
      <family val="2"/>
    </font>
    <font>
      <b/>
      <sz val="24"/>
      <name val="Arial"/>
      <family val="2"/>
    </font>
    <font>
      <b/>
      <sz val="20"/>
      <name val="Arial"/>
      <family val="2"/>
    </font>
    <font>
      <b/>
      <sz val="14"/>
      <name val="Arial"/>
      <family val="2"/>
    </font>
    <font>
      <b/>
      <sz val="16"/>
      <name val="Arial"/>
      <family val="2"/>
    </font>
    <font>
      <b/>
      <sz val="12"/>
      <name val="Arial"/>
      <family val="2"/>
    </font>
    <font>
      <sz val="12"/>
      <name val="Arial"/>
      <family val="2"/>
    </font>
    <font>
      <sz val="12"/>
      <color rgb="FF000000"/>
      <name val="Arial"/>
      <family val="2"/>
    </font>
    <font>
      <sz val="10"/>
      <name val="Times New Roman"/>
      <family val="1"/>
    </font>
    <font>
      <sz val="12"/>
      <name val="Calibri"/>
      <family val="2"/>
    </font>
    <font>
      <sz val="12"/>
      <name val="Calibri"/>
      <family val="2"/>
    </font>
    <font>
      <sz val="12"/>
      <color rgb="FF000000"/>
      <name val="Calibri"/>
      <family val="2"/>
    </font>
    <font>
      <sz val="12"/>
      <name val="Arial"/>
      <family val="2"/>
    </font>
    <font>
      <b/>
      <sz val="11"/>
      <name val="Calibri"/>
      <family val="2"/>
    </font>
    <font>
      <sz val="14"/>
      <name val="Calibri"/>
      <family val="2"/>
    </font>
    <font>
      <sz val="7"/>
      <name val="Arial"/>
      <family val="2"/>
    </font>
    <font>
      <sz val="24"/>
      <name val="Arial"/>
      <family val="2"/>
    </font>
    <font>
      <sz val="10"/>
      <name val="Arial"/>
      <family val="2"/>
    </font>
    <font>
      <sz val="8"/>
      <name val="Arial"/>
      <family val="2"/>
    </font>
    <font>
      <sz val="9"/>
      <name val="Arial Narrow"/>
      <family val="2"/>
    </font>
    <font>
      <sz val="9"/>
      <color rgb="FF000000"/>
      <name val="Arial Narrow"/>
      <family val="2"/>
    </font>
    <font>
      <sz val="9"/>
      <name val="Arial Narrow"/>
      <family val="2"/>
    </font>
    <font>
      <b/>
      <sz val="9"/>
      <name val="Arial Narrow"/>
      <family val="2"/>
    </font>
    <font>
      <b/>
      <sz val="9"/>
      <color rgb="FF000000"/>
      <name val="Arial Narrow"/>
      <family val="2"/>
    </font>
    <font>
      <b/>
      <sz val="9"/>
      <name val="Arial Narrow"/>
      <family val="2"/>
    </font>
    <font>
      <sz val="9"/>
      <color rgb="FFFF0000"/>
      <name val="Arial Narrow"/>
      <family val="2"/>
    </font>
    <font>
      <sz val="9"/>
      <name val="Arial"/>
      <family val="2"/>
    </font>
    <font>
      <b/>
      <sz val="12"/>
      <color rgb="FF000000"/>
      <name val="Arial Narrow"/>
      <family val="2"/>
    </font>
    <font>
      <b/>
      <sz val="11"/>
      <name val="Calibri"/>
      <family val="2"/>
    </font>
    <font>
      <b/>
      <sz val="9"/>
      <name val="Arial"/>
      <family val="2"/>
    </font>
    <font>
      <b/>
      <sz val="10"/>
      <name val="Arial"/>
      <family val="2"/>
    </font>
    <font>
      <b/>
      <sz val="8"/>
      <name val="Arial"/>
      <family val="2"/>
    </font>
    <font>
      <sz val="7"/>
      <name val="Calibri"/>
      <family val="2"/>
    </font>
    <font>
      <b/>
      <sz val="11"/>
      <name val="Arial"/>
      <family val="2"/>
    </font>
    <font>
      <sz val="9"/>
      <name val="Arial"/>
      <family val="2"/>
    </font>
    <font>
      <sz val="11"/>
      <name val="Arial"/>
      <family val="2"/>
    </font>
    <font>
      <b/>
      <sz val="14"/>
      <color rgb="FF000000"/>
      <name val="Arial"/>
      <family val="2"/>
    </font>
    <font>
      <sz val="10"/>
      <name val="Arial Narrow"/>
      <family val="2"/>
    </font>
    <font>
      <b/>
      <sz val="10"/>
      <name val="Arial Narrow"/>
      <family val="2"/>
    </font>
    <font>
      <b/>
      <sz val="7"/>
      <name val="Arial"/>
      <family val="2"/>
    </font>
    <font>
      <sz val="8"/>
      <name val="Calibri"/>
      <family val="2"/>
    </font>
    <font>
      <sz val="11"/>
      <name val="Calibri"/>
      <family val="2"/>
    </font>
    <font>
      <b/>
      <sz val="24"/>
      <name val="Arial"/>
      <family val="2"/>
    </font>
    <font>
      <b/>
      <sz val="14"/>
      <name val="Arial"/>
      <family val="2"/>
    </font>
    <font>
      <b/>
      <sz val="20"/>
      <name val="Arial"/>
      <family val="2"/>
    </font>
    <font>
      <b/>
      <sz val="11"/>
      <name val="Arial"/>
      <family val="2"/>
    </font>
    <font>
      <b/>
      <sz val="16"/>
      <name val="Arial"/>
      <family val="2"/>
    </font>
    <font>
      <b/>
      <sz val="10"/>
      <name val="Arial"/>
      <family val="2"/>
    </font>
    <font>
      <sz val="11"/>
      <name val="Arial"/>
      <family val="2"/>
    </font>
    <font>
      <u/>
      <sz val="11"/>
      <name val="Calibri"/>
      <family val="2"/>
    </font>
    <font>
      <sz val="11"/>
      <color rgb="FF000000"/>
      <name val="Calibri"/>
      <family val="2"/>
    </font>
    <font>
      <b/>
      <sz val="8"/>
      <color rgb="FF4189AB"/>
      <name val="Verdana"/>
      <family val="2"/>
    </font>
    <font>
      <sz val="11"/>
      <color rgb="FF000000"/>
      <name val="Arial"/>
      <family val="2"/>
    </font>
    <font>
      <b/>
      <sz val="9"/>
      <color rgb="FFFF0000"/>
      <name val="Arial"/>
      <family val="2"/>
    </font>
    <font>
      <b/>
      <u/>
      <sz val="9"/>
      <name val="Arial"/>
      <family val="2"/>
    </font>
    <font>
      <b/>
      <u/>
      <sz val="12"/>
      <name val="Arial"/>
      <family val="2"/>
    </font>
    <font>
      <sz val="9"/>
      <name val="Arial"/>
      <family val="2"/>
    </font>
    <font>
      <sz val="12"/>
      <name val="Arial"/>
      <family val="2"/>
    </font>
    <font>
      <sz val="11"/>
      <name val="Calibri"/>
      <family val="2"/>
    </font>
    <font>
      <b/>
      <sz val="24"/>
      <name val="Arial"/>
      <family val="2"/>
    </font>
    <font>
      <b/>
      <sz val="9"/>
      <name val="Arial Narrow"/>
      <family val="2"/>
    </font>
    <font>
      <sz val="11"/>
      <name val="Calibri"/>
      <family val="2"/>
      <scheme val="minor"/>
    </font>
    <font>
      <sz val="11"/>
      <name val="Arial"/>
      <family val="2"/>
    </font>
    <font>
      <b/>
      <sz val="12"/>
      <name val="Calibri"/>
      <family val="2"/>
    </font>
    <font>
      <sz val="12"/>
      <name val="Calibri"/>
      <family val="2"/>
      <scheme val="minor"/>
    </font>
    <font>
      <sz val="12"/>
      <color rgb="FF1F1F1F"/>
      <name val="Arial"/>
      <family val="2"/>
    </font>
    <font>
      <sz val="14"/>
      <name val="Calibri"/>
      <family val="2"/>
      <scheme val="minor"/>
    </font>
    <font>
      <b/>
      <sz val="16"/>
      <name val="Calibri"/>
      <family val="2"/>
      <scheme val="minor"/>
    </font>
    <font>
      <sz val="11"/>
      <color indexed="8"/>
      <name val="Calibri"/>
      <family val="2"/>
    </font>
    <font>
      <sz val="12"/>
      <color rgb="FFFF0000"/>
      <name val="Calibri"/>
      <family val="2"/>
    </font>
    <font>
      <sz val="11"/>
      <name val="Calibri"/>
      <family val="2"/>
      <scheme val="minor"/>
    </font>
    <font>
      <sz val="11"/>
      <color theme="0"/>
      <name val="Calibri"/>
      <family val="2"/>
      <scheme val="minor"/>
    </font>
    <font>
      <sz val="11"/>
      <color theme="0"/>
      <name val="Calibri"/>
      <family val="2"/>
    </font>
    <font>
      <b/>
      <sz val="14"/>
      <color rgb="FFFF0000"/>
      <name val="Arial"/>
      <family val="2"/>
    </font>
    <font>
      <sz val="12"/>
      <color theme="1"/>
      <name val="Calibri"/>
      <family val="2"/>
      <scheme val="minor"/>
    </font>
    <font>
      <sz val="10"/>
      <color indexed="8"/>
      <name val="Arial"/>
      <family val="2"/>
    </font>
    <font>
      <sz val="10"/>
      <color theme="1"/>
      <name val="Arial"/>
      <family val="2"/>
    </font>
    <font>
      <sz val="10"/>
      <color rgb="FF000000"/>
      <name val="Arial"/>
      <family val="2"/>
    </font>
    <font>
      <sz val="10"/>
      <color theme="1"/>
      <name val="Verdana"/>
      <family val="2"/>
    </font>
    <font>
      <b/>
      <sz val="10"/>
      <color theme="1"/>
      <name val="Verdana"/>
      <family val="2"/>
    </font>
    <font>
      <sz val="12"/>
      <color theme="0"/>
      <name val="Calibri"/>
      <family val="2"/>
      <scheme val="minor"/>
    </font>
    <font>
      <sz val="12"/>
      <color indexed="8"/>
      <name val="Calibri"/>
      <family val="2"/>
    </font>
    <font>
      <sz val="11"/>
      <color rgb="FF9C6500"/>
      <name val="Calibri"/>
      <family val="2"/>
      <scheme val="minor"/>
    </font>
    <font>
      <sz val="9"/>
      <color indexed="8"/>
      <name val="Arial Narrow"/>
      <family val="2"/>
    </font>
    <font>
      <b/>
      <sz val="9"/>
      <color indexed="8"/>
      <name val="Arial Narrow"/>
      <family val="2"/>
    </font>
    <font>
      <sz val="16"/>
      <name val="Arial"/>
      <family val="2"/>
    </font>
    <font>
      <sz val="11"/>
      <color indexed="9"/>
      <name val="Calibri"/>
      <family val="2"/>
    </font>
    <font>
      <sz val="10"/>
      <color indexed="8"/>
      <name val="Verdana"/>
      <family val="2"/>
    </font>
    <font>
      <b/>
      <sz val="10"/>
      <color indexed="8"/>
      <name val="Verdana"/>
      <family val="2"/>
    </font>
  </fonts>
  <fills count="36">
    <fill>
      <patternFill patternType="none"/>
    </fill>
    <fill>
      <patternFill patternType="gray125"/>
    </fill>
    <fill>
      <patternFill patternType="solid">
        <fgColor rgb="FF92D050"/>
        <bgColor rgb="FF92D050"/>
      </patternFill>
    </fill>
    <fill>
      <patternFill patternType="solid">
        <fgColor rgb="FF00B050"/>
        <bgColor rgb="FF00B050"/>
      </patternFill>
    </fill>
    <fill>
      <patternFill patternType="solid">
        <fgColor rgb="FF76923C"/>
        <bgColor rgb="FF76923C"/>
      </patternFill>
    </fill>
    <fill>
      <patternFill patternType="solid">
        <fgColor rgb="FFFFFF99"/>
        <bgColor rgb="FFFFFF99"/>
      </patternFill>
    </fill>
    <fill>
      <patternFill patternType="solid">
        <fgColor rgb="FFEAF1DD"/>
        <bgColor rgb="FFEAF1DD"/>
      </patternFill>
    </fill>
    <fill>
      <patternFill patternType="solid">
        <fgColor rgb="FF75DBFF"/>
        <bgColor rgb="FF75DBFF"/>
      </patternFill>
    </fill>
    <fill>
      <patternFill patternType="solid">
        <fgColor rgb="FFD8D8D8"/>
        <bgColor rgb="FFD8D8D8"/>
      </patternFill>
    </fill>
    <fill>
      <patternFill patternType="solid">
        <fgColor rgb="FFFFFFFF"/>
        <bgColor rgb="FFFFFFFF"/>
      </patternFill>
    </fill>
    <fill>
      <patternFill patternType="solid">
        <fgColor rgb="FFFFFF00"/>
        <bgColor rgb="FFFFFF00"/>
      </patternFill>
    </fill>
    <fill>
      <patternFill patternType="solid">
        <fgColor rgb="FFE5B8B7"/>
        <bgColor rgb="FFE5B8B7"/>
      </patternFill>
    </fill>
    <fill>
      <patternFill patternType="solid">
        <fgColor rgb="FF92D050"/>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9"/>
        <bgColor indexed="64"/>
      </patternFill>
    </fill>
    <fill>
      <patternFill patternType="solid">
        <fgColor theme="0" tint="-0.14999847407452621"/>
        <bgColor indexed="64"/>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00B050"/>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669900"/>
        <bgColor indexed="64"/>
      </patternFill>
    </fill>
    <fill>
      <patternFill patternType="solid">
        <fgColor indexed="62"/>
      </patternFill>
    </fill>
    <fill>
      <patternFill patternType="solid">
        <fgColor indexed="23"/>
        <bgColor indexed="64"/>
      </patternFill>
    </fill>
    <fill>
      <patternFill patternType="solid">
        <fgColor theme="6" tint="-0.249977111117893"/>
        <bgColor rgb="FF92D050"/>
      </patternFill>
    </fill>
    <fill>
      <patternFill patternType="solid">
        <fgColor rgb="FF92D050"/>
        <bgColor rgb="FF7BB800"/>
      </patternFill>
    </fill>
  </fills>
  <borders count="17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style="medium">
        <color rgb="FF000000"/>
      </left>
      <right/>
      <top style="medium">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rgb="FF000000"/>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diagonal/>
    </border>
    <border>
      <left style="medium">
        <color rgb="FF000000"/>
      </left>
      <right/>
      <top/>
      <bottom style="thin">
        <color rgb="FF000000"/>
      </bottom>
      <diagonal/>
    </border>
    <border>
      <left/>
      <right/>
      <top/>
      <bottom style="medium">
        <color rgb="FF000000"/>
      </bottom>
      <diagonal/>
    </border>
    <border>
      <left/>
      <right/>
      <top/>
      <bottom/>
      <diagonal/>
    </border>
    <border>
      <left/>
      <right/>
      <top/>
      <bottom/>
      <diagonal/>
    </border>
    <border>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diagonal/>
    </border>
    <border>
      <left/>
      <right style="medium">
        <color rgb="FF000000"/>
      </right>
      <top/>
      <bottom style="medium">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medium">
        <color rgb="FF000000"/>
      </left>
      <right/>
      <top style="thin">
        <color rgb="FF000000"/>
      </top>
      <bottom/>
      <diagonal/>
    </border>
    <border>
      <left/>
      <right style="thin">
        <color rgb="FF000000"/>
      </right>
      <top style="medium">
        <color rgb="FF000000"/>
      </top>
      <bottom/>
      <diagonal/>
    </border>
    <border>
      <left/>
      <right style="thin">
        <color rgb="FF000000"/>
      </right>
      <top/>
      <bottom style="medium">
        <color rgb="FF000000"/>
      </bottom>
      <diagonal/>
    </border>
    <border>
      <left style="medium">
        <color rgb="FF000000"/>
      </left>
      <right style="medium">
        <color rgb="FF000000"/>
      </right>
      <top/>
      <bottom style="medium">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thin">
        <color auto="1"/>
      </top>
      <bottom/>
      <diagonal/>
    </border>
    <border>
      <left/>
      <right style="thin">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diagonal/>
    </border>
    <border>
      <left style="medium">
        <color auto="1"/>
      </left>
      <right/>
      <top/>
      <bottom style="thin">
        <color auto="1"/>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auto="1"/>
      </left>
      <right style="medium">
        <color auto="1"/>
      </right>
      <top style="medium">
        <color auto="1"/>
      </top>
      <bottom/>
      <diagonal/>
    </border>
    <border>
      <left style="thin">
        <color auto="1"/>
      </left>
      <right/>
      <top style="medium">
        <color auto="1"/>
      </top>
      <bottom/>
      <diagonal/>
    </border>
    <border>
      <left style="medium">
        <color auto="1"/>
      </left>
      <right style="medium">
        <color auto="1"/>
      </right>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s>
  <cellStyleXfs count="2916">
    <xf numFmtId="0" fontId="0" fillId="0" borderId="0"/>
    <xf numFmtId="43" fontId="65" fillId="0" borderId="0" applyFont="0" applyFill="0" applyBorder="0" applyAlignment="0" applyProtection="0"/>
    <xf numFmtId="9" fontId="65" fillId="0" borderId="0" applyFont="0" applyFill="0" applyBorder="0" applyAlignment="0" applyProtection="0"/>
    <xf numFmtId="187" fontId="72" fillId="0" borderId="94" applyFont="0" applyFill="0" applyBorder="0" applyAlignment="0" applyProtection="0"/>
    <xf numFmtId="44" fontId="74" fillId="0" borderId="0" applyFont="0" applyFill="0" applyBorder="0" applyAlignment="0" applyProtection="0"/>
    <xf numFmtId="0" fontId="1" fillId="0" borderId="94"/>
    <xf numFmtId="193" fontId="21" fillId="0" borderId="94" applyFont="0" applyFill="0" applyBorder="0" applyAlignment="0" applyProtection="0"/>
    <xf numFmtId="193" fontId="21" fillId="0" borderId="94" applyFont="0" applyFill="0" applyBorder="0" applyAlignment="0" applyProtection="0"/>
    <xf numFmtId="187" fontId="72" fillId="0" borderId="94" applyFont="0" applyFill="0" applyBorder="0" applyAlignment="0" applyProtection="0"/>
    <xf numFmtId="43" fontId="1" fillId="0" borderId="94" applyFont="0" applyFill="0" applyBorder="0" applyAlignment="0" applyProtection="0"/>
    <xf numFmtId="43" fontId="72" fillId="0" borderId="94" applyFont="0" applyFill="0" applyBorder="0" applyAlignment="0" applyProtection="0"/>
    <xf numFmtId="190" fontId="21" fillId="0" borderId="94" applyFont="0" applyFill="0" applyBorder="0" applyAlignment="0" applyProtection="0"/>
    <xf numFmtId="187" fontId="72" fillId="0" borderId="94" applyFont="0" applyFill="0" applyBorder="0" applyAlignment="0" applyProtection="0"/>
    <xf numFmtId="190" fontId="72" fillId="0" borderId="94" applyFont="0" applyFill="0" applyBorder="0" applyAlignment="0" applyProtection="0"/>
    <xf numFmtId="192" fontId="21" fillId="0" borderId="94" applyFont="0" applyFill="0" applyBorder="0" applyAlignment="0" applyProtection="0"/>
    <xf numFmtId="183" fontId="21" fillId="0" borderId="94" applyFont="0" applyFill="0" applyBorder="0" applyAlignment="0" applyProtection="0"/>
    <xf numFmtId="191" fontId="1" fillId="0" borderId="94" applyFont="0" applyFill="0" applyBorder="0" applyAlignment="0" applyProtection="0"/>
    <xf numFmtId="44" fontId="21" fillId="0" borderId="94" applyFont="0" applyFill="0" applyBorder="0" applyAlignment="0" applyProtection="0"/>
    <xf numFmtId="190" fontId="72" fillId="0" borderId="94" applyFont="0" applyFill="0" applyBorder="0" applyAlignment="0" applyProtection="0"/>
    <xf numFmtId="0" fontId="21" fillId="0" borderId="94"/>
    <xf numFmtId="0" fontId="21" fillId="0" borderId="94"/>
    <xf numFmtId="0" fontId="21" fillId="0" borderId="94"/>
    <xf numFmtId="0" fontId="21" fillId="0" borderId="94"/>
    <xf numFmtId="0" fontId="21" fillId="0" borderId="94"/>
    <xf numFmtId="9" fontId="72" fillId="0" borderId="94" applyFont="0" applyFill="0" applyBorder="0" applyAlignment="0" applyProtection="0"/>
    <xf numFmtId="9" fontId="1" fillId="0" borderId="94" applyFont="0" applyFill="0" applyBorder="0" applyAlignment="0" applyProtection="0"/>
    <xf numFmtId="9" fontId="72" fillId="0" borderId="94" applyFont="0" applyFill="0" applyBorder="0" applyAlignment="0" applyProtection="0"/>
    <xf numFmtId="9" fontId="72" fillId="0" borderId="94" applyFont="0" applyFill="0" applyBorder="0" applyAlignment="0" applyProtection="0"/>
    <xf numFmtId="9" fontId="21" fillId="0" borderId="94" applyFont="0" applyFill="0" applyBorder="0" applyAlignment="0" applyProtection="0"/>
    <xf numFmtId="9" fontId="1" fillId="0" borderId="94" applyFont="0" applyFill="0" applyBorder="0" applyAlignment="0" applyProtection="0"/>
    <xf numFmtId="0" fontId="21" fillId="0" borderId="94"/>
    <xf numFmtId="0" fontId="75" fillId="16" borderId="94" applyNumberFormat="0" applyBorder="0" applyAlignment="0" applyProtection="0"/>
    <xf numFmtId="0" fontId="75" fillId="17" borderId="94" applyNumberFormat="0" applyBorder="0" applyAlignment="0" applyProtection="0"/>
    <xf numFmtId="0" fontId="75" fillId="18" borderId="94" applyNumberFormat="0" applyBorder="0" applyAlignment="0" applyProtection="0"/>
    <xf numFmtId="0" fontId="75" fillId="21" borderId="94" applyNumberFormat="0" applyBorder="0" applyAlignment="0" applyProtection="0"/>
    <xf numFmtId="0" fontId="75" fillId="22" borderId="94" applyNumberFormat="0" applyBorder="0" applyAlignment="0" applyProtection="0"/>
    <xf numFmtId="0" fontId="75" fillId="23" borderId="94" applyNumberFormat="0" applyBorder="0" applyAlignment="0" applyProtection="0"/>
    <xf numFmtId="49" fontId="82" fillId="0" borderId="94" applyFill="0" applyBorder="0" applyProtection="0">
      <alignment horizontal="left" vertical="center"/>
    </xf>
    <xf numFmtId="0" fontId="83" fillId="0" borderId="94" applyNumberFormat="0" applyFill="0" applyBorder="0" applyProtection="0">
      <alignment horizontal="left" vertical="center"/>
    </xf>
    <xf numFmtId="0" fontId="83" fillId="0" borderId="94" applyNumberFormat="0" applyFill="0" applyBorder="0" applyProtection="0">
      <alignment horizontal="right" vertical="center"/>
    </xf>
    <xf numFmtId="0" fontId="82" fillId="0" borderId="134" applyNumberFormat="0" applyFill="0" applyProtection="0">
      <alignment horizontal="left" vertical="center"/>
    </xf>
    <xf numFmtId="0" fontId="82" fillId="0" borderId="134" applyNumberFormat="0" applyFill="0" applyProtection="0">
      <alignment horizontal="left" vertical="center"/>
    </xf>
    <xf numFmtId="0" fontId="82" fillId="0" borderId="134" applyNumberFormat="0" applyFill="0" applyProtection="0">
      <alignment horizontal="left" vertical="center"/>
    </xf>
    <xf numFmtId="0" fontId="82" fillId="0" borderId="134" applyNumberFormat="0" applyFill="0" applyProtection="0">
      <alignment horizontal="left" vertical="center"/>
    </xf>
    <xf numFmtId="0" fontId="82" fillId="0" borderId="134" applyNumberFormat="0" applyFill="0" applyProtection="0">
      <alignment horizontal="left" vertical="center"/>
    </xf>
    <xf numFmtId="0" fontId="82" fillId="0" borderId="134" applyNumberFormat="0" applyFill="0" applyProtection="0">
      <alignment horizontal="left" vertical="center"/>
    </xf>
    <xf numFmtId="0" fontId="82" fillId="0" borderId="134" applyNumberFormat="0" applyFill="0" applyProtection="0">
      <alignment horizontal="left" vertical="center"/>
    </xf>
    <xf numFmtId="0" fontId="82" fillId="0" borderId="134" applyNumberFormat="0" applyFill="0" applyProtection="0">
      <alignment horizontal="left" vertical="center"/>
    </xf>
    <xf numFmtId="0" fontId="79" fillId="0" borderId="134" applyNumberFormat="0" applyFont="0" applyFill="0" applyAlignment="0" applyProtection="0"/>
    <xf numFmtId="0" fontId="79" fillId="0" borderId="134" applyNumberFormat="0" applyFont="0" applyFill="0" applyAlignment="0" applyProtection="0"/>
    <xf numFmtId="0" fontId="79" fillId="0" borderId="134" applyNumberFormat="0" applyFont="0" applyFill="0" applyAlignment="0" applyProtection="0"/>
    <xf numFmtId="0" fontId="79" fillId="0" borderId="134" applyNumberFormat="0" applyFont="0" applyFill="0" applyAlignment="0" applyProtection="0"/>
    <xf numFmtId="0" fontId="79" fillId="0" borderId="134" applyNumberFormat="0" applyFont="0" applyFill="0" applyAlignment="0" applyProtection="0"/>
    <xf numFmtId="0" fontId="79" fillId="0" borderId="134" applyNumberFormat="0" applyFont="0" applyFill="0" applyAlignment="0" applyProtection="0"/>
    <xf numFmtId="0" fontId="79" fillId="0" borderId="134" applyNumberFormat="0" applyFont="0" applyFill="0" applyAlignment="0" applyProtection="0"/>
    <xf numFmtId="0" fontId="79" fillId="0" borderId="134" applyNumberFormat="0" applyFont="0" applyFill="0" applyAlignment="0" applyProtection="0"/>
    <xf numFmtId="0" fontId="79" fillId="0" borderId="134" applyNumberFormat="0" applyFont="0" applyFill="0" applyAlignment="0" applyProtection="0"/>
    <xf numFmtId="0" fontId="79" fillId="0" borderId="134" applyNumberFormat="0" applyFont="0" applyFill="0" applyAlignment="0" applyProtection="0"/>
    <xf numFmtId="0" fontId="79" fillId="0" borderId="134" applyNumberFormat="0" applyFont="0" applyFill="0" applyAlignment="0" applyProtection="0"/>
    <xf numFmtId="0" fontId="79" fillId="0" borderId="134" applyNumberFormat="0" applyFont="0" applyFill="0" applyAlignment="0" applyProtection="0"/>
    <xf numFmtId="0" fontId="79" fillId="0" borderId="134" applyNumberFormat="0" applyFont="0" applyFill="0" applyAlignment="0" applyProtection="0"/>
    <xf numFmtId="0" fontId="79" fillId="0" borderId="134" applyNumberFormat="0" applyFont="0" applyFill="0" applyAlignment="0" applyProtection="0"/>
    <xf numFmtId="0" fontId="79" fillId="0" borderId="134" applyNumberFormat="0" applyFont="0" applyFill="0" applyAlignment="0" applyProtection="0"/>
    <xf numFmtId="0" fontId="79" fillId="0" borderId="134" applyNumberFormat="0" applyFont="0" applyFill="0" applyAlignment="0" applyProtection="0"/>
    <xf numFmtId="0" fontId="79" fillId="0" borderId="134" applyNumberFormat="0" applyFont="0" applyFill="0" applyAlignment="0" applyProtection="0"/>
    <xf numFmtId="0" fontId="79" fillId="0" borderId="134" applyNumberFormat="0" applyFont="0" applyFill="0" applyAlignment="0" applyProtection="0"/>
    <xf numFmtId="0" fontId="79" fillId="0" borderId="134" applyNumberFormat="0" applyFont="0" applyFill="0" applyAlignment="0" applyProtection="0"/>
    <xf numFmtId="0" fontId="79" fillId="0" borderId="134" applyNumberFormat="0" applyFont="0" applyFill="0" applyAlignment="0" applyProtection="0"/>
    <xf numFmtId="0" fontId="79" fillId="0" borderId="134" applyNumberFormat="0" applyFont="0" applyFill="0" applyAlignment="0" applyProtection="0"/>
    <xf numFmtId="0" fontId="79" fillId="0" borderId="134" applyNumberFormat="0" applyFont="0" applyFill="0" applyAlignment="0" applyProtection="0"/>
    <xf numFmtId="0" fontId="79" fillId="0" borderId="134" applyNumberFormat="0" applyFont="0" applyFill="0" applyAlignment="0" applyProtection="0"/>
    <xf numFmtId="0" fontId="79" fillId="0" borderId="134" applyNumberFormat="0" applyFont="0" applyFill="0" applyAlignment="0" applyProtection="0"/>
    <xf numFmtId="41" fontId="79" fillId="0" borderId="94" applyFont="0" applyFill="0" applyBorder="0" applyAlignment="0" applyProtection="0"/>
    <xf numFmtId="41" fontId="79" fillId="0" borderId="94" applyFont="0" applyFill="0" applyBorder="0" applyAlignment="0" applyProtection="0"/>
    <xf numFmtId="41" fontId="79" fillId="0" borderId="94" applyFont="0" applyFill="0" applyBorder="0" applyAlignment="0" applyProtection="0"/>
    <xf numFmtId="41" fontId="79" fillId="0" borderId="94" applyFont="0" applyFill="0" applyBorder="0" applyAlignment="0" applyProtection="0"/>
    <xf numFmtId="41" fontId="79" fillId="0" borderId="94" applyFont="0" applyFill="0" applyBorder="0" applyAlignment="0" applyProtection="0"/>
    <xf numFmtId="43" fontId="79" fillId="0" borderId="94" applyFont="0" applyFill="0" applyBorder="0" applyAlignment="0" applyProtection="0"/>
    <xf numFmtId="43" fontId="79" fillId="0" borderId="94" applyFont="0" applyFill="0" applyBorder="0" applyAlignment="0" applyProtection="0"/>
    <xf numFmtId="43" fontId="79" fillId="0" borderId="94" applyFont="0" applyFill="0" applyBorder="0" applyAlignment="0" applyProtection="0"/>
    <xf numFmtId="43" fontId="79" fillId="0" borderId="94" applyFont="0" applyFill="0" applyBorder="0" applyAlignment="0" applyProtection="0"/>
    <xf numFmtId="43" fontId="79" fillId="0" borderId="94" applyFont="0" applyFill="0" applyBorder="0" applyAlignment="0" applyProtection="0"/>
    <xf numFmtId="43" fontId="79" fillId="0" borderId="94" applyFont="0" applyFill="0" applyBorder="0" applyAlignment="0" applyProtection="0"/>
    <xf numFmtId="43"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4"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91" fontId="79" fillId="0" borderId="94" applyFont="0" applyFill="0" applyBorder="0" applyAlignment="0" applyProtection="0"/>
    <xf numFmtId="14" fontId="82" fillId="0" borderId="94" applyFill="0" applyBorder="0" applyProtection="0">
      <alignment horizontal="right" vertical="center"/>
    </xf>
    <xf numFmtId="22" fontId="82" fillId="0" borderId="94" applyFill="0" applyBorder="0" applyProtection="0">
      <alignment horizontal="right" vertical="center"/>
    </xf>
    <xf numFmtId="4" fontId="82" fillId="0" borderId="94" applyFill="0" applyBorder="0" applyProtection="0">
      <alignment horizontal="right" vertical="center"/>
    </xf>
    <xf numFmtId="4" fontId="82" fillId="0" borderId="134" applyFill="0" applyProtection="0">
      <alignment horizontal="right" vertical="center"/>
    </xf>
    <xf numFmtId="4" fontId="82" fillId="0" borderId="134" applyFill="0" applyProtection="0">
      <alignment horizontal="right" vertical="center"/>
    </xf>
    <xf numFmtId="4" fontId="82" fillId="0" borderId="134" applyFill="0" applyProtection="0">
      <alignment horizontal="right" vertical="center"/>
    </xf>
    <xf numFmtId="4" fontId="82" fillId="0" borderId="134" applyFill="0" applyProtection="0">
      <alignment horizontal="right" vertical="center"/>
    </xf>
    <xf numFmtId="4" fontId="82" fillId="0" borderId="134" applyFill="0" applyProtection="0">
      <alignment horizontal="right" vertical="center"/>
    </xf>
    <xf numFmtId="4" fontId="82" fillId="0" borderId="134" applyFill="0" applyProtection="0">
      <alignment horizontal="right" vertical="center"/>
    </xf>
    <xf numFmtId="4" fontId="82" fillId="0" borderId="134" applyFill="0" applyProtection="0">
      <alignment horizontal="right" vertical="center"/>
    </xf>
    <xf numFmtId="4" fontId="82" fillId="0" borderId="134" applyFill="0" applyProtection="0">
      <alignment horizontal="right" vertical="center"/>
    </xf>
    <xf numFmtId="0" fontId="75" fillId="15" borderId="94" applyNumberFormat="0" applyBorder="0" applyAlignment="0" applyProtection="0"/>
    <xf numFmtId="0" fontId="84" fillId="15" borderId="94" applyNumberFormat="0" applyBorder="0" applyAlignment="0" applyProtection="0"/>
    <xf numFmtId="195" fontId="82" fillId="0" borderId="94" applyFill="0" applyBorder="0" applyProtection="0">
      <alignment horizontal="right" vertical="center"/>
    </xf>
    <xf numFmtId="195" fontId="82" fillId="0" borderId="134" applyFill="0" applyProtection="0">
      <alignment horizontal="right" vertical="center"/>
    </xf>
    <xf numFmtId="195" fontId="82" fillId="0" borderId="134" applyFill="0" applyProtection="0">
      <alignment horizontal="right" vertical="center"/>
    </xf>
    <xf numFmtId="195" fontId="82" fillId="0" borderId="134" applyFill="0" applyProtection="0">
      <alignment horizontal="right" vertical="center"/>
    </xf>
    <xf numFmtId="195" fontId="82" fillId="0" borderId="134" applyFill="0" applyProtection="0">
      <alignment horizontal="right" vertical="center"/>
    </xf>
    <xf numFmtId="195" fontId="82" fillId="0" borderId="134" applyFill="0" applyProtection="0">
      <alignment horizontal="right" vertical="center"/>
    </xf>
    <xf numFmtId="195" fontId="82" fillId="0" borderId="134" applyFill="0" applyProtection="0">
      <alignment horizontal="right" vertical="center"/>
    </xf>
    <xf numFmtId="195" fontId="82" fillId="0" borderId="134" applyFill="0" applyProtection="0">
      <alignment horizontal="right" vertical="center"/>
    </xf>
    <xf numFmtId="195" fontId="82" fillId="0" borderId="134" applyFill="0" applyProtection="0">
      <alignment horizontal="right" vertical="center"/>
    </xf>
    <xf numFmtId="0" fontId="83" fillId="19" borderId="94" applyNumberFormat="0" applyBorder="0" applyProtection="0">
      <alignment horizontal="center" vertical="center"/>
    </xf>
    <xf numFmtId="0" fontId="83" fillId="24" borderId="94" applyNumberFormat="0" applyBorder="0" applyProtection="0">
      <alignment horizontal="center" vertical="center" wrapText="1"/>
    </xf>
    <xf numFmtId="0" fontId="82" fillId="24" borderId="94" applyNumberFormat="0" applyBorder="0" applyProtection="0">
      <alignment horizontal="right" vertical="center" wrapText="1"/>
    </xf>
    <xf numFmtId="0" fontId="83" fillId="25" borderId="94" applyNumberFormat="0" applyBorder="0" applyProtection="0">
      <alignment horizontal="center" vertical="center"/>
    </xf>
    <xf numFmtId="0" fontId="83" fillId="26" borderId="94" applyNumberFormat="0" applyBorder="0" applyProtection="0">
      <alignment horizontal="center" vertical="center" wrapText="1"/>
    </xf>
    <xf numFmtId="0" fontId="83" fillId="26" borderId="94" applyNumberFormat="0" applyBorder="0" applyProtection="0">
      <alignment horizontal="right" vertical="center" wrapText="1"/>
    </xf>
    <xf numFmtId="0" fontId="83" fillId="26" borderId="134" applyNumberFormat="0" applyProtection="0">
      <alignment horizontal="left" vertical="center" wrapText="1"/>
    </xf>
    <xf numFmtId="0" fontId="83" fillId="26" borderId="134" applyNumberFormat="0" applyProtection="0">
      <alignment horizontal="left" vertical="center" wrapText="1"/>
    </xf>
    <xf numFmtId="0" fontId="83" fillId="26" borderId="134" applyNumberFormat="0" applyProtection="0">
      <alignment horizontal="left" vertical="center" wrapText="1"/>
    </xf>
    <xf numFmtId="0" fontId="83" fillId="26" borderId="134" applyNumberFormat="0" applyProtection="0">
      <alignment horizontal="left" vertical="center" wrapText="1"/>
    </xf>
    <xf numFmtId="0" fontId="83" fillId="26" borderId="134" applyNumberFormat="0" applyProtection="0">
      <alignment horizontal="left" vertical="center" wrapText="1"/>
    </xf>
    <xf numFmtId="0" fontId="83" fillId="26" borderId="134" applyNumberFormat="0" applyProtection="0">
      <alignment horizontal="left" vertical="center" wrapText="1"/>
    </xf>
    <xf numFmtId="0" fontId="83" fillId="26" borderId="134" applyNumberFormat="0" applyProtection="0">
      <alignment horizontal="left" vertical="center" wrapText="1"/>
    </xf>
    <xf numFmtId="0" fontId="83" fillId="26" borderId="134" applyNumberFormat="0" applyProtection="0">
      <alignment horizontal="left" vertical="center" wrapText="1"/>
    </xf>
    <xf numFmtId="43" fontId="72" fillId="0" borderId="94" applyFont="0" applyFill="0" applyBorder="0" applyAlignment="0" applyProtection="0"/>
    <xf numFmtId="43" fontId="72" fillId="0" borderId="94" applyFont="0" applyFill="0" applyBorder="0" applyAlignment="0" applyProtection="0"/>
    <xf numFmtId="187" fontId="72" fillId="0" borderId="94" applyFont="0" applyFill="0" applyBorder="0" applyAlignment="0" applyProtection="0"/>
    <xf numFmtId="43" fontId="78"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43" fontId="1" fillId="0" borderId="94" applyFont="0" applyFill="0" applyBorder="0" applyAlignment="0" applyProtection="0"/>
    <xf numFmtId="43" fontId="1" fillId="0" borderId="94" applyFont="0" applyFill="0" applyBorder="0" applyAlignment="0" applyProtection="0"/>
    <xf numFmtId="43" fontId="1"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187" fontId="72" fillId="0" borderId="94" applyFont="0" applyFill="0" applyBorder="0" applyAlignment="0" applyProtection="0"/>
    <xf numFmtId="187" fontId="72" fillId="0" borderId="94" applyFont="0" applyFill="0" applyBorder="0" applyAlignment="0" applyProtection="0"/>
    <xf numFmtId="187" fontId="72" fillId="0" borderId="94" applyFont="0" applyFill="0" applyBorder="0" applyAlignment="0" applyProtection="0"/>
    <xf numFmtId="187" fontId="72" fillId="0" borderId="94" applyFont="0" applyFill="0" applyBorder="0" applyAlignment="0" applyProtection="0"/>
    <xf numFmtId="43" fontId="81" fillId="0" borderId="94" applyFont="0" applyFill="0" applyBorder="0" applyAlignment="0" applyProtection="0"/>
    <xf numFmtId="43" fontId="81"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187" fontId="72" fillId="0" borderId="94" applyFont="0" applyFill="0" applyBorder="0" applyAlignment="0" applyProtection="0"/>
    <xf numFmtId="43" fontId="1" fillId="0" borderId="94" applyFont="0" applyFill="0" applyBorder="0" applyAlignment="0" applyProtection="0"/>
    <xf numFmtId="43" fontId="1"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88" fontId="72" fillId="0" borderId="94" applyFont="0" applyFill="0" applyBorder="0" applyAlignment="0" applyProtection="0"/>
    <xf numFmtId="188" fontId="72" fillId="0" borderId="94" applyFont="0" applyFill="0" applyBorder="0" applyAlignment="0" applyProtection="0"/>
    <xf numFmtId="188" fontId="72" fillId="0" borderId="94" applyFont="0" applyFill="0" applyBorder="0" applyAlignment="0" applyProtection="0"/>
    <xf numFmtId="188" fontId="72" fillId="0" borderId="94" applyFont="0" applyFill="0" applyBorder="0" applyAlignment="0" applyProtection="0"/>
    <xf numFmtId="188" fontId="72" fillId="0" borderId="94" applyFont="0" applyFill="0" applyBorder="0" applyAlignment="0" applyProtection="0"/>
    <xf numFmtId="188" fontId="72" fillId="0" borderId="94" applyFont="0" applyFill="0" applyBorder="0" applyAlignment="0" applyProtection="0"/>
    <xf numFmtId="188" fontId="72" fillId="0" borderId="94" applyFont="0" applyFill="0" applyBorder="0" applyAlignment="0" applyProtection="0"/>
    <xf numFmtId="188" fontId="72" fillId="0" borderId="94" applyFont="0" applyFill="0" applyBorder="0" applyAlignment="0" applyProtection="0"/>
    <xf numFmtId="42" fontId="1"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1" fillId="0" borderId="94" applyFont="0" applyFill="0" applyBorder="0" applyAlignment="0" applyProtection="0"/>
    <xf numFmtId="194" fontId="1" fillId="0" borderId="94" applyFont="0" applyFill="0" applyBorder="0" applyAlignment="0" applyProtection="0"/>
    <xf numFmtId="194" fontId="1" fillId="0" borderId="94" applyFont="0" applyFill="0" applyBorder="0" applyAlignment="0" applyProtection="0"/>
    <xf numFmtId="194" fontId="1" fillId="0" borderId="94" applyFont="0" applyFill="0" applyBorder="0" applyAlignment="0" applyProtection="0"/>
    <xf numFmtId="194" fontId="1" fillId="0" borderId="94" applyFont="0" applyFill="0" applyBorder="0" applyAlignment="0" applyProtection="0"/>
    <xf numFmtId="194" fontId="1" fillId="0" borderId="94" applyFont="0" applyFill="0" applyBorder="0" applyAlignment="0" applyProtection="0"/>
    <xf numFmtId="194" fontId="1" fillId="0" borderId="94" applyFont="0" applyFill="0" applyBorder="0" applyAlignment="0" applyProtection="0"/>
    <xf numFmtId="194" fontId="1"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4"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89" fontId="78" fillId="0" borderId="94" applyFont="0" applyFill="0" applyBorder="0" applyAlignment="0" applyProtection="0"/>
    <xf numFmtId="190"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0"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0"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0"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0"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44" fontId="21" fillId="0" borderId="94" applyFont="0" applyFill="0" applyBorder="0" applyAlignment="0" applyProtection="0"/>
    <xf numFmtId="191" fontId="21" fillId="0" borderId="94" applyFont="0" applyFill="0" applyBorder="0" applyAlignment="0" applyProtection="0"/>
    <xf numFmtId="189" fontId="21" fillId="0" borderId="94" applyFont="0" applyFill="0" applyBorder="0" applyAlignment="0" applyProtection="0"/>
    <xf numFmtId="189"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89" fontId="1" fillId="0" borderId="94" applyFont="0" applyFill="0" applyBorder="0" applyAlignment="0" applyProtection="0"/>
    <xf numFmtId="191" fontId="21" fillId="0" borderId="94" applyFont="0" applyFill="0" applyBorder="0" applyAlignment="0" applyProtection="0"/>
    <xf numFmtId="189" fontId="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89" fontId="78"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44"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89" fontId="85" fillId="0" borderId="94" applyFont="0" applyFill="0" applyBorder="0" applyAlignment="0" applyProtection="0"/>
    <xf numFmtId="189" fontId="85" fillId="0" borderId="94" applyFont="0" applyFill="0" applyBorder="0" applyAlignment="0" applyProtection="0"/>
    <xf numFmtId="189" fontId="85" fillId="0" borderId="94" applyFont="0" applyFill="0" applyBorder="0" applyAlignment="0" applyProtection="0"/>
    <xf numFmtId="189" fontId="85" fillId="0" borderId="94" applyFont="0" applyFill="0" applyBorder="0" applyAlignment="0" applyProtection="0"/>
    <xf numFmtId="189" fontId="85" fillId="0" borderId="94" applyFont="0" applyFill="0" applyBorder="0" applyAlignment="0" applyProtection="0"/>
    <xf numFmtId="189" fontId="85" fillId="0" borderId="94" applyFont="0" applyFill="0" applyBorder="0" applyAlignment="0" applyProtection="0"/>
    <xf numFmtId="189" fontId="85" fillId="0" borderId="94" applyFont="0" applyFill="0" applyBorder="0" applyAlignment="0" applyProtection="0"/>
    <xf numFmtId="189" fontId="85" fillId="0" borderId="94" applyFont="0" applyFill="0" applyBorder="0" applyAlignment="0" applyProtection="0"/>
    <xf numFmtId="189" fontId="85" fillId="0" borderId="94" applyFont="0" applyFill="0" applyBorder="0" applyAlignment="0" applyProtection="0"/>
    <xf numFmtId="189" fontId="85"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91" fontId="21" fillId="0" borderId="94" applyFont="0" applyFill="0" applyBorder="0" applyAlignment="0" applyProtection="0"/>
    <xf numFmtId="189" fontId="78" fillId="0" borderId="94" applyFont="0" applyFill="0" applyBorder="0" applyAlignment="0" applyProtection="0"/>
    <xf numFmtId="189" fontId="78"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0" fontId="72" fillId="0" borderId="94" applyFont="0" applyFill="0" applyBorder="0" applyAlignment="0" applyProtection="0"/>
    <xf numFmtId="190" fontId="1" fillId="0" borderId="94" applyFont="0" applyFill="0" applyBorder="0" applyAlignment="0" applyProtection="0"/>
    <xf numFmtId="190"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0" fontId="72" fillId="0" borderId="94" applyFont="0" applyFill="0" applyBorder="0" applyAlignment="0" applyProtection="0"/>
    <xf numFmtId="190" fontId="72" fillId="0" borderId="94" applyFont="0" applyFill="0" applyBorder="0" applyAlignment="0" applyProtection="0"/>
    <xf numFmtId="190" fontId="72" fillId="0" borderId="94" applyFont="0" applyFill="0" applyBorder="0" applyAlignment="0" applyProtection="0"/>
    <xf numFmtId="191" fontId="81" fillId="0" borderId="94" applyFont="0" applyFill="0" applyBorder="0" applyAlignment="0" applyProtection="0"/>
    <xf numFmtId="191" fontId="8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1"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191" fontId="72" fillId="0" borderId="94" applyFont="0" applyFill="0" applyBorder="0" applyAlignment="0" applyProtection="0"/>
    <xf numFmtId="0" fontId="86" fillId="21" borderId="94" applyNumberFormat="0" applyBorder="0" applyAlignment="0" applyProtection="0"/>
    <xf numFmtId="0" fontId="1" fillId="0" borderId="94"/>
    <xf numFmtId="0" fontId="21" fillId="0" borderId="94"/>
    <xf numFmtId="0" fontId="78" fillId="0" borderId="94"/>
    <xf numFmtId="0" fontId="80" fillId="0" borderId="94"/>
    <xf numFmtId="0" fontId="80" fillId="0" borderId="94"/>
    <xf numFmtId="0" fontId="78" fillId="0" borderId="94"/>
    <xf numFmtId="0" fontId="21" fillId="0" borderId="94"/>
    <xf numFmtId="0" fontId="1" fillId="0" borderId="94"/>
    <xf numFmtId="0" fontId="21" fillId="0" borderId="94"/>
    <xf numFmtId="0" fontId="78" fillId="0" borderId="94"/>
    <xf numFmtId="0" fontId="78" fillId="0" borderId="94"/>
    <xf numFmtId="0" fontId="81" fillId="0" borderId="94"/>
    <xf numFmtId="0" fontId="54" fillId="0" borderId="94"/>
    <xf numFmtId="0" fontId="21" fillId="0" borderId="94"/>
    <xf numFmtId="3" fontId="82" fillId="0" borderId="94" applyFill="0" applyBorder="0" applyProtection="0">
      <alignment horizontal="right" vertical="center"/>
    </xf>
    <xf numFmtId="3" fontId="82" fillId="0" borderId="134" applyFill="0" applyProtection="0">
      <alignment horizontal="right" vertical="center"/>
    </xf>
    <xf numFmtId="3" fontId="82" fillId="0" borderId="134" applyFill="0" applyProtection="0">
      <alignment horizontal="right" vertical="center"/>
    </xf>
    <xf numFmtId="3" fontId="82" fillId="0" borderId="134" applyFill="0" applyProtection="0">
      <alignment horizontal="right" vertical="center"/>
    </xf>
    <xf numFmtId="3" fontId="82" fillId="0" borderId="134" applyFill="0" applyProtection="0">
      <alignment horizontal="right" vertical="center"/>
    </xf>
    <xf numFmtId="3" fontId="82" fillId="0" borderId="134" applyFill="0" applyProtection="0">
      <alignment horizontal="right" vertical="center"/>
    </xf>
    <xf numFmtId="3" fontId="82" fillId="0" borderId="134" applyFill="0" applyProtection="0">
      <alignment horizontal="right" vertical="center"/>
    </xf>
    <xf numFmtId="3" fontId="82" fillId="0" borderId="134" applyFill="0" applyProtection="0">
      <alignment horizontal="right" vertical="center"/>
    </xf>
    <xf numFmtId="3" fontId="82" fillId="0" borderId="134" applyFill="0" applyProtection="0">
      <alignment horizontal="right" vertical="center"/>
    </xf>
    <xf numFmtId="9" fontId="79" fillId="0" borderId="94" applyFont="0" applyFill="0" applyBorder="0" applyAlignment="0" applyProtection="0"/>
    <xf numFmtId="9" fontId="79" fillId="0" borderId="94" applyFont="0" applyFill="0" applyBorder="0" applyAlignment="0" applyProtection="0"/>
    <xf numFmtId="9" fontId="72" fillId="0" borderId="94" applyFont="0" applyFill="0" applyBorder="0" applyAlignment="0" applyProtection="0"/>
    <xf numFmtId="9" fontId="1" fillId="0" borderId="94" applyFont="0" applyFill="0" applyBorder="0" applyAlignment="0" applyProtection="0"/>
    <xf numFmtId="9" fontId="72" fillId="0" borderId="94" applyFont="0" applyFill="0" applyBorder="0" applyAlignment="0" applyProtection="0"/>
    <xf numFmtId="9" fontId="72" fillId="0" borderId="94" applyFont="0" applyFill="0" applyBorder="0" applyAlignment="0" applyProtection="0"/>
    <xf numFmtId="9" fontId="72" fillId="0" borderId="94" applyFont="0" applyFill="0" applyBorder="0" applyAlignment="0" applyProtection="0"/>
    <xf numFmtId="9" fontId="72" fillId="0" borderId="94" applyFont="0" applyFill="0" applyBorder="0" applyAlignment="0" applyProtection="0"/>
    <xf numFmtId="41" fontId="1" fillId="0" borderId="94" applyFont="0" applyFill="0" applyBorder="0" applyAlignment="0" applyProtection="0"/>
    <xf numFmtId="42" fontId="1" fillId="0" borderId="94" applyFont="0" applyFill="0" applyBorder="0" applyAlignment="0" applyProtection="0"/>
    <xf numFmtId="44" fontId="1" fillId="0" borderId="94" applyFont="0" applyFill="0" applyBorder="0" applyAlignment="0" applyProtection="0"/>
    <xf numFmtId="43" fontId="1" fillId="0" borderId="94" applyFont="0" applyFill="0" applyBorder="0" applyAlignment="0" applyProtection="0"/>
    <xf numFmtId="9" fontId="1" fillId="0" borderId="94" applyFont="0" applyFill="0" applyBorder="0" applyAlignment="0" applyProtection="0"/>
    <xf numFmtId="44" fontId="1" fillId="0" borderId="94" applyFont="0" applyFill="0" applyBorder="0" applyAlignment="0" applyProtection="0"/>
    <xf numFmtId="42" fontId="1" fillId="0" borderId="94" applyFont="0" applyFill="0" applyBorder="0" applyAlignment="0" applyProtection="0"/>
    <xf numFmtId="44" fontId="1" fillId="0" borderId="94" applyFont="0" applyFill="0" applyBorder="0" applyAlignment="0" applyProtection="0"/>
    <xf numFmtId="0" fontId="90" fillId="32" borderId="94" applyNumberFormat="0" applyBorder="0" applyAlignment="0" applyProtection="0"/>
    <xf numFmtId="44" fontId="1" fillId="0" borderId="94" applyFont="0" applyFill="0" applyBorder="0" applyAlignment="0" applyProtection="0"/>
    <xf numFmtId="3" fontId="91" fillId="0" borderId="134" applyFill="0" applyProtection="0">
      <alignment horizontal="right" vertical="center"/>
    </xf>
    <xf numFmtId="3" fontId="91" fillId="0" borderId="134" applyFill="0" applyProtection="0">
      <alignment horizontal="right" vertical="center"/>
    </xf>
    <xf numFmtId="0" fontId="79" fillId="0" borderId="94"/>
    <xf numFmtId="0" fontId="85" fillId="0" borderId="94"/>
    <xf numFmtId="0" fontId="85" fillId="0" borderId="94"/>
    <xf numFmtId="0" fontId="72" fillId="0" borderId="94"/>
    <xf numFmtId="44" fontId="21" fillId="0" borderId="94" applyFont="0" applyFill="0" applyBorder="0" applyAlignment="0" applyProtection="0"/>
    <xf numFmtId="44" fontId="21" fillId="0" borderId="94" applyFont="0" applyFill="0" applyBorder="0" applyAlignment="0" applyProtection="0"/>
    <xf numFmtId="197" fontId="21" fillId="0" borderId="94" applyFont="0" applyFill="0" applyBorder="0" applyAlignment="0" applyProtection="0"/>
    <xf numFmtId="42" fontId="72"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196" fontId="72"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43" fontId="72" fillId="0" borderId="94" applyFont="0" applyFill="0" applyBorder="0" applyAlignment="0" applyProtection="0"/>
    <xf numFmtId="43" fontId="85" fillId="0" borderId="94" applyFont="0" applyFill="0" applyBorder="0" applyAlignment="0" applyProtection="0"/>
    <xf numFmtId="196" fontId="72" fillId="0" borderId="94" applyFont="0" applyFill="0" applyBorder="0" applyAlignment="0" applyProtection="0"/>
    <xf numFmtId="43" fontId="72" fillId="0" borderId="94" applyFont="0" applyFill="0" applyBorder="0" applyAlignment="0" applyProtection="0"/>
    <xf numFmtId="0" fontId="92" fillId="33" borderId="134" applyNumberFormat="0" applyProtection="0">
      <alignment horizontal="left" vertical="center" wrapText="1"/>
    </xf>
    <xf numFmtId="0" fontId="92" fillId="33" borderId="134" applyNumberFormat="0" applyProtection="0">
      <alignment horizontal="left" vertical="center" wrapText="1"/>
    </xf>
    <xf numFmtId="195" fontId="91" fillId="0" borderId="134" applyFill="0" applyProtection="0">
      <alignment horizontal="right" vertical="center"/>
    </xf>
    <xf numFmtId="195" fontId="91" fillId="0" borderId="134" applyFill="0" applyProtection="0">
      <alignment horizontal="right" vertical="center"/>
    </xf>
    <xf numFmtId="4" fontId="91" fillId="0" borderId="134" applyFill="0" applyProtection="0">
      <alignment horizontal="right" vertical="center"/>
    </xf>
    <xf numFmtId="4" fontId="91" fillId="0" borderId="134" applyFill="0" applyProtection="0">
      <alignment horizontal="right" vertical="center"/>
    </xf>
    <xf numFmtId="42" fontId="72" fillId="0" borderId="94" applyFont="0" applyFill="0" applyBorder="0" applyAlignment="0" applyProtection="0"/>
    <xf numFmtId="43" fontId="79" fillId="0" borderId="94" applyFont="0" applyFill="0" applyBorder="0" applyAlignment="0" applyProtection="0"/>
    <xf numFmtId="43" fontId="79" fillId="0" borderId="94" applyFont="0" applyFill="0" applyBorder="0" applyAlignment="0" applyProtection="0"/>
    <xf numFmtId="41" fontId="79" fillId="0" borderId="94" applyFont="0" applyFill="0" applyBorder="0" applyAlignment="0" applyProtection="0"/>
    <xf numFmtId="41" fontId="79" fillId="0" borderId="94" applyFont="0" applyFill="0" applyBorder="0" applyAlignment="0" applyProtection="0"/>
    <xf numFmtId="41" fontId="72" fillId="0" borderId="94" applyFont="0" applyFill="0" applyBorder="0" applyAlignment="0" applyProtection="0"/>
    <xf numFmtId="0" fontId="91" fillId="0" borderId="134" applyNumberFormat="0" applyFill="0" applyProtection="0">
      <alignment horizontal="left" vertical="center"/>
    </xf>
    <xf numFmtId="0" fontId="91" fillId="0" borderId="134" applyNumberFormat="0" applyFill="0" applyProtection="0">
      <alignment horizontal="left" vertical="center"/>
    </xf>
    <xf numFmtId="44" fontId="1" fillId="0" borderId="94" applyFont="0" applyFill="0" applyBorder="0" applyAlignment="0" applyProtection="0"/>
    <xf numFmtId="44" fontId="72" fillId="0" borderId="94" applyFont="0" applyFill="0" applyBorder="0" applyAlignment="0" applyProtection="0"/>
    <xf numFmtId="44" fontId="1" fillId="0" borderId="94" applyFont="0" applyFill="0" applyBorder="0" applyAlignment="0" applyProtection="0"/>
    <xf numFmtId="44" fontId="1" fillId="0" borderId="94" applyFont="0" applyFill="0" applyBorder="0" applyAlignment="0" applyProtection="0"/>
  </cellStyleXfs>
  <cellXfs count="1055">
    <xf numFmtId="0" fontId="0" fillId="0" borderId="0" xfId="0"/>
    <xf numFmtId="0" fontId="2" fillId="0" borderId="1" xfId="0" applyFont="1" applyBorder="1"/>
    <xf numFmtId="0" fontId="2" fillId="0" borderId="1" xfId="0" applyFont="1" applyBorder="1" applyAlignment="1">
      <alignment horizontal="center"/>
    </xf>
    <xf numFmtId="0" fontId="2" fillId="0" borderId="0" xfId="0" applyFont="1" applyAlignment="1">
      <alignment horizontal="center"/>
    </xf>
    <xf numFmtId="0" fontId="2" fillId="0" borderId="0" xfId="0" applyFont="1" applyAlignment="1">
      <alignment horizontal="center" vertical="center"/>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12" xfId="0" applyFont="1" applyBorder="1" applyAlignment="1">
      <alignment horizontal="left" vertical="center" wrapText="1"/>
    </xf>
    <xf numFmtId="0" fontId="7" fillId="0" borderId="12" xfId="0" applyFont="1" applyBorder="1" applyAlignment="1">
      <alignment horizontal="center" vertical="center" wrapText="1"/>
    </xf>
    <xf numFmtId="0" fontId="7" fillId="0" borderId="12"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11" fillId="0" borderId="0" xfId="0" applyFont="1" applyAlignment="1">
      <alignment horizontal="center" vertical="center"/>
    </xf>
    <xf numFmtId="0" fontId="10" fillId="6" borderId="30"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10" fillId="3" borderId="29" xfId="0" applyFont="1" applyFill="1" applyBorder="1" applyAlignment="1">
      <alignment horizontal="center" vertical="center" wrapText="1"/>
    </xf>
    <xf numFmtId="2" fontId="11" fillId="0" borderId="44" xfId="0" applyNumberFormat="1" applyFont="1" applyBorder="1" applyAlignment="1">
      <alignment horizontal="center" vertical="center"/>
    </xf>
    <xf numFmtId="2" fontId="11" fillId="7" borderId="44" xfId="0" applyNumberFormat="1" applyFont="1" applyFill="1" applyBorder="1" applyAlignment="1">
      <alignment horizontal="center" vertical="center"/>
    </xf>
    <xf numFmtId="2" fontId="10" fillId="0" borderId="44" xfId="0" applyNumberFormat="1" applyFont="1" applyBorder="1" applyAlignment="1">
      <alignment horizontal="center" vertical="center"/>
    </xf>
    <xf numFmtId="169" fontId="10" fillId="0" borderId="44" xfId="0" applyNumberFormat="1" applyFont="1" applyBorder="1" applyAlignment="1">
      <alignment horizontal="center" vertical="center"/>
    </xf>
    <xf numFmtId="170" fontId="2" fillId="0" borderId="0" xfId="0" applyNumberFormat="1" applyFont="1" applyAlignment="1">
      <alignment horizontal="center"/>
    </xf>
    <xf numFmtId="164" fontId="2" fillId="0" borderId="0" xfId="0" applyNumberFormat="1" applyFont="1" applyAlignment="1">
      <alignment horizontal="center"/>
    </xf>
    <xf numFmtId="0" fontId="13" fillId="0" borderId="0" xfId="0" applyFont="1" applyAlignment="1">
      <alignment horizontal="center"/>
    </xf>
    <xf numFmtId="2" fontId="2" fillId="0" borderId="0" xfId="0" applyNumberFormat="1" applyFont="1" applyAlignment="1">
      <alignment horizontal="center"/>
    </xf>
    <xf numFmtId="170" fontId="2" fillId="0" borderId="0" xfId="0" applyNumberFormat="1" applyFont="1"/>
    <xf numFmtId="10" fontId="2" fillId="0" borderId="0" xfId="0" applyNumberFormat="1" applyFont="1" applyAlignment="1">
      <alignment horizontal="center"/>
    </xf>
    <xf numFmtId="0" fontId="17" fillId="0" borderId="1" xfId="0" applyFont="1" applyBorder="1"/>
    <xf numFmtId="4" fontId="2" fillId="0" borderId="0" xfId="0" applyNumberFormat="1" applyFont="1" applyAlignment="1">
      <alignment horizontal="center"/>
    </xf>
    <xf numFmtId="166" fontId="2" fillId="0" borderId="0" xfId="0" applyNumberFormat="1" applyFont="1" applyAlignment="1">
      <alignment horizontal="center"/>
    </xf>
    <xf numFmtId="169" fontId="18" fillId="0" borderId="0" xfId="0" applyNumberFormat="1" applyFont="1" applyAlignment="1">
      <alignment horizontal="center"/>
    </xf>
    <xf numFmtId="1" fontId="18" fillId="0" borderId="0" xfId="0" applyNumberFormat="1" applyFont="1" applyAlignment="1">
      <alignment horizontal="center"/>
    </xf>
    <xf numFmtId="0" fontId="9" fillId="0" borderId="0" xfId="0" applyFont="1" applyAlignment="1">
      <alignment horizontal="center" vertical="center" wrapText="1"/>
    </xf>
    <xf numFmtId="0" fontId="17" fillId="8" borderId="44" xfId="0" applyFont="1" applyFill="1" applyBorder="1" applyAlignment="1">
      <alignment horizontal="center" vertical="center"/>
    </xf>
    <xf numFmtId="2" fontId="2" fillId="0" borderId="0" xfId="0" applyNumberFormat="1" applyFont="1"/>
    <xf numFmtId="0" fontId="2" fillId="0" borderId="44" xfId="0" applyFont="1" applyBorder="1" applyAlignment="1">
      <alignment horizontal="center" vertical="center"/>
    </xf>
    <xf numFmtId="169" fontId="2" fillId="0" borderId="0" xfId="0" applyNumberFormat="1" applyFont="1" applyAlignment="1">
      <alignment horizontal="center"/>
    </xf>
    <xf numFmtId="0" fontId="21" fillId="0" borderId="1" xfId="0" applyFont="1" applyBorder="1"/>
    <xf numFmtId="0" fontId="22" fillId="0" borderId="1" xfId="0" applyFont="1" applyBorder="1"/>
    <xf numFmtId="0" fontId="10" fillId="0" borderId="1" xfId="0" applyFont="1" applyBorder="1" applyAlignment="1">
      <alignment horizontal="center"/>
    </xf>
    <xf numFmtId="164" fontId="2" fillId="0" borderId="1" xfId="0" applyNumberFormat="1" applyFont="1" applyBorder="1" applyAlignment="1">
      <alignment horizontal="center"/>
    </xf>
    <xf numFmtId="0" fontId="23" fillId="2" borderId="78" xfId="0" applyFont="1" applyFill="1" applyBorder="1" applyAlignment="1">
      <alignment horizontal="center" vertical="center" wrapText="1"/>
    </xf>
    <xf numFmtId="0" fontId="23" fillId="2" borderId="79" xfId="0" applyFont="1" applyFill="1" applyBorder="1" applyAlignment="1">
      <alignment horizontal="center" vertical="center" wrapText="1"/>
    </xf>
    <xf numFmtId="171" fontId="23" fillId="2" borderId="81" xfId="0" applyNumberFormat="1" applyFont="1" applyFill="1" applyBorder="1" applyAlignment="1">
      <alignment horizontal="center" vertical="top" wrapText="1"/>
    </xf>
    <xf numFmtId="171" fontId="23" fillId="3" borderId="79" xfId="0" applyNumberFormat="1" applyFont="1" applyFill="1" applyBorder="1" applyAlignment="1">
      <alignment horizontal="center" vertical="top" wrapText="1"/>
    </xf>
    <xf numFmtId="0" fontId="21" fillId="0" borderId="0" xfId="0" applyFont="1"/>
    <xf numFmtId="0" fontId="22" fillId="0" borderId="0" xfId="0" applyFont="1"/>
    <xf numFmtId="0" fontId="10" fillId="0" borderId="0" xfId="0" applyFont="1" applyAlignment="1">
      <alignment horizontal="center"/>
    </xf>
    <xf numFmtId="174" fontId="10" fillId="0" borderId="0" xfId="0" applyNumberFormat="1" applyFont="1" applyAlignment="1">
      <alignment horizontal="center"/>
    </xf>
    <xf numFmtId="0" fontId="21" fillId="9" borderId="1" xfId="0" applyFont="1" applyFill="1" applyBorder="1" applyAlignment="1">
      <alignment vertical="center"/>
    </xf>
    <xf numFmtId="171" fontId="30" fillId="0" borderId="0" xfId="0" applyNumberFormat="1" applyFont="1" applyAlignment="1">
      <alignment horizontal="center"/>
    </xf>
    <xf numFmtId="171" fontId="10" fillId="0" borderId="0" xfId="0" applyNumberFormat="1" applyFont="1" applyAlignment="1">
      <alignment horizontal="center"/>
    </xf>
    <xf numFmtId="4" fontId="23" fillId="0" borderId="0" xfId="0" applyNumberFormat="1" applyFont="1" applyAlignment="1">
      <alignment horizontal="center" vertical="center" wrapText="1"/>
    </xf>
    <xf numFmtId="6" fontId="10" fillId="0" borderId="0" xfId="0" applyNumberFormat="1" applyFont="1" applyAlignment="1">
      <alignment horizontal="center"/>
    </xf>
    <xf numFmtId="8" fontId="10" fillId="0" borderId="0" xfId="0" applyNumberFormat="1" applyFont="1" applyAlignment="1">
      <alignment horizontal="center"/>
    </xf>
    <xf numFmtId="177" fontId="2" fillId="0" borderId="0" xfId="0" applyNumberFormat="1" applyFont="1"/>
    <xf numFmtId="169" fontId="2" fillId="0" borderId="0" xfId="0" applyNumberFormat="1" applyFont="1" applyAlignment="1">
      <alignment horizontal="right" vertical="top"/>
    </xf>
    <xf numFmtId="9" fontId="2" fillId="0" borderId="0" xfId="0" applyNumberFormat="1" applyFont="1" applyAlignment="1">
      <alignment horizontal="right" vertical="top"/>
    </xf>
    <xf numFmtId="166" fontId="10" fillId="0" borderId="0" xfId="0" applyNumberFormat="1" applyFont="1" applyAlignment="1">
      <alignment horizontal="center"/>
    </xf>
    <xf numFmtId="171" fontId="24" fillId="0" borderId="0" xfId="0" applyNumberFormat="1" applyFont="1" applyAlignment="1">
      <alignment horizontal="center" vertical="center"/>
    </xf>
    <xf numFmtId="10" fontId="21" fillId="9" borderId="1" xfId="0" applyNumberFormat="1" applyFont="1" applyFill="1" applyBorder="1" applyAlignment="1">
      <alignment vertical="center"/>
    </xf>
    <xf numFmtId="9" fontId="10" fillId="0" borderId="0" xfId="0" applyNumberFormat="1" applyFont="1" applyAlignment="1">
      <alignment horizontal="center"/>
    </xf>
    <xf numFmtId="164" fontId="2" fillId="0" borderId="0" xfId="0" applyNumberFormat="1" applyFont="1"/>
    <xf numFmtId="170" fontId="10" fillId="0" borderId="0" xfId="0" applyNumberFormat="1" applyFont="1" applyAlignment="1">
      <alignment horizontal="center"/>
    </xf>
    <xf numFmtId="0" fontId="21" fillId="0" borderId="0" xfId="0" applyFont="1" applyAlignment="1">
      <alignment vertical="center"/>
    </xf>
    <xf numFmtId="0" fontId="35" fillId="2" borderId="46" xfId="0" applyFont="1" applyFill="1" applyBorder="1" applyAlignment="1">
      <alignment horizontal="center" vertical="center" textRotation="90" wrapText="1"/>
    </xf>
    <xf numFmtId="10" fontId="21" fillId="2" borderId="46" xfId="0" applyNumberFormat="1" applyFont="1" applyFill="1" applyBorder="1" applyAlignment="1">
      <alignment horizontal="center" vertical="center" wrapText="1"/>
    </xf>
    <xf numFmtId="0" fontId="34" fillId="2" borderId="46" xfId="0" applyFont="1" applyFill="1" applyBorder="1" applyAlignment="1">
      <alignment horizontal="center" vertical="center" wrapText="1"/>
    </xf>
    <xf numFmtId="180" fontId="36" fillId="2" borderId="44" xfId="0" applyNumberFormat="1" applyFont="1" applyFill="1" applyBorder="1" applyAlignment="1">
      <alignment vertical="center"/>
    </xf>
    <xf numFmtId="0" fontId="2" fillId="0" borderId="7" xfId="0" applyFont="1" applyBorder="1" applyAlignment="1">
      <alignment horizontal="center" vertical="center" wrapText="1"/>
    </xf>
    <xf numFmtId="180" fontId="36" fillId="3" borderId="44" xfId="0" applyNumberFormat="1" applyFont="1" applyFill="1" applyBorder="1" applyAlignment="1">
      <alignment vertical="center"/>
    </xf>
    <xf numFmtId="10" fontId="19" fillId="0" borderId="44" xfId="0" applyNumberFormat="1" applyFont="1" applyBorder="1" applyAlignment="1">
      <alignment horizontal="center" vertical="center" wrapText="1"/>
    </xf>
    <xf numFmtId="10" fontId="36" fillId="2" borderId="44" xfId="0" applyNumberFormat="1" applyFont="1" applyFill="1" applyBorder="1" applyAlignment="1">
      <alignment vertical="center"/>
    </xf>
    <xf numFmtId="180" fontId="36" fillId="3" borderId="77" xfId="0" applyNumberFormat="1" applyFont="1" applyFill="1" applyBorder="1" applyAlignment="1">
      <alignment vertical="center"/>
    </xf>
    <xf numFmtId="10" fontId="36" fillId="3" borderId="77" xfId="0" applyNumberFormat="1" applyFont="1" applyFill="1" applyBorder="1" applyAlignment="1">
      <alignment vertical="center"/>
    </xf>
    <xf numFmtId="181" fontId="36" fillId="3" borderId="44" xfId="0" applyNumberFormat="1" applyFont="1" applyFill="1" applyBorder="1" applyAlignment="1">
      <alignment vertical="center"/>
    </xf>
    <xf numFmtId="10" fontId="36" fillId="3" borderId="44" xfId="0" applyNumberFormat="1" applyFont="1" applyFill="1" applyBorder="1" applyAlignment="1">
      <alignment vertical="center"/>
    </xf>
    <xf numFmtId="181" fontId="36" fillId="2" borderId="44" xfId="0" applyNumberFormat="1" applyFont="1" applyFill="1" applyBorder="1" applyAlignment="1">
      <alignment vertical="center"/>
    </xf>
    <xf numFmtId="10" fontId="19" fillId="5" borderId="44" xfId="0" applyNumberFormat="1" applyFont="1" applyFill="1" applyBorder="1" applyAlignment="1">
      <alignment horizontal="center" vertical="center" wrapText="1"/>
    </xf>
    <xf numFmtId="10" fontId="34" fillId="2" borderId="100" xfId="0" applyNumberFormat="1" applyFont="1" applyFill="1" applyBorder="1" applyAlignment="1">
      <alignment horizontal="center" vertical="center" wrapText="1"/>
    </xf>
    <xf numFmtId="10" fontId="37" fillId="2" borderId="100" xfId="0" applyNumberFormat="1" applyFont="1" applyFill="1" applyBorder="1" applyAlignment="1">
      <alignment vertical="center"/>
    </xf>
    <xf numFmtId="0" fontId="33" fillId="2" borderId="101" xfId="0" applyFont="1" applyFill="1" applyBorder="1" applyAlignment="1">
      <alignment horizontal="center" vertical="top" wrapText="1"/>
    </xf>
    <xf numFmtId="0" fontId="22" fillId="0" borderId="0" xfId="0" applyFont="1" applyAlignment="1">
      <alignment vertical="center"/>
    </xf>
    <xf numFmtId="0" fontId="21" fillId="9" borderId="1" xfId="0" applyFont="1" applyFill="1" applyBorder="1" applyAlignment="1">
      <alignment horizontal="left" vertical="center"/>
    </xf>
    <xf numFmtId="10" fontId="39" fillId="9" borderId="1" xfId="0" applyNumberFormat="1" applyFont="1" applyFill="1" applyBorder="1" applyAlignment="1">
      <alignment vertical="center"/>
    </xf>
    <xf numFmtId="0" fontId="30" fillId="9" borderId="1" xfId="0" applyFont="1" applyFill="1" applyBorder="1" applyAlignment="1">
      <alignment vertical="top"/>
    </xf>
    <xf numFmtId="10" fontId="21" fillId="0" borderId="0" xfId="0" applyNumberFormat="1" applyFont="1" applyAlignment="1">
      <alignment vertical="center"/>
    </xf>
    <xf numFmtId="0" fontId="21" fillId="0" borderId="0" xfId="0" applyFont="1" applyAlignment="1">
      <alignment horizontal="left" vertical="center"/>
    </xf>
    <xf numFmtId="0" fontId="34" fillId="2" borderId="105" xfId="0" applyFont="1" applyFill="1" applyBorder="1" applyAlignment="1">
      <alignment horizontal="center" vertical="center" wrapText="1"/>
    </xf>
    <xf numFmtId="0" fontId="34" fillId="2" borderId="107" xfId="0" applyFont="1" applyFill="1" applyBorder="1" applyAlignment="1">
      <alignment vertical="center" wrapText="1"/>
    </xf>
    <xf numFmtId="0" fontId="34" fillId="2" borderId="70" xfId="0" applyFont="1" applyFill="1" applyBorder="1" applyAlignment="1">
      <alignment vertical="center" wrapText="1"/>
    </xf>
    <xf numFmtId="0" fontId="34" fillId="2" borderId="108" xfId="0" applyFont="1" applyFill="1" applyBorder="1" applyAlignment="1">
      <alignment vertical="center" wrapText="1"/>
    </xf>
    <xf numFmtId="0" fontId="34" fillId="2" borderId="80" xfId="0" applyFont="1" applyFill="1" applyBorder="1" applyAlignment="1">
      <alignment horizontal="center" vertical="center" wrapText="1"/>
    </xf>
    <xf numFmtId="10" fontId="21" fillId="2" borderId="77" xfId="0" applyNumberFormat="1" applyFont="1" applyFill="1" applyBorder="1" applyAlignment="1">
      <alignment horizontal="center" vertical="center" wrapText="1"/>
    </xf>
    <xf numFmtId="39" fontId="21" fillId="2" borderId="77" xfId="0" applyNumberFormat="1" applyFont="1" applyFill="1" applyBorder="1" applyAlignment="1">
      <alignment horizontal="center" vertical="center" wrapText="1"/>
    </xf>
    <xf numFmtId="0" fontId="34" fillId="2" borderId="109" xfId="0" applyFont="1" applyFill="1" applyBorder="1" applyAlignment="1">
      <alignment horizontal="center" vertical="center" wrapText="1"/>
    </xf>
    <xf numFmtId="10" fontId="21" fillId="2" borderId="44" xfId="0" applyNumberFormat="1" applyFont="1" applyFill="1" applyBorder="1" applyAlignment="1">
      <alignment horizontal="center" vertical="center" wrapText="1"/>
    </xf>
    <xf numFmtId="0" fontId="21" fillId="2" borderId="77" xfId="0" applyFont="1" applyFill="1" applyBorder="1" applyAlignment="1">
      <alignment horizontal="center" vertical="center" wrapText="1"/>
    </xf>
    <xf numFmtId="0" fontId="34" fillId="2" borderId="77" xfId="0" applyFont="1" applyFill="1" applyBorder="1" applyAlignment="1">
      <alignment horizontal="center" vertical="center" wrapText="1"/>
    </xf>
    <xf numFmtId="0" fontId="34" fillId="2" borderId="110" xfId="0" applyFont="1" applyFill="1" applyBorder="1" applyAlignment="1">
      <alignment horizontal="center" vertical="center" wrapText="1"/>
    </xf>
    <xf numFmtId="0" fontId="34" fillId="2" borderId="77" xfId="0" applyFont="1" applyFill="1" applyBorder="1" applyAlignment="1">
      <alignment horizontal="center" vertical="top" wrapText="1"/>
    </xf>
    <xf numFmtId="0" fontId="34" fillId="2" borderId="111" xfId="0" applyFont="1" applyFill="1" applyBorder="1" applyAlignment="1">
      <alignment horizontal="center" vertical="top" wrapText="1"/>
    </xf>
    <xf numFmtId="0" fontId="19" fillId="2" borderId="44" xfId="0" applyFont="1" applyFill="1" applyBorder="1" applyAlignment="1">
      <alignment horizontal="left" vertical="center" wrapText="1"/>
    </xf>
    <xf numFmtId="4" fontId="2" fillId="0" borderId="0" xfId="0" applyNumberFormat="1" applyFont="1"/>
    <xf numFmtId="171" fontId="19" fillId="3" borderId="44" xfId="0" applyNumberFormat="1" applyFont="1" applyFill="1" applyBorder="1" applyAlignment="1">
      <alignment horizontal="left" vertical="center" wrapText="1"/>
    </xf>
    <xf numFmtId="0" fontId="43" fillId="2" borderId="44" xfId="0" applyFont="1" applyFill="1" applyBorder="1" applyAlignment="1">
      <alignment horizontal="left" vertical="center" wrapText="1"/>
    </xf>
    <xf numFmtId="173" fontId="19" fillId="3" borderId="44" xfId="0" applyNumberFormat="1" applyFont="1" applyFill="1" applyBorder="1" applyAlignment="1">
      <alignment horizontal="left" vertical="center" wrapText="1"/>
    </xf>
    <xf numFmtId="0" fontId="19" fillId="3" borderId="44" xfId="0" applyFont="1" applyFill="1" applyBorder="1" applyAlignment="1">
      <alignment horizontal="left" vertical="center" wrapText="1"/>
    </xf>
    <xf numFmtId="171" fontId="2" fillId="0" borderId="0" xfId="0" applyNumberFormat="1" applyFont="1"/>
    <xf numFmtId="171" fontId="19" fillId="3" borderId="44" xfId="0" applyNumberFormat="1" applyFont="1" applyFill="1" applyBorder="1" applyAlignment="1">
      <alignment horizontal="center" vertical="center" wrapText="1"/>
    </xf>
    <xf numFmtId="173" fontId="2" fillId="0" borderId="0" xfId="0" applyNumberFormat="1" applyFont="1"/>
    <xf numFmtId="173" fontId="33" fillId="2" borderId="44" xfId="0" applyNumberFormat="1" applyFont="1" applyFill="1" applyBorder="1" applyAlignment="1">
      <alignment horizontal="left" vertical="center" wrapText="1"/>
    </xf>
    <xf numFmtId="173" fontId="33" fillId="2" borderId="44" xfId="0" applyNumberFormat="1" applyFont="1" applyFill="1" applyBorder="1" applyAlignment="1">
      <alignment horizontal="center" vertical="center" wrapText="1"/>
    </xf>
    <xf numFmtId="173" fontId="34" fillId="2" borderId="44" xfId="0" applyNumberFormat="1" applyFont="1" applyFill="1" applyBorder="1" applyAlignment="1">
      <alignment vertical="center" wrapText="1"/>
    </xf>
    <xf numFmtId="0" fontId="33" fillId="2" borderId="44" xfId="0" applyFont="1" applyFill="1" applyBorder="1" applyAlignment="1">
      <alignment horizontal="left" vertical="center" wrapText="1"/>
    </xf>
    <xf numFmtId="171" fontId="33" fillId="2" borderId="44" xfId="0" applyNumberFormat="1" applyFont="1" applyFill="1" applyBorder="1" applyAlignment="1">
      <alignment horizontal="center" vertical="center" wrapText="1"/>
    </xf>
    <xf numFmtId="174" fontId="33" fillId="2" borderId="44" xfId="0" applyNumberFormat="1" applyFont="1" applyFill="1" applyBorder="1" applyAlignment="1">
      <alignment horizontal="center" vertical="center" wrapText="1"/>
    </xf>
    <xf numFmtId="0" fontId="34" fillId="2" borderId="44" xfId="0" applyFont="1" applyFill="1" applyBorder="1" applyAlignment="1">
      <alignment vertical="center" wrapText="1"/>
    </xf>
    <xf numFmtId="0" fontId="21" fillId="0" borderId="0" xfId="0" applyFont="1" applyAlignment="1">
      <alignment horizontal="center" vertical="center"/>
    </xf>
    <xf numFmtId="164" fontId="21" fillId="0" borderId="0" xfId="0" applyNumberFormat="1" applyFont="1" applyAlignment="1">
      <alignment vertical="center"/>
    </xf>
    <xf numFmtId="2" fontId="21" fillId="0" borderId="0" xfId="0" applyNumberFormat="1" applyFont="1" applyAlignment="1">
      <alignment vertical="center"/>
    </xf>
    <xf numFmtId="166" fontId="21" fillId="0" borderId="0" xfId="0" applyNumberFormat="1" applyFont="1" applyAlignment="1">
      <alignment vertical="center"/>
    </xf>
    <xf numFmtId="182" fontId="10" fillId="0" borderId="0" xfId="0" applyNumberFormat="1" applyFont="1" applyAlignment="1">
      <alignment horizontal="center"/>
    </xf>
    <xf numFmtId="39" fontId="10" fillId="0" borderId="0" xfId="0" applyNumberFormat="1" applyFont="1" applyAlignment="1">
      <alignment horizontal="center"/>
    </xf>
    <xf numFmtId="39" fontId="2" fillId="0" borderId="0" xfId="0" applyNumberFormat="1" applyFont="1"/>
    <xf numFmtId="0" fontId="33" fillId="0" borderId="0" xfId="0" applyFont="1" applyAlignment="1">
      <alignment horizontal="center" vertical="center" wrapText="1"/>
    </xf>
    <xf numFmtId="171" fontId="27" fillId="0" borderId="0" xfId="0" applyNumberFormat="1" applyFont="1" applyAlignment="1">
      <alignment horizontal="center" vertical="center"/>
    </xf>
    <xf numFmtId="179" fontId="2" fillId="0" borderId="0" xfId="0" applyNumberFormat="1" applyFont="1"/>
    <xf numFmtId="166" fontId="11" fillId="7" borderId="44" xfId="0" applyNumberFormat="1" applyFont="1" applyFill="1" applyBorder="1" applyAlignment="1">
      <alignment horizontal="center" vertical="center"/>
    </xf>
    <xf numFmtId="2" fontId="11" fillId="10" borderId="44" xfId="0" applyNumberFormat="1" applyFont="1" applyFill="1" applyBorder="1" applyAlignment="1">
      <alignment horizontal="center" vertical="center"/>
    </xf>
    <xf numFmtId="4" fontId="10" fillId="10" borderId="44" xfId="0" applyNumberFormat="1" applyFont="1" applyFill="1" applyBorder="1" applyAlignment="1">
      <alignment horizontal="center" vertical="center" wrapText="1"/>
    </xf>
    <xf numFmtId="169" fontId="10" fillId="7" borderId="44" xfId="0" applyNumberFormat="1" applyFont="1" applyFill="1" applyBorder="1" applyAlignment="1">
      <alignment horizontal="center" vertical="center"/>
    </xf>
    <xf numFmtId="3" fontId="10" fillId="10" borderId="44" xfId="0" applyNumberFormat="1" applyFont="1" applyFill="1" applyBorder="1" applyAlignment="1">
      <alignment horizontal="center" vertical="center" wrapText="1"/>
    </xf>
    <xf numFmtId="9" fontId="2" fillId="0" borderId="0" xfId="0" applyNumberFormat="1" applyFont="1" applyAlignment="1">
      <alignment horizontal="center"/>
    </xf>
    <xf numFmtId="170" fontId="2" fillId="11" borderId="1" xfId="0" applyNumberFormat="1" applyFont="1" applyFill="1" applyBorder="1" applyAlignment="1">
      <alignment horizontal="center"/>
    </xf>
    <xf numFmtId="0" fontId="51" fillId="3" borderId="110" xfId="0" applyFont="1" applyFill="1" applyBorder="1" applyAlignment="1">
      <alignment horizontal="center" vertical="center"/>
    </xf>
    <xf numFmtId="0" fontId="51" fillId="2" borderId="77" xfId="0" applyFont="1" applyFill="1" applyBorder="1" applyAlignment="1">
      <alignment horizontal="center" vertical="center" wrapText="1"/>
    </xf>
    <xf numFmtId="0" fontId="51" fillId="2" borderId="109" xfId="0" applyFont="1" applyFill="1" applyBorder="1" applyAlignment="1">
      <alignment horizontal="center" vertical="center" wrapText="1"/>
    </xf>
    <xf numFmtId="0" fontId="2" fillId="0" borderId="37" xfId="0" applyFont="1" applyBorder="1" applyAlignment="1">
      <alignment horizontal="left"/>
    </xf>
    <xf numFmtId="167" fontId="2" fillId="0" borderId="37" xfId="0" applyNumberFormat="1" applyFont="1" applyBorder="1"/>
    <xf numFmtId="0" fontId="2" fillId="0" borderId="44" xfId="0" applyFont="1" applyBorder="1" applyAlignment="1">
      <alignment horizontal="left"/>
    </xf>
    <xf numFmtId="167" fontId="2" fillId="0" borderId="44" xfId="0" applyNumberFormat="1" applyFont="1" applyBorder="1"/>
    <xf numFmtId="0" fontId="2" fillId="0" borderId="46" xfId="0" applyFont="1" applyBorder="1" applyAlignment="1">
      <alignment horizontal="left"/>
    </xf>
    <xf numFmtId="167" fontId="2" fillId="0" borderId="46" xfId="0" applyNumberFormat="1" applyFont="1" applyBorder="1"/>
    <xf numFmtId="0" fontId="2" fillId="0" borderId="43" xfId="0" applyFont="1" applyBorder="1" applyAlignment="1">
      <alignment horizontal="left"/>
    </xf>
    <xf numFmtId="167" fontId="2" fillId="0" borderId="43" xfId="0" applyNumberFormat="1" applyFont="1" applyBorder="1"/>
    <xf numFmtId="0" fontId="2" fillId="0" borderId="37" xfId="0" applyFont="1" applyBorder="1"/>
    <xf numFmtId="0" fontId="2" fillId="0" borderId="44" xfId="0" applyFont="1" applyBorder="1"/>
    <xf numFmtId="0" fontId="2" fillId="0" borderId="46" xfId="0" applyFont="1" applyBorder="1"/>
    <xf numFmtId="167" fontId="2" fillId="0" borderId="38" xfId="0" applyNumberFormat="1" applyFont="1" applyBorder="1"/>
    <xf numFmtId="167" fontId="2" fillId="0" borderId="72" xfId="0" applyNumberFormat="1" applyFont="1" applyBorder="1"/>
    <xf numFmtId="167" fontId="2" fillId="0" borderId="45" xfId="0" applyNumberFormat="1" applyFont="1" applyBorder="1"/>
    <xf numFmtId="167" fontId="2" fillId="0" borderId="73" xfId="0" applyNumberFormat="1" applyFont="1" applyBorder="1"/>
    <xf numFmtId="167" fontId="2" fillId="0" borderId="54" xfId="0" applyNumberFormat="1" applyFont="1" applyBorder="1"/>
    <xf numFmtId="167" fontId="2" fillId="0" borderId="75" xfId="0" applyNumberFormat="1" applyFont="1" applyBorder="1"/>
    <xf numFmtId="0" fontId="2" fillId="0" borderId="72" xfId="0" applyFont="1" applyBorder="1"/>
    <xf numFmtId="173" fontId="2" fillId="0" borderId="72" xfId="0" applyNumberFormat="1" applyFont="1" applyBorder="1"/>
    <xf numFmtId="173" fontId="2" fillId="0" borderId="5" xfId="0" applyNumberFormat="1" applyFont="1" applyBorder="1"/>
    <xf numFmtId="0" fontId="2" fillId="0" borderId="73" xfId="0" applyFont="1" applyBorder="1"/>
    <xf numFmtId="173" fontId="2" fillId="0" borderId="73" xfId="0" applyNumberFormat="1" applyFont="1" applyBorder="1"/>
    <xf numFmtId="173" fontId="2" fillId="0" borderId="9" xfId="0" applyNumberFormat="1" applyFont="1" applyBorder="1"/>
    <xf numFmtId="0" fontId="2" fillId="10" borderId="73" xfId="0" applyFont="1" applyFill="1" applyBorder="1"/>
    <xf numFmtId="173" fontId="2" fillId="10" borderId="73" xfId="0" applyNumberFormat="1" applyFont="1" applyFill="1" applyBorder="1"/>
    <xf numFmtId="173" fontId="2" fillId="10" borderId="117" xfId="0" applyNumberFormat="1" applyFont="1" applyFill="1" applyBorder="1"/>
    <xf numFmtId="0" fontId="2" fillId="0" borderId="75" xfId="0" applyFont="1" applyBorder="1"/>
    <xf numFmtId="173" fontId="2" fillId="0" borderId="75" xfId="0" applyNumberFormat="1" applyFont="1" applyBorder="1"/>
    <xf numFmtId="173" fontId="2" fillId="0" borderId="66" xfId="0" applyNumberFormat="1" applyFont="1" applyBorder="1"/>
    <xf numFmtId="0" fontId="2" fillId="0" borderId="3" xfId="0" applyFont="1" applyBorder="1" applyAlignment="1">
      <alignment horizontal="left"/>
    </xf>
    <xf numFmtId="183" fontId="2" fillId="0" borderId="72" xfId="0" applyNumberFormat="1" applyFont="1" applyBorder="1"/>
    <xf numFmtId="0" fontId="2" fillId="0" borderId="0" xfId="0" applyFont="1" applyAlignment="1">
      <alignment horizontal="left"/>
    </xf>
    <xf numFmtId="183" fontId="2" fillId="0" borderId="73" xfId="0" applyNumberFormat="1" applyFont="1" applyBorder="1"/>
    <xf numFmtId="0" fontId="2" fillId="10" borderId="1" xfId="0" applyFont="1" applyFill="1" applyBorder="1" applyAlignment="1">
      <alignment horizontal="left"/>
    </xf>
    <xf numFmtId="183" fontId="2" fillId="10" borderId="73" xfId="0" applyNumberFormat="1" applyFont="1" applyFill="1" applyBorder="1"/>
    <xf numFmtId="0" fontId="2" fillId="0" borderId="12" xfId="0" applyFont="1" applyBorder="1" applyAlignment="1">
      <alignment horizontal="left"/>
    </xf>
    <xf numFmtId="183" fontId="2" fillId="0" borderId="75" xfId="0" applyNumberFormat="1" applyFont="1" applyBorder="1"/>
    <xf numFmtId="0" fontId="2" fillId="0" borderId="21" xfId="0" applyFont="1" applyBorder="1" applyAlignment="1">
      <alignment horizontal="left"/>
    </xf>
    <xf numFmtId="173" fontId="2" fillId="0" borderId="21" xfId="0" applyNumberFormat="1" applyFont="1" applyBorder="1"/>
    <xf numFmtId="173" fontId="2" fillId="0" borderId="7" xfId="0" applyNumberFormat="1" applyFont="1" applyBorder="1"/>
    <xf numFmtId="0" fontId="2" fillId="0" borderId="25" xfId="0" applyFont="1" applyBorder="1" applyAlignment="1">
      <alignment horizontal="left"/>
    </xf>
    <xf numFmtId="173" fontId="2" fillId="0" borderId="25" xfId="0" applyNumberFormat="1" applyFont="1" applyBorder="1"/>
    <xf numFmtId="0" fontId="2" fillId="0" borderId="7" xfId="0" applyFont="1" applyBorder="1"/>
    <xf numFmtId="0" fontId="2" fillId="10" borderId="32" xfId="0" applyFont="1" applyFill="1" applyBorder="1" applyAlignment="1">
      <alignment horizontal="left"/>
    </xf>
    <xf numFmtId="173" fontId="2" fillId="10" borderId="32" xfId="0" applyNumberFormat="1" applyFont="1" applyFill="1" applyBorder="1"/>
    <xf numFmtId="0" fontId="2" fillId="0" borderId="116" xfId="0" applyFont="1" applyBorder="1" applyAlignment="1">
      <alignment horizontal="left"/>
    </xf>
    <xf numFmtId="173" fontId="2" fillId="0" borderId="116" xfId="0" applyNumberFormat="1" applyFont="1" applyBorder="1"/>
    <xf numFmtId="0" fontId="2" fillId="0" borderId="72" xfId="0" applyFont="1" applyBorder="1" applyAlignment="1">
      <alignment horizontal="left"/>
    </xf>
    <xf numFmtId="0" fontId="2" fillId="0" borderId="73" xfId="0" applyFont="1" applyBorder="1" applyAlignment="1">
      <alignment horizontal="left"/>
    </xf>
    <xf numFmtId="0" fontId="2" fillId="10" borderId="73" xfId="0" applyFont="1" applyFill="1" applyBorder="1" applyAlignment="1">
      <alignment horizontal="left"/>
    </xf>
    <xf numFmtId="10" fontId="2" fillId="0" borderId="7" xfId="0" applyNumberFormat="1" applyFont="1" applyBorder="1"/>
    <xf numFmtId="0" fontId="2" fillId="0" borderId="75" xfId="0" applyFont="1" applyBorder="1" applyAlignment="1">
      <alignment horizontal="left"/>
    </xf>
    <xf numFmtId="0" fontId="2" fillId="0" borderId="118" xfId="0" applyFont="1" applyBorder="1" applyAlignment="1">
      <alignment horizontal="left"/>
    </xf>
    <xf numFmtId="173" fontId="2" fillId="0" borderId="118" xfId="0" applyNumberFormat="1" applyFont="1" applyBorder="1"/>
    <xf numFmtId="0" fontId="2" fillId="0" borderId="38" xfId="0" applyFont="1" applyBorder="1" applyAlignment="1">
      <alignment horizontal="left"/>
    </xf>
    <xf numFmtId="0" fontId="2" fillId="0" borderId="45" xfId="0" applyFont="1" applyBorder="1" applyAlignment="1">
      <alignment horizontal="left"/>
    </xf>
    <xf numFmtId="0" fontId="2" fillId="10" borderId="119" xfId="0" applyFont="1" applyFill="1" applyBorder="1" applyAlignment="1">
      <alignment horizontal="left"/>
    </xf>
    <xf numFmtId="0" fontId="2" fillId="0" borderId="65" xfId="0" applyFont="1" applyBorder="1" applyAlignment="1">
      <alignment horizontal="left"/>
    </xf>
    <xf numFmtId="173" fontId="2" fillId="0" borderId="4" xfId="0" applyNumberFormat="1" applyFont="1" applyBorder="1"/>
    <xf numFmtId="173" fontId="2" fillId="0" borderId="37" xfId="0" applyNumberFormat="1" applyFont="1" applyBorder="1"/>
    <xf numFmtId="173" fontId="2" fillId="0" borderId="8" xfId="0" applyNumberFormat="1" applyFont="1" applyBorder="1"/>
    <xf numFmtId="173" fontId="2" fillId="0" borderId="44" xfId="0" applyNumberFormat="1" applyFont="1" applyBorder="1"/>
    <xf numFmtId="173" fontId="2" fillId="0" borderId="120" xfId="0" applyNumberFormat="1" applyFont="1" applyBorder="1"/>
    <xf numFmtId="173" fontId="2" fillId="0" borderId="43" xfId="0" applyNumberFormat="1" applyFont="1" applyBorder="1"/>
    <xf numFmtId="173" fontId="2" fillId="0" borderId="17" xfId="0" applyNumberFormat="1" applyFont="1" applyBorder="1"/>
    <xf numFmtId="9" fontId="2" fillId="0" borderId="0" xfId="0" applyNumberFormat="1" applyFont="1"/>
    <xf numFmtId="173" fontId="2" fillId="0" borderId="121" xfId="0" applyNumberFormat="1" applyFont="1" applyBorder="1"/>
    <xf numFmtId="171" fontId="2" fillId="0" borderId="72" xfId="0" applyNumberFormat="1" applyFont="1" applyBorder="1"/>
    <xf numFmtId="171" fontId="2" fillId="0" borderId="73" xfId="0" applyNumberFormat="1" applyFont="1" applyBorder="1"/>
    <xf numFmtId="171" fontId="2" fillId="0" borderId="118" xfId="0" applyNumberFormat="1" applyFont="1" applyBorder="1"/>
    <xf numFmtId="173" fontId="2" fillId="0" borderId="86" xfId="0" applyNumberFormat="1" applyFont="1" applyBorder="1"/>
    <xf numFmtId="173" fontId="2" fillId="0" borderId="46" xfId="0" applyNumberFormat="1" applyFont="1" applyBorder="1"/>
    <xf numFmtId="0" fontId="51" fillId="3" borderId="29" xfId="0" applyFont="1" applyFill="1" applyBorder="1" applyAlignment="1">
      <alignment horizontal="center" vertical="center"/>
    </xf>
    <xf numFmtId="0" fontId="51" fillId="2" borderId="30" xfId="0" applyFont="1" applyFill="1" applyBorder="1" applyAlignment="1">
      <alignment horizontal="center" vertical="center" wrapText="1"/>
    </xf>
    <xf numFmtId="0" fontId="51" fillId="2" borderId="31" xfId="0" applyFont="1" applyFill="1" applyBorder="1" applyAlignment="1">
      <alignment horizontal="center" vertical="center" wrapText="1"/>
    </xf>
    <xf numFmtId="171" fontId="2" fillId="0" borderId="37" xfId="0" applyNumberFormat="1" applyFont="1" applyBorder="1"/>
    <xf numFmtId="10" fontId="2" fillId="0" borderId="23" xfId="0" applyNumberFormat="1" applyFont="1" applyBorder="1" applyAlignment="1">
      <alignment horizontal="center" vertical="center"/>
    </xf>
    <xf numFmtId="171" fontId="2" fillId="0" borderId="44" xfId="0" applyNumberFormat="1" applyFont="1" applyBorder="1"/>
    <xf numFmtId="171" fontId="2" fillId="0" borderId="46" xfId="0" applyNumberFormat="1" applyFont="1" applyBorder="1"/>
    <xf numFmtId="169" fontId="2" fillId="0" borderId="3" xfId="0" applyNumberFormat="1" applyFont="1" applyBorder="1"/>
    <xf numFmtId="169" fontId="2" fillId="0" borderId="0" xfId="0" applyNumberFormat="1" applyFont="1"/>
    <xf numFmtId="171" fontId="2" fillId="0" borderId="43" xfId="0" applyNumberFormat="1" applyFont="1" applyBorder="1"/>
    <xf numFmtId="171" fontId="2" fillId="0" borderId="38" xfId="0" applyNumberFormat="1" applyFont="1" applyBorder="1"/>
    <xf numFmtId="171" fontId="2" fillId="0" borderId="45" xfId="0" applyNumberFormat="1" applyFont="1" applyBorder="1"/>
    <xf numFmtId="171" fontId="2" fillId="0" borderId="65" xfId="0" applyNumberFormat="1" applyFont="1" applyBorder="1"/>
    <xf numFmtId="178" fontId="2" fillId="0" borderId="40" xfId="0" applyNumberFormat="1" applyFont="1" applyBorder="1"/>
    <xf numFmtId="178" fontId="2" fillId="0" borderId="47" xfId="0" applyNumberFormat="1" applyFont="1" applyBorder="1"/>
    <xf numFmtId="178" fontId="2" fillId="0" borderId="55" xfId="0" applyNumberFormat="1" applyFont="1" applyBorder="1"/>
    <xf numFmtId="0" fontId="2" fillId="0" borderId="122" xfId="0" applyFont="1" applyBorder="1"/>
    <xf numFmtId="0" fontId="2" fillId="0" borderId="39" xfId="0" applyFont="1" applyBorder="1"/>
    <xf numFmtId="173" fontId="2" fillId="0" borderId="39" xfId="0" applyNumberFormat="1" applyFont="1" applyBorder="1"/>
    <xf numFmtId="178" fontId="2" fillId="0" borderId="39" xfId="0" applyNumberFormat="1" applyFont="1" applyBorder="1"/>
    <xf numFmtId="179" fontId="2" fillId="0" borderId="39" xfId="0" applyNumberFormat="1" applyFont="1" applyBorder="1"/>
    <xf numFmtId="10" fontId="2" fillId="0" borderId="123" xfId="0" applyNumberFormat="1" applyFont="1" applyBorder="1" applyAlignment="1">
      <alignment horizontal="center" vertical="center"/>
    </xf>
    <xf numFmtId="0" fontId="2" fillId="0" borderId="51" xfId="0" applyFont="1" applyBorder="1"/>
    <xf numFmtId="0" fontId="2" fillId="0" borderId="74" xfId="0" applyFont="1" applyBorder="1"/>
    <xf numFmtId="0" fontId="2" fillId="0" borderId="22" xfId="0" applyFont="1" applyBorder="1"/>
    <xf numFmtId="173" fontId="2" fillId="0" borderId="24" xfId="0" applyNumberFormat="1" applyFont="1" applyBorder="1"/>
    <xf numFmtId="178" fontId="2" fillId="0" borderId="24" xfId="0" applyNumberFormat="1" applyFont="1" applyBorder="1"/>
    <xf numFmtId="179" fontId="2" fillId="0" borderId="24" xfId="0" applyNumberFormat="1" applyFont="1" applyBorder="1"/>
    <xf numFmtId="0" fontId="2" fillId="0" borderId="48" xfId="0" applyFont="1" applyBorder="1"/>
    <xf numFmtId="0" fontId="2" fillId="0" borderId="49" xfId="0" applyFont="1" applyBorder="1"/>
    <xf numFmtId="0" fontId="2" fillId="0" borderId="50" xfId="0" applyFont="1" applyBorder="1"/>
    <xf numFmtId="0" fontId="2" fillId="0" borderId="53" xfId="0" applyFont="1" applyBorder="1"/>
    <xf numFmtId="184" fontId="2" fillId="0" borderId="46" xfId="0" applyNumberFormat="1" applyFont="1" applyBorder="1"/>
    <xf numFmtId="10" fontId="2" fillId="0" borderId="0" xfId="0" applyNumberFormat="1" applyFont="1"/>
    <xf numFmtId="0" fontId="51" fillId="3" borderId="50" xfId="0" applyFont="1" applyFill="1" applyBorder="1" applyAlignment="1">
      <alignment horizontal="center" vertical="center"/>
    </xf>
    <xf numFmtId="0" fontId="51" fillId="2" borderId="44" xfId="0" applyFont="1" applyFill="1" applyBorder="1" applyAlignment="1">
      <alignment horizontal="center" vertical="center" wrapText="1"/>
    </xf>
    <xf numFmtId="0" fontId="51" fillId="2" borderId="47" xfId="0" applyFont="1" applyFill="1" applyBorder="1" applyAlignment="1">
      <alignment horizontal="center" vertical="center" wrapText="1"/>
    </xf>
    <xf numFmtId="0" fontId="2" fillId="0" borderId="47" xfId="0" applyFont="1" applyBorder="1"/>
    <xf numFmtId="0" fontId="51" fillId="2" borderId="119" xfId="0" applyFont="1" applyFill="1" applyBorder="1" applyAlignment="1">
      <alignment horizontal="center" vertical="center" wrapText="1"/>
    </xf>
    <xf numFmtId="0" fontId="51" fillId="2" borderId="36" xfId="0" applyFont="1" applyFill="1" applyBorder="1" applyAlignment="1">
      <alignment horizontal="center" vertical="center" wrapText="1"/>
    </xf>
    <xf numFmtId="0" fontId="51" fillId="2" borderId="37" xfId="0" applyFont="1" applyFill="1" applyBorder="1" applyAlignment="1">
      <alignment horizontal="center" vertical="center" wrapText="1"/>
    </xf>
    <xf numFmtId="0" fontId="51" fillId="2" borderId="37" xfId="0" applyFont="1" applyFill="1" applyBorder="1" applyAlignment="1">
      <alignment horizontal="center" vertical="top" wrapText="1"/>
    </xf>
    <xf numFmtId="0" fontId="51" fillId="2" borderId="40" xfId="0" applyFont="1" applyFill="1" applyBorder="1" applyAlignment="1">
      <alignment horizontal="center" vertical="center" wrapText="1"/>
    </xf>
    <xf numFmtId="0" fontId="52" fillId="0" borderId="50" xfId="0" applyFont="1" applyBorder="1"/>
    <xf numFmtId="0" fontId="2" fillId="0" borderId="43" xfId="0" applyFont="1" applyBorder="1" applyAlignment="1">
      <alignment horizontal="center" vertical="center"/>
    </xf>
    <xf numFmtId="0" fontId="2" fillId="0" borderId="44" xfId="0" applyFont="1" applyBorder="1" applyAlignment="1">
      <alignment horizontal="center"/>
    </xf>
    <xf numFmtId="0" fontId="52" fillId="0" borderId="50" xfId="0" applyFont="1" applyBorder="1" applyAlignment="1">
      <alignment vertical="center"/>
    </xf>
    <xf numFmtId="0" fontId="2" fillId="0" borderId="44" xfId="0" applyFont="1" applyBorder="1" applyAlignment="1">
      <alignment vertical="center"/>
    </xf>
    <xf numFmtId="9" fontId="2" fillId="0" borderId="44" xfId="0" applyNumberFormat="1" applyFont="1" applyBorder="1" applyAlignment="1">
      <alignment vertical="center"/>
    </xf>
    <xf numFmtId="0" fontId="2" fillId="0" borderId="47" xfId="0" applyFont="1" applyBorder="1" applyAlignment="1">
      <alignment vertical="center"/>
    </xf>
    <xf numFmtId="0" fontId="2" fillId="0" borderId="0" xfId="0" applyFont="1" applyAlignment="1">
      <alignment vertical="center"/>
    </xf>
    <xf numFmtId="10" fontId="2" fillId="0" borderId="44" xfId="0" applyNumberFormat="1" applyFont="1" applyBorder="1"/>
    <xf numFmtId="0" fontId="52" fillId="7" borderId="53" xfId="0" applyFont="1" applyFill="1" applyBorder="1"/>
    <xf numFmtId="0" fontId="2" fillId="7" borderId="46" xfId="0" applyFont="1" applyFill="1" applyBorder="1" applyAlignment="1">
      <alignment horizontal="center" vertical="center"/>
    </xf>
    <xf numFmtId="0" fontId="2" fillId="7" borderId="46" xfId="0" applyFont="1" applyFill="1" applyBorder="1"/>
    <xf numFmtId="10" fontId="2" fillId="7" borderId="44" xfId="0" applyNumberFormat="1" applyFont="1" applyFill="1" applyBorder="1" applyAlignment="1">
      <alignment vertical="center"/>
    </xf>
    <xf numFmtId="0" fontId="2" fillId="7" borderId="46" xfId="0" applyFont="1" applyFill="1" applyBorder="1" applyAlignment="1">
      <alignment horizontal="center"/>
    </xf>
    <xf numFmtId="0" fontId="2" fillId="7" borderId="55" xfId="0" applyFont="1" applyFill="1" applyBorder="1"/>
    <xf numFmtId="0" fontId="52" fillId="0" borderId="0" xfId="0" applyFont="1"/>
    <xf numFmtId="0" fontId="2" fillId="0" borderId="0" xfId="0" applyFont="1" applyAlignment="1">
      <alignment horizontal="center" vertical="center" wrapText="1"/>
    </xf>
    <xf numFmtId="0" fontId="51" fillId="3" borderId="36" xfId="0" applyFont="1" applyFill="1" applyBorder="1" applyAlignment="1">
      <alignment horizontal="center" vertical="center"/>
    </xf>
    <xf numFmtId="0" fontId="51" fillId="2" borderId="124" xfId="0" applyFont="1" applyFill="1" applyBorder="1" applyAlignment="1">
      <alignment horizontal="center" vertical="center" wrapText="1"/>
    </xf>
    <xf numFmtId="0" fontId="2" fillId="0" borderId="7" xfId="0" applyFont="1" applyBorder="1" applyAlignment="1">
      <alignment horizontal="center" vertical="center"/>
    </xf>
    <xf numFmtId="9" fontId="2" fillId="0" borderId="44" xfId="0" applyNumberFormat="1" applyFont="1" applyBorder="1"/>
    <xf numFmtId="9" fontId="2" fillId="7" borderId="46" xfId="0" applyNumberFormat="1" applyFont="1" applyFill="1" applyBorder="1"/>
    <xf numFmtId="180" fontId="2" fillId="0" borderId="44" xfId="0" applyNumberFormat="1" applyFont="1" applyBorder="1"/>
    <xf numFmtId="2" fontId="2" fillId="0" borderId="44" xfId="0" applyNumberFormat="1" applyFont="1" applyBorder="1"/>
    <xf numFmtId="2" fontId="2" fillId="0" borderId="44" xfId="0" applyNumberFormat="1" applyFont="1" applyBorder="1" applyAlignment="1">
      <alignment vertical="center"/>
    </xf>
    <xf numFmtId="0" fontId="52" fillId="0" borderId="53" xfId="0" applyFont="1" applyBorder="1"/>
    <xf numFmtId="0" fontId="2" fillId="0" borderId="46" xfId="0" applyFont="1" applyBorder="1" applyAlignment="1">
      <alignment horizontal="center" vertical="center"/>
    </xf>
    <xf numFmtId="2" fontId="2" fillId="0" borderId="46" xfId="0" applyNumberFormat="1" applyFont="1" applyBorder="1"/>
    <xf numFmtId="9" fontId="2" fillId="0" borderId="46" xfId="0" applyNumberFormat="1" applyFont="1" applyBorder="1"/>
    <xf numFmtId="0" fontId="2" fillId="0" borderId="46" xfId="0" applyFont="1" applyBorder="1" applyAlignment="1">
      <alignment horizontal="center"/>
    </xf>
    <xf numFmtId="0" fontId="2" fillId="0" borderId="55" xfId="0" applyFont="1" applyBorder="1" applyAlignment="1">
      <alignment vertical="center"/>
    </xf>
    <xf numFmtId="0" fontId="2" fillId="0" borderId="47" xfId="0" applyFont="1" applyBorder="1" applyAlignment="1">
      <alignment horizontal="left"/>
    </xf>
    <xf numFmtId="10" fontId="2" fillId="7" borderId="46" xfId="0" applyNumberFormat="1" applyFont="1" applyFill="1" applyBorder="1"/>
    <xf numFmtId="0" fontId="2" fillId="7" borderId="44" xfId="0" applyFont="1" applyFill="1" applyBorder="1" applyAlignment="1">
      <alignment horizontal="center"/>
    </xf>
    <xf numFmtId="0" fontId="2" fillId="7" borderId="47" xfId="0" applyFont="1" applyFill="1" applyBorder="1" applyAlignment="1">
      <alignment horizontal="left"/>
    </xf>
    <xf numFmtId="0" fontId="2" fillId="7" borderId="47" xfId="0" applyFont="1" applyFill="1" applyBorder="1"/>
    <xf numFmtId="2" fontId="2" fillId="0" borderId="44" xfId="0" applyNumberFormat="1" applyFont="1" applyBorder="1" applyAlignment="1">
      <alignment horizontal="center"/>
    </xf>
    <xf numFmtId="9" fontId="2" fillId="0" borderId="44" xfId="0" applyNumberFormat="1" applyFont="1" applyBorder="1" applyAlignment="1">
      <alignment horizontal="center"/>
    </xf>
    <xf numFmtId="2" fontId="2" fillId="7" borderId="44" xfId="0" applyNumberFormat="1" applyFont="1" applyFill="1" applyBorder="1" applyAlignment="1">
      <alignment horizontal="center"/>
    </xf>
    <xf numFmtId="9" fontId="2" fillId="7" borderId="44" xfId="0" applyNumberFormat="1" applyFont="1" applyFill="1" applyBorder="1" applyAlignment="1">
      <alignment horizontal="center"/>
    </xf>
    <xf numFmtId="0" fontId="51" fillId="2" borderId="44" xfId="0" applyFont="1" applyFill="1" applyBorder="1" applyAlignment="1">
      <alignment horizontal="center" vertical="top" wrapText="1"/>
    </xf>
    <xf numFmtId="10" fontId="2" fillId="0" borderId="44" xfId="0" applyNumberFormat="1" applyFont="1" applyBorder="1" applyAlignment="1">
      <alignment horizontal="center"/>
    </xf>
    <xf numFmtId="0" fontId="2" fillId="0" borderId="60" xfId="0" applyFont="1" applyBorder="1" applyAlignment="1">
      <alignment vertical="center"/>
    </xf>
    <xf numFmtId="2" fontId="2" fillId="0" borderId="46" xfId="0" applyNumberFormat="1" applyFont="1" applyBorder="1" applyAlignment="1">
      <alignment horizontal="center"/>
    </xf>
    <xf numFmtId="10" fontId="2" fillId="0" borderId="46" xfId="0" applyNumberFormat="1" applyFont="1" applyBorder="1" applyAlignment="1">
      <alignment horizontal="center"/>
    </xf>
    <xf numFmtId="9" fontId="2" fillId="0" borderId="46" xfId="0" applyNumberFormat="1" applyFont="1" applyBorder="1" applyAlignment="1">
      <alignment horizontal="center"/>
    </xf>
    <xf numFmtId="0" fontId="2" fillId="0" borderId="55" xfId="0" applyFont="1" applyBorder="1"/>
    <xf numFmtId="0" fontId="52" fillId="7" borderId="47" xfId="0" applyFont="1" applyFill="1" applyBorder="1"/>
    <xf numFmtId="0" fontId="52" fillId="0" borderId="47" xfId="0" applyFont="1" applyBorder="1"/>
    <xf numFmtId="0" fontId="52" fillId="0" borderId="55" xfId="0" applyFont="1" applyBorder="1"/>
    <xf numFmtId="0" fontId="51" fillId="2" borderId="46" xfId="0" applyFont="1" applyFill="1" applyBorder="1" applyAlignment="1">
      <alignment horizontal="center" vertical="center" wrapText="1"/>
    </xf>
    <xf numFmtId="0" fontId="51" fillId="2" borderId="55" xfId="0" applyFont="1" applyFill="1" applyBorder="1" applyAlignment="1">
      <alignment horizontal="center" vertical="center" wrapText="1"/>
    </xf>
    <xf numFmtId="0" fontId="52" fillId="0" borderId="48" xfId="0" applyFont="1" applyBorder="1"/>
    <xf numFmtId="174" fontId="2" fillId="0" borderId="49" xfId="0" applyNumberFormat="1" applyFont="1" applyBorder="1"/>
    <xf numFmtId="0" fontId="2" fillId="0" borderId="93" xfId="0" applyFont="1" applyBorder="1"/>
    <xf numFmtId="174" fontId="2" fillId="0" borderId="0" xfId="0" applyNumberFormat="1" applyFont="1"/>
    <xf numFmtId="174" fontId="2" fillId="0" borderId="44" xfId="0" applyNumberFormat="1" applyFont="1" applyBorder="1"/>
    <xf numFmtId="174" fontId="2" fillId="0" borderId="44" xfId="0" applyNumberFormat="1" applyFont="1" applyBorder="1" applyAlignment="1">
      <alignment vertical="center"/>
    </xf>
    <xf numFmtId="0" fontId="52" fillId="0" borderId="50" xfId="0" applyFont="1" applyBorder="1" applyAlignment="1">
      <alignment horizontal="left" vertical="center"/>
    </xf>
    <xf numFmtId="174" fontId="2" fillId="7" borderId="46" xfId="0" applyNumberFormat="1" applyFont="1" applyFill="1" applyBorder="1"/>
    <xf numFmtId="0" fontId="52" fillId="7" borderId="55" xfId="0" applyFont="1" applyFill="1" applyBorder="1"/>
    <xf numFmtId="0" fontId="2" fillId="7" borderId="44" xfId="0" applyFont="1" applyFill="1" applyBorder="1" applyAlignment="1">
      <alignment vertical="center"/>
    </xf>
    <xf numFmtId="174" fontId="2" fillId="7" borderId="44" xfId="0" applyNumberFormat="1" applyFont="1" applyFill="1" applyBorder="1"/>
    <xf numFmtId="0" fontId="52" fillId="0" borderId="0" xfId="0" applyFont="1" applyAlignment="1">
      <alignment horizontal="center" vertical="top" wrapText="1"/>
    </xf>
    <xf numFmtId="173" fontId="2" fillId="0" borderId="49" xfId="0" applyNumberFormat="1" applyFont="1" applyBorder="1" applyAlignment="1">
      <alignment horizontal="right"/>
    </xf>
    <xf numFmtId="173" fontId="54" fillId="0" borderId="44" xfId="0" applyNumberFormat="1" applyFont="1" applyBorder="1" applyAlignment="1">
      <alignment horizontal="right" vertical="center"/>
    </xf>
    <xf numFmtId="173" fontId="2" fillId="0" borderId="49" xfId="0" applyNumberFormat="1" applyFont="1" applyBorder="1"/>
    <xf numFmtId="173" fontId="2" fillId="0" borderId="44" xfId="0" applyNumberFormat="1" applyFont="1" applyBorder="1" applyAlignment="1">
      <alignment vertical="center"/>
    </xf>
    <xf numFmtId="173" fontId="2" fillId="7" borderId="46" xfId="0" applyNumberFormat="1" applyFont="1" applyFill="1" applyBorder="1"/>
    <xf numFmtId="0" fontId="51" fillId="2" borderId="39" xfId="0" applyFont="1" applyFill="1" applyBorder="1" applyAlignment="1">
      <alignment horizontal="center" vertical="center" wrapText="1"/>
    </xf>
    <xf numFmtId="173" fontId="2" fillId="0" borderId="44" xfId="0" applyNumberFormat="1" applyFont="1" applyBorder="1" applyAlignment="1">
      <alignment horizontal="right"/>
    </xf>
    <xf numFmtId="173" fontId="2" fillId="0" borderId="44" xfId="0" applyNumberFormat="1" applyFont="1" applyBorder="1" applyAlignment="1">
      <alignment horizontal="right" vertical="center" wrapText="1"/>
    </xf>
    <xf numFmtId="0" fontId="2" fillId="7" borderId="101" xfId="0" applyFont="1" applyFill="1" applyBorder="1"/>
    <xf numFmtId="173" fontId="2" fillId="7" borderId="82" xfId="0" applyNumberFormat="1" applyFont="1" applyFill="1" applyBorder="1"/>
    <xf numFmtId="173" fontId="2" fillId="0" borderId="93" xfId="0" applyNumberFormat="1" applyFont="1" applyBorder="1"/>
    <xf numFmtId="173" fontId="2" fillId="7" borderId="101" xfId="0" applyNumberFormat="1" applyFont="1" applyFill="1" applyBorder="1"/>
    <xf numFmtId="0" fontId="2" fillId="0" borderId="60" xfId="0" applyFont="1" applyBorder="1"/>
    <xf numFmtId="0" fontId="51" fillId="0" borderId="0" xfId="0" applyFont="1" applyAlignment="1">
      <alignment horizontal="center" vertical="center" wrapText="1"/>
    </xf>
    <xf numFmtId="0" fontId="2" fillId="0" borderId="76" xfId="0" applyFont="1" applyBorder="1"/>
    <xf numFmtId="0" fontId="51" fillId="2" borderId="123" xfId="0" applyFont="1" applyFill="1" applyBorder="1" applyAlignment="1">
      <alignment horizontal="center" vertical="center" wrapText="1"/>
    </xf>
    <xf numFmtId="171" fontId="54" fillId="0" borderId="44" xfId="0" applyNumberFormat="1" applyFont="1" applyBorder="1" applyAlignment="1">
      <alignment horizontal="right" vertical="center"/>
    </xf>
    <xf numFmtId="171" fontId="45" fillId="0" borderId="44" xfId="0" applyNumberFormat="1" applyFont="1" applyBorder="1" applyAlignment="1">
      <alignment horizontal="right" vertical="center"/>
    </xf>
    <xf numFmtId="8" fontId="55" fillId="0" borderId="0" xfId="0" applyNumberFormat="1" applyFont="1"/>
    <xf numFmtId="178" fontId="2" fillId="0" borderId="44" xfId="0" applyNumberFormat="1" applyFont="1" applyBorder="1"/>
    <xf numFmtId="8" fontId="2" fillId="0" borderId="0" xfId="0" applyNumberFormat="1" applyFont="1"/>
    <xf numFmtId="0" fontId="49" fillId="2" borderId="37" xfId="0" applyFont="1" applyFill="1" applyBorder="1" applyAlignment="1">
      <alignment horizontal="center" vertical="center" wrapText="1"/>
    </xf>
    <xf numFmtId="0" fontId="52" fillId="0" borderId="44" xfId="0" applyFont="1" applyBorder="1" applyAlignment="1">
      <alignment horizontal="center" wrapText="1"/>
    </xf>
    <xf numFmtId="0" fontId="52" fillId="0" borderId="44" xfId="0" applyFont="1" applyBorder="1"/>
    <xf numFmtId="9" fontId="52" fillId="0" borderId="44" xfId="0" applyNumberFormat="1" applyFont="1" applyBorder="1"/>
    <xf numFmtId="0" fontId="52" fillId="7" borderId="46" xfId="0" applyFont="1" applyFill="1" applyBorder="1" applyAlignment="1">
      <alignment horizontal="center" wrapText="1"/>
    </xf>
    <xf numFmtId="0" fontId="52" fillId="7" borderId="46" xfId="0" applyFont="1" applyFill="1" applyBorder="1"/>
    <xf numFmtId="9" fontId="52" fillId="7" borderId="46" xfId="0" applyNumberFormat="1" applyFont="1" applyFill="1" applyBorder="1"/>
    <xf numFmtId="0" fontId="52" fillId="0" borderId="0" xfId="0" applyFont="1" applyAlignment="1">
      <alignment horizontal="center"/>
    </xf>
    <xf numFmtId="0" fontId="49" fillId="2" borderId="77" xfId="0" applyFont="1" applyFill="1" applyBorder="1" applyAlignment="1">
      <alignment horizontal="center" vertical="center" wrapText="1"/>
    </xf>
    <xf numFmtId="0" fontId="52" fillId="0" borderId="36" xfId="0" applyFont="1" applyBorder="1"/>
    <xf numFmtId="0" fontId="52" fillId="0" borderId="37" xfId="0" applyFont="1" applyBorder="1" applyAlignment="1">
      <alignment horizontal="center"/>
    </xf>
    <xf numFmtId="0" fontId="52" fillId="0" borderId="37" xfId="0" applyFont="1" applyBorder="1"/>
    <xf numFmtId="0" fontId="52" fillId="0" borderId="40" xfId="0" applyFont="1" applyBorder="1"/>
    <xf numFmtId="0" fontId="52" fillId="0" borderId="44" xfId="0" applyFont="1" applyBorder="1" applyAlignment="1">
      <alignment horizontal="center"/>
    </xf>
    <xf numFmtId="2" fontId="52" fillId="0" borderId="44" xfId="0" applyNumberFormat="1" applyFont="1" applyBorder="1"/>
    <xf numFmtId="0" fontId="52" fillId="7" borderId="46" xfId="0" applyFont="1" applyFill="1" applyBorder="1" applyAlignment="1">
      <alignment horizontal="center"/>
    </xf>
    <xf numFmtId="0" fontId="52" fillId="0" borderId="46" xfId="0" applyFont="1" applyBorder="1" applyAlignment="1">
      <alignment horizontal="center"/>
    </xf>
    <xf numFmtId="0" fontId="52" fillId="0" borderId="46" xfId="0" applyFont="1" applyBorder="1"/>
    <xf numFmtId="9" fontId="52" fillId="0" borderId="46" xfId="0" applyNumberFormat="1" applyFont="1" applyBorder="1"/>
    <xf numFmtId="0" fontId="52" fillId="0" borderId="0" xfId="0" applyFont="1" applyAlignment="1">
      <alignment horizontal="center" vertical="center"/>
    </xf>
    <xf numFmtId="9" fontId="52" fillId="0" borderId="0" xfId="0" applyNumberFormat="1" applyFont="1"/>
    <xf numFmtId="10" fontId="52" fillId="0" borderId="44" xfId="0" applyNumberFormat="1" applyFont="1" applyBorder="1"/>
    <xf numFmtId="10" fontId="52" fillId="7" borderId="46" xfId="0" applyNumberFormat="1" applyFont="1" applyFill="1" applyBorder="1"/>
    <xf numFmtId="0" fontId="56" fillId="0" borderId="44" xfId="0" applyFont="1" applyBorder="1"/>
    <xf numFmtId="0" fontId="56" fillId="7" borderId="44" xfId="0" applyFont="1" applyFill="1" applyBorder="1"/>
    <xf numFmtId="0" fontId="52" fillId="0" borderId="43" xfId="0" applyFont="1" applyBorder="1" applyAlignment="1">
      <alignment horizontal="center" wrapText="1"/>
    </xf>
    <xf numFmtId="10" fontId="2" fillId="0" borderId="43" xfId="0" applyNumberFormat="1" applyFont="1" applyBorder="1" applyAlignment="1">
      <alignment horizontal="center"/>
    </xf>
    <xf numFmtId="10" fontId="52" fillId="0" borderId="43" xfId="0" applyNumberFormat="1" applyFont="1" applyBorder="1" applyAlignment="1">
      <alignment horizontal="center"/>
    </xf>
    <xf numFmtId="10" fontId="52" fillId="0" borderId="44" xfId="0" applyNumberFormat="1" applyFont="1" applyBorder="1" applyAlignment="1">
      <alignment horizontal="center"/>
    </xf>
    <xf numFmtId="0" fontId="52" fillId="0" borderId="49" xfId="0" applyFont="1" applyBorder="1" applyAlignment="1">
      <alignment horizontal="center" wrapText="1"/>
    </xf>
    <xf numFmtId="0" fontId="52" fillId="0" borderId="46" xfId="0" applyFont="1" applyBorder="1" applyAlignment="1">
      <alignment horizontal="center" wrapText="1"/>
    </xf>
    <xf numFmtId="10" fontId="2" fillId="0" borderId="44" xfId="0" applyNumberFormat="1" applyFont="1" applyBorder="1" applyAlignment="1">
      <alignment horizontal="right"/>
    </xf>
    <xf numFmtId="10" fontId="2" fillId="0" borderId="46" xfId="0" applyNumberFormat="1" applyFont="1" applyBorder="1" applyAlignment="1">
      <alignment horizontal="right"/>
    </xf>
    <xf numFmtId="0" fontId="49" fillId="2" borderId="44" xfId="0" applyFont="1" applyFill="1" applyBorder="1" applyAlignment="1">
      <alignment horizontal="center" vertical="center" wrapText="1"/>
    </xf>
    <xf numFmtId="0" fontId="21" fillId="9" borderId="1" xfId="0" applyFont="1" applyFill="1" applyBorder="1" applyAlignment="1">
      <alignment vertical="top"/>
    </xf>
    <xf numFmtId="176" fontId="31" fillId="0" borderId="0" xfId="0" applyNumberFormat="1" applyFont="1" applyAlignment="1">
      <alignment horizontal="center"/>
    </xf>
    <xf numFmtId="164" fontId="32" fillId="0" borderId="0" xfId="0" applyNumberFormat="1" applyFont="1"/>
    <xf numFmtId="171" fontId="24" fillId="14" borderId="44" xfId="0" applyNumberFormat="1" applyFont="1" applyFill="1" applyBorder="1" applyAlignment="1">
      <alignment horizontal="center" vertical="center"/>
    </xf>
    <xf numFmtId="185" fontId="0" fillId="0" borderId="0" xfId="1" applyNumberFormat="1" applyFont="1"/>
    <xf numFmtId="43" fontId="10" fillId="0" borderId="0" xfId="0" applyNumberFormat="1" applyFont="1" applyAlignment="1">
      <alignment horizontal="center"/>
    </xf>
    <xf numFmtId="43" fontId="10" fillId="0" borderId="0" xfId="1" applyFont="1" applyAlignment="1">
      <alignment horizontal="center"/>
    </xf>
    <xf numFmtId="186" fontId="10" fillId="0" borderId="0" xfId="1" applyNumberFormat="1" applyFont="1" applyAlignment="1">
      <alignment horizontal="center"/>
    </xf>
    <xf numFmtId="0" fontId="51" fillId="3" borderId="129" xfId="0" applyFont="1" applyFill="1" applyBorder="1" applyAlignment="1">
      <alignment horizontal="center" vertical="center"/>
    </xf>
    <xf numFmtId="0" fontId="51" fillId="2" borderId="130" xfId="0" applyFont="1" applyFill="1" applyBorder="1" applyAlignment="1">
      <alignment horizontal="center" vertical="center" wrapText="1"/>
    </xf>
    <xf numFmtId="0" fontId="2" fillId="0" borderId="129" xfId="0" applyFont="1" applyBorder="1"/>
    <xf numFmtId="9" fontId="2" fillId="0" borderId="130" xfId="2" applyFont="1" applyBorder="1" applyAlignment="1">
      <alignment horizontal="center"/>
    </xf>
    <xf numFmtId="9" fontId="2" fillId="0" borderId="130" xfId="2" applyFont="1" applyFill="1" applyBorder="1" applyAlignment="1">
      <alignment horizontal="center"/>
    </xf>
    <xf numFmtId="0" fontId="2" fillId="0" borderId="131" xfId="0" applyFont="1" applyBorder="1"/>
    <xf numFmtId="0" fontId="2" fillId="0" borderId="132" xfId="0" applyFont="1" applyBorder="1"/>
    <xf numFmtId="171" fontId="2" fillId="0" borderId="132" xfId="0" applyNumberFormat="1" applyFont="1" applyBorder="1"/>
    <xf numFmtId="9" fontId="2" fillId="0" borderId="133" xfId="2" applyFont="1" applyBorder="1" applyAlignment="1">
      <alignment horizontal="center"/>
    </xf>
    <xf numFmtId="0" fontId="0" fillId="0" borderId="0" xfId="0" applyAlignment="1">
      <alignment vertical="center"/>
    </xf>
    <xf numFmtId="0" fontId="68" fillId="0" borderId="134" xfId="0" applyFont="1" applyBorder="1" applyAlignment="1">
      <alignment vertical="center" wrapText="1"/>
    </xf>
    <xf numFmtId="0" fontId="69" fillId="0" borderId="134" xfId="0" applyFont="1" applyBorder="1" applyAlignment="1">
      <alignment vertical="center" wrapText="1"/>
    </xf>
    <xf numFmtId="0" fontId="70" fillId="0" borderId="134" xfId="0" applyFont="1" applyBorder="1" applyAlignment="1">
      <alignment vertical="center" wrapText="1"/>
    </xf>
    <xf numFmtId="0" fontId="70" fillId="0" borderId="138" xfId="0" applyFont="1" applyBorder="1" applyAlignment="1">
      <alignment vertical="center"/>
    </xf>
    <xf numFmtId="0" fontId="70" fillId="0" borderId="140" xfId="0" applyFont="1" applyBorder="1" applyAlignment="1">
      <alignment vertical="center"/>
    </xf>
    <xf numFmtId="0" fontId="70" fillId="0" borderId="141" xfId="0" applyFont="1" applyBorder="1" applyAlignment="1">
      <alignment vertical="center" wrapText="1"/>
    </xf>
    <xf numFmtId="0" fontId="70" fillId="0" borderId="137" xfId="0" applyFont="1" applyBorder="1" applyAlignment="1">
      <alignment horizontal="center" vertical="center"/>
    </xf>
    <xf numFmtId="0" fontId="70" fillId="0" borderId="139" xfId="0" applyFont="1" applyBorder="1" applyAlignment="1">
      <alignment horizontal="center" vertical="center"/>
    </xf>
    <xf numFmtId="0" fontId="70" fillId="0" borderId="142" xfId="0" applyFont="1" applyBorder="1" applyAlignment="1">
      <alignment horizontal="center" vertical="center"/>
    </xf>
    <xf numFmtId="0" fontId="0" fillId="0" borderId="0" xfId="0" applyAlignment="1">
      <alignment horizontal="center" vertical="center"/>
    </xf>
    <xf numFmtId="0" fontId="0" fillId="0" borderId="0" xfId="0"/>
    <xf numFmtId="0" fontId="0" fillId="0" borderId="0" xfId="0"/>
    <xf numFmtId="0" fontId="2" fillId="0" borderId="129" xfId="0" applyFont="1" applyFill="1" applyBorder="1"/>
    <xf numFmtId="0" fontId="2" fillId="0" borderId="44" xfId="0" applyFont="1" applyFill="1" applyBorder="1"/>
    <xf numFmtId="171" fontId="2" fillId="0" borderId="44" xfId="0" applyNumberFormat="1" applyFont="1" applyFill="1" applyBorder="1"/>
    <xf numFmtId="10" fontId="2" fillId="0" borderId="130" xfId="2" applyNumberFormat="1" applyFont="1" applyFill="1" applyBorder="1" applyAlignment="1">
      <alignment horizontal="center"/>
    </xf>
    <xf numFmtId="0" fontId="2" fillId="0" borderId="50" xfId="0" applyFont="1" applyFill="1" applyBorder="1"/>
    <xf numFmtId="0" fontId="2" fillId="0" borderId="44" xfId="0" applyFont="1" applyFill="1" applyBorder="1" applyAlignment="1">
      <alignment horizontal="center" vertical="center"/>
    </xf>
    <xf numFmtId="0" fontId="2" fillId="0" borderId="44" xfId="0" applyFont="1" applyFill="1" applyBorder="1" applyAlignment="1">
      <alignment horizontal="center"/>
    </xf>
    <xf numFmtId="10" fontId="2" fillId="0" borderId="44" xfId="0" applyNumberFormat="1" applyFont="1" applyFill="1" applyBorder="1" applyAlignment="1">
      <alignment horizontal="center"/>
    </xf>
    <xf numFmtId="9" fontId="2" fillId="0" borderId="44" xfId="0" applyNumberFormat="1" applyFont="1" applyFill="1" applyBorder="1" applyAlignment="1">
      <alignment horizontal="center"/>
    </xf>
    <xf numFmtId="0" fontId="2" fillId="0" borderId="60" xfId="0" applyFont="1" applyFill="1" applyBorder="1" applyAlignment="1">
      <alignment vertical="center"/>
    </xf>
    <xf numFmtId="0" fontId="2" fillId="0" borderId="47" xfId="0" applyFont="1" applyFill="1" applyBorder="1"/>
    <xf numFmtId="0" fontId="62" fillId="0" borderId="47" xfId="0" applyFont="1" applyFill="1" applyBorder="1"/>
    <xf numFmtId="2" fontId="2" fillId="0" borderId="44" xfId="0" applyNumberFormat="1" applyFont="1" applyFill="1" applyBorder="1" applyAlignment="1">
      <alignment horizontal="center"/>
    </xf>
    <xf numFmtId="0" fontId="2" fillId="0" borderId="53" xfId="0" applyFont="1" applyFill="1" applyBorder="1"/>
    <xf numFmtId="0" fontId="2" fillId="0" borderId="46" xfId="0" applyFont="1" applyFill="1" applyBorder="1" applyAlignment="1">
      <alignment horizontal="center" vertical="center"/>
    </xf>
    <xf numFmtId="2" fontId="2" fillId="0" borderId="46" xfId="0" applyNumberFormat="1" applyFont="1" applyFill="1" applyBorder="1" applyAlignment="1">
      <alignment horizontal="center"/>
    </xf>
    <xf numFmtId="10" fontId="2" fillId="0" borderId="46" xfId="0" applyNumberFormat="1" applyFont="1" applyFill="1" applyBorder="1" applyAlignment="1">
      <alignment horizontal="center"/>
    </xf>
    <xf numFmtId="0" fontId="2" fillId="0" borderId="46" xfId="0" applyFont="1" applyFill="1" applyBorder="1" applyAlignment="1">
      <alignment horizontal="center"/>
    </xf>
    <xf numFmtId="9" fontId="2" fillId="0" borderId="46" xfId="0" applyNumberFormat="1" applyFont="1" applyFill="1" applyBorder="1" applyAlignment="1">
      <alignment horizontal="center"/>
    </xf>
    <xf numFmtId="0" fontId="2" fillId="0" borderId="55" xfId="0" applyFont="1" applyFill="1" applyBorder="1"/>
    <xf numFmtId="0" fontId="76" fillId="0" borderId="0" xfId="0" applyFont="1" applyAlignment="1">
      <alignment horizontal="center" vertical="center"/>
    </xf>
    <xf numFmtId="0" fontId="76" fillId="0" borderId="7" xfId="0" applyFont="1" applyBorder="1" applyAlignment="1">
      <alignment horizontal="center" vertical="center" wrapText="1"/>
    </xf>
    <xf numFmtId="0" fontId="76" fillId="0" borderId="0" xfId="0" applyFont="1" applyAlignment="1">
      <alignment horizontal="center" vertical="center" wrapText="1"/>
    </xf>
    <xf numFmtId="0" fontId="2" fillId="0" borderId="43" xfId="0" applyFont="1" applyFill="1" applyBorder="1" applyAlignment="1">
      <alignment horizontal="center" vertical="center"/>
    </xf>
    <xf numFmtId="0" fontId="2" fillId="0" borderId="77" xfId="0" applyFont="1" applyFill="1" applyBorder="1" applyAlignment="1">
      <alignment horizontal="center" vertical="center"/>
    </xf>
    <xf numFmtId="0" fontId="52" fillId="0" borderId="47" xfId="0" applyFont="1" applyFill="1" applyBorder="1"/>
    <xf numFmtId="0" fontId="66" fillId="0" borderId="47" xfId="0" applyFont="1" applyFill="1" applyBorder="1"/>
    <xf numFmtId="0" fontId="52" fillId="0" borderId="55" xfId="0" applyFont="1" applyFill="1" applyBorder="1"/>
    <xf numFmtId="0" fontId="2" fillId="0" borderId="93" xfId="0" applyFont="1" applyFill="1" applyBorder="1"/>
    <xf numFmtId="0" fontId="2" fillId="0" borderId="125" xfId="0" applyFont="1" applyFill="1" applyBorder="1"/>
    <xf numFmtId="0" fontId="62" fillId="0" borderId="125" xfId="0" applyFont="1" applyFill="1" applyBorder="1"/>
    <xf numFmtId="0" fontId="2" fillId="0" borderId="48" xfId="0" applyFont="1" applyFill="1" applyBorder="1"/>
    <xf numFmtId="171" fontId="2" fillId="0" borderId="46" xfId="0" applyNumberFormat="1" applyFont="1" applyFill="1" applyBorder="1"/>
    <xf numFmtId="0" fontId="2" fillId="0" borderId="76" xfId="0" applyFont="1" applyFill="1" applyBorder="1"/>
    <xf numFmtId="171" fontId="54" fillId="0" borderId="44" xfId="0" applyNumberFormat="1" applyFont="1" applyFill="1" applyBorder="1" applyAlignment="1">
      <alignment horizontal="right" vertical="center"/>
    </xf>
    <xf numFmtId="171" fontId="45" fillId="0" borderId="44" xfId="0" applyNumberFormat="1" applyFont="1" applyFill="1" applyBorder="1" applyAlignment="1">
      <alignment horizontal="right" vertical="center"/>
    </xf>
    <xf numFmtId="0" fontId="75" fillId="0" borderId="0" xfId="0" applyFont="1"/>
    <xf numFmtId="178" fontId="2" fillId="0" borderId="44" xfId="0" applyNumberFormat="1" applyFont="1" applyFill="1" applyBorder="1"/>
    <xf numFmtId="9" fontId="52" fillId="0" borderId="43" xfId="0" applyNumberFormat="1" applyFont="1" applyFill="1" applyBorder="1" applyAlignment="1">
      <alignment horizontal="center" wrapText="1"/>
    </xf>
    <xf numFmtId="10" fontId="2" fillId="0" borderId="43" xfId="0" applyNumberFormat="1" applyFont="1" applyFill="1" applyBorder="1" applyAlignment="1">
      <alignment horizontal="center"/>
    </xf>
    <xf numFmtId="10" fontId="52" fillId="0" borderId="43" xfId="0" applyNumberFormat="1" applyFont="1" applyFill="1" applyBorder="1" applyAlignment="1">
      <alignment horizontal="center"/>
    </xf>
    <xf numFmtId="10" fontId="52" fillId="0" borderId="44" xfId="0" applyNumberFormat="1" applyFont="1" applyFill="1" applyBorder="1" applyAlignment="1">
      <alignment horizontal="center"/>
    </xf>
    <xf numFmtId="9" fontId="52" fillId="0" borderId="46" xfId="0" applyNumberFormat="1" applyFont="1" applyFill="1" applyBorder="1" applyAlignment="1">
      <alignment horizontal="center" wrapText="1"/>
    </xf>
    <xf numFmtId="0" fontId="52" fillId="0" borderId="44" xfId="0" applyFont="1" applyFill="1" applyBorder="1" applyAlignment="1">
      <alignment horizontal="center"/>
    </xf>
    <xf numFmtId="0" fontId="52" fillId="0" borderId="46" xfId="0" applyFont="1" applyFill="1" applyBorder="1" applyAlignment="1">
      <alignment horizontal="center"/>
    </xf>
    <xf numFmtId="10" fontId="52" fillId="0" borderId="44" xfId="0" applyNumberFormat="1" applyFont="1" applyFill="1" applyBorder="1"/>
    <xf numFmtId="10" fontId="2" fillId="0" borderId="44" xfId="0" applyNumberFormat="1" applyFont="1" applyFill="1" applyBorder="1" applyAlignment="1">
      <alignment horizontal="right"/>
    </xf>
    <xf numFmtId="10" fontId="2" fillId="0" borderId="46" xfId="0" applyNumberFormat="1" applyFont="1" applyFill="1" applyBorder="1" applyAlignment="1">
      <alignment horizontal="right"/>
    </xf>
    <xf numFmtId="0" fontId="7" fillId="0" borderId="55" xfId="0" applyFont="1" applyBorder="1" applyAlignment="1">
      <alignment horizontal="center" vertical="top" wrapText="1"/>
    </xf>
    <xf numFmtId="171" fontId="26" fillId="0" borderId="146" xfId="0" applyNumberFormat="1" applyFont="1" applyFill="1" applyBorder="1" applyAlignment="1">
      <alignment horizontal="center" vertical="center" wrapText="1"/>
    </xf>
    <xf numFmtId="171" fontId="27" fillId="0" borderId="146" xfId="0" applyNumberFormat="1" applyFont="1" applyFill="1" applyBorder="1" applyAlignment="1">
      <alignment horizontal="center" vertical="center"/>
    </xf>
    <xf numFmtId="37" fontId="27" fillId="0" borderId="145" xfId="0" applyNumberFormat="1" applyFont="1" applyFill="1" applyBorder="1" applyAlignment="1">
      <alignment horizontal="center" vertical="center"/>
    </xf>
    <xf numFmtId="2" fontId="23" fillId="0" borderId="134" xfId="5" applyNumberFormat="1" applyFont="1" applyFill="1" applyBorder="1" applyAlignment="1">
      <alignment horizontal="center" vertical="center" wrapText="1"/>
    </xf>
    <xf numFmtId="2" fontId="87" fillId="0" borderId="134" xfId="5" applyNumberFormat="1" applyFont="1" applyFill="1" applyBorder="1" applyAlignment="1">
      <alignment horizontal="center" vertical="center"/>
    </xf>
    <xf numFmtId="2" fontId="10" fillId="0" borderId="134" xfId="0" applyNumberFormat="1" applyFont="1" applyFill="1" applyBorder="1" applyAlignment="1">
      <alignment horizontal="center" vertical="center" wrapText="1"/>
    </xf>
    <xf numFmtId="10" fontId="11" fillId="0" borderId="134" xfId="0" applyNumberFormat="1" applyFont="1" applyFill="1" applyBorder="1" applyAlignment="1">
      <alignment horizontal="center" vertical="center"/>
    </xf>
    <xf numFmtId="171" fontId="23" fillId="3" borderId="79" xfId="0" applyNumberFormat="1" applyFont="1" applyFill="1" applyBorder="1" applyAlignment="1">
      <alignment horizontal="center" vertical="center" wrapText="1"/>
    </xf>
    <xf numFmtId="171" fontId="23" fillId="4" borderId="79" xfId="0" applyNumberFormat="1" applyFont="1" applyFill="1" applyBorder="1" applyAlignment="1">
      <alignment horizontal="center" vertical="center" wrapText="1"/>
    </xf>
    <xf numFmtId="171" fontId="23" fillId="3" borderId="86" xfId="0" applyNumberFormat="1" applyFont="1" applyFill="1" applyBorder="1" applyAlignment="1">
      <alignment horizontal="center" vertical="center" wrapText="1"/>
    </xf>
    <xf numFmtId="171" fontId="23" fillId="2" borderId="86" xfId="0" applyNumberFormat="1" applyFont="1" applyFill="1" applyBorder="1" applyAlignment="1">
      <alignment horizontal="center" vertical="top" wrapText="1"/>
    </xf>
    <xf numFmtId="2" fontId="24" fillId="0" borderId="134" xfId="0" applyNumberFormat="1" applyFont="1" applyFill="1" applyBorder="1" applyAlignment="1">
      <alignment horizontal="center" vertical="center"/>
    </xf>
    <xf numFmtId="2" fontId="23" fillId="0" borderId="134" xfId="0" applyNumberFormat="1" applyFont="1" applyFill="1" applyBorder="1" applyAlignment="1">
      <alignment horizontal="center" vertical="center" wrapText="1"/>
    </xf>
    <xf numFmtId="2" fontId="11" fillId="0" borderId="134" xfId="0" applyNumberFormat="1" applyFont="1" applyFill="1" applyBorder="1" applyAlignment="1">
      <alignment horizontal="center" vertical="center"/>
    </xf>
    <xf numFmtId="3" fontId="23" fillId="0" borderId="134" xfId="0" applyNumberFormat="1" applyFont="1" applyFill="1" applyBorder="1" applyAlignment="1">
      <alignment horizontal="center" vertical="center" wrapText="1"/>
    </xf>
    <xf numFmtId="10" fontId="24" fillId="0" borderId="134" xfId="0" applyNumberFormat="1" applyFont="1" applyFill="1" applyBorder="1" applyAlignment="1">
      <alignment horizontal="center" vertical="center"/>
    </xf>
    <xf numFmtId="10" fontId="25" fillId="0" borderId="134" xfId="0" applyNumberFormat="1" applyFont="1" applyFill="1" applyBorder="1" applyAlignment="1">
      <alignment horizontal="center" vertical="center"/>
    </xf>
    <xf numFmtId="171" fontId="24" fillId="0" borderId="134" xfId="0" applyNumberFormat="1" applyFont="1" applyFill="1" applyBorder="1" applyAlignment="1">
      <alignment horizontal="center" vertical="center"/>
    </xf>
    <xf numFmtId="171" fontId="23" fillId="0" borderId="134" xfId="0" applyNumberFormat="1" applyFont="1" applyFill="1" applyBorder="1" applyAlignment="1">
      <alignment horizontal="center" vertical="center" wrapText="1"/>
    </xf>
    <xf numFmtId="171" fontId="25" fillId="0" borderId="134" xfId="0" applyNumberFormat="1" applyFont="1" applyFill="1" applyBorder="1" applyAlignment="1">
      <alignment horizontal="center" vertical="center"/>
    </xf>
    <xf numFmtId="0" fontId="24" fillId="0" borderId="134" xfId="0" applyFont="1" applyFill="1" applyBorder="1" applyAlignment="1">
      <alignment horizontal="center" vertical="center"/>
    </xf>
    <xf numFmtId="1" fontId="24" fillId="0" borderId="134" xfId="0" applyNumberFormat="1" applyFont="1" applyFill="1" applyBorder="1" applyAlignment="1">
      <alignment horizontal="center" vertical="center"/>
    </xf>
    <xf numFmtId="4" fontId="23" fillId="0" borderId="134" xfId="0" applyNumberFormat="1" applyFont="1" applyFill="1" applyBorder="1" applyAlignment="1">
      <alignment horizontal="center" vertical="center" wrapText="1"/>
    </xf>
    <xf numFmtId="2" fontId="25" fillId="0" borderId="134" xfId="0" applyNumberFormat="1" applyFont="1" applyFill="1" applyBorder="1" applyAlignment="1">
      <alignment horizontal="center" vertical="center"/>
    </xf>
    <xf numFmtId="171" fontId="25" fillId="0" borderId="134" xfId="0" applyNumberFormat="1" applyFont="1" applyFill="1" applyBorder="1" applyAlignment="1">
      <alignment vertical="center"/>
    </xf>
    <xf numFmtId="171" fontId="26" fillId="0" borderId="134" xfId="0" applyNumberFormat="1" applyFont="1" applyFill="1" applyBorder="1" applyAlignment="1">
      <alignment horizontal="center" vertical="center" wrapText="1"/>
    </xf>
    <xf numFmtId="171" fontId="27" fillId="0" borderId="134" xfId="0" applyNumberFormat="1" applyFont="1" applyFill="1" applyBorder="1" applyAlignment="1">
      <alignment horizontal="center" vertical="center"/>
    </xf>
    <xf numFmtId="171" fontId="25" fillId="0" borderId="134" xfId="0" applyNumberFormat="1" applyFont="1" applyFill="1" applyBorder="1" applyAlignment="1">
      <alignment horizontal="center" vertical="center" wrapText="1"/>
    </xf>
    <xf numFmtId="173" fontId="24" fillId="0" borderId="134" xfId="0" applyNumberFormat="1" applyFont="1" applyFill="1" applyBorder="1" applyAlignment="1">
      <alignment horizontal="center" vertical="center"/>
    </xf>
    <xf numFmtId="173" fontId="25" fillId="0" borderId="134" xfId="0" applyNumberFormat="1" applyFont="1" applyFill="1" applyBorder="1" applyAlignment="1">
      <alignment horizontal="center" vertical="center" wrapText="1"/>
    </xf>
    <xf numFmtId="37" fontId="24" fillId="0" borderId="134" xfId="0" applyNumberFormat="1" applyFont="1" applyFill="1" applyBorder="1" applyAlignment="1">
      <alignment horizontal="center" vertical="center"/>
    </xf>
    <xf numFmtId="4" fontId="25" fillId="0" borderId="134" xfId="0" applyNumberFormat="1" applyFont="1" applyFill="1" applyBorder="1" applyAlignment="1">
      <alignment horizontal="center" vertical="center" wrapText="1"/>
    </xf>
    <xf numFmtId="44" fontId="24" fillId="0" borderId="134" xfId="4" applyFont="1" applyFill="1" applyBorder="1" applyAlignment="1">
      <alignment horizontal="center" vertical="center"/>
    </xf>
    <xf numFmtId="171" fontId="25" fillId="0" borderId="134" xfId="0" applyNumberFormat="1" applyFont="1" applyFill="1" applyBorder="1" applyAlignment="1">
      <alignment vertical="center" wrapText="1"/>
    </xf>
    <xf numFmtId="3" fontId="26" fillId="0" borderId="143" xfId="0" applyNumberFormat="1" applyFont="1" applyFill="1" applyBorder="1" applyAlignment="1">
      <alignment horizontal="center" vertical="center" wrapText="1"/>
    </xf>
    <xf numFmtId="4" fontId="26" fillId="0" borderId="143" xfId="0" applyNumberFormat="1" applyFont="1" applyFill="1" applyBorder="1" applyAlignment="1">
      <alignment horizontal="center" vertical="center" wrapText="1"/>
    </xf>
    <xf numFmtId="2" fontId="26" fillId="0" borderId="143" xfId="0" applyNumberFormat="1" applyFont="1" applyFill="1" applyBorder="1" applyAlignment="1">
      <alignment horizontal="center" vertical="center" wrapText="1"/>
    </xf>
    <xf numFmtId="2" fontId="27" fillId="0" borderId="143" xfId="0" applyNumberFormat="1" applyFont="1" applyFill="1" applyBorder="1" applyAlignment="1">
      <alignment horizontal="center" vertical="center"/>
    </xf>
    <xf numFmtId="2" fontId="28" fillId="0" borderId="143" xfId="0" applyNumberFormat="1" applyFont="1" applyFill="1" applyBorder="1" applyAlignment="1">
      <alignment horizontal="center" vertical="center"/>
    </xf>
    <xf numFmtId="2" fontId="25" fillId="0" borderId="143" xfId="0" applyNumberFormat="1" applyFont="1" applyFill="1" applyBorder="1" applyAlignment="1">
      <alignment horizontal="center" vertical="center"/>
    </xf>
    <xf numFmtId="2" fontId="23" fillId="0" borderId="143" xfId="0" applyNumberFormat="1" applyFont="1" applyFill="1" applyBorder="1" applyAlignment="1">
      <alignment horizontal="center" vertical="center" wrapText="1"/>
    </xf>
    <xf numFmtId="10" fontId="24" fillId="0" borderId="143" xfId="0" applyNumberFormat="1" applyFont="1" applyFill="1" applyBorder="1" applyAlignment="1">
      <alignment horizontal="center" vertical="center"/>
    </xf>
    <xf numFmtId="10" fontId="25" fillId="0" borderId="143" xfId="0" applyNumberFormat="1" applyFont="1" applyFill="1" applyBorder="1" applyAlignment="1">
      <alignment horizontal="center" vertical="center"/>
    </xf>
    <xf numFmtId="3" fontId="23" fillId="0" borderId="145" xfId="0" applyNumberFormat="1" applyFont="1" applyFill="1" applyBorder="1" applyAlignment="1">
      <alignment horizontal="center" vertical="center" wrapText="1"/>
    </xf>
    <xf numFmtId="4" fontId="23" fillId="0" borderId="145" xfId="0" applyNumberFormat="1" applyFont="1" applyFill="1" applyBorder="1" applyAlignment="1">
      <alignment horizontal="center" vertical="center" wrapText="1"/>
    </xf>
    <xf numFmtId="172" fontId="23" fillId="0" borderId="145" xfId="0" applyNumberFormat="1" applyFont="1" applyFill="1" applyBorder="1" applyAlignment="1">
      <alignment horizontal="center" vertical="center" wrapText="1"/>
    </xf>
    <xf numFmtId="2" fontId="23" fillId="0" borderId="145" xfId="0" applyNumberFormat="1" applyFont="1" applyFill="1" applyBorder="1" applyAlignment="1">
      <alignment horizontal="center" vertical="center" wrapText="1"/>
    </xf>
    <xf numFmtId="0" fontId="24" fillId="0" borderId="145" xfId="0" applyFont="1" applyFill="1" applyBorder="1" applyAlignment="1">
      <alignment horizontal="center" vertical="center"/>
    </xf>
    <xf numFmtId="2" fontId="24" fillId="0" borderId="145" xfId="0" applyNumberFormat="1" applyFont="1" applyFill="1" applyBorder="1" applyAlignment="1">
      <alignment horizontal="center" vertical="center"/>
    </xf>
    <xf numFmtId="2" fontId="25" fillId="0" borderId="145" xfId="0" applyNumberFormat="1" applyFont="1" applyFill="1" applyBorder="1" applyAlignment="1">
      <alignment horizontal="center" vertical="center"/>
    </xf>
    <xf numFmtId="10" fontId="24" fillId="0" borderId="145" xfId="0" applyNumberFormat="1" applyFont="1" applyFill="1" applyBorder="1" applyAlignment="1">
      <alignment horizontal="center" vertical="center"/>
    </xf>
    <xf numFmtId="10" fontId="25" fillId="0" borderId="145" xfId="0" applyNumberFormat="1" applyFont="1" applyFill="1" applyBorder="1" applyAlignment="1">
      <alignment horizontal="center" vertical="center"/>
    </xf>
    <xf numFmtId="171" fontId="26" fillId="20" borderId="167" xfId="0" applyNumberFormat="1" applyFont="1" applyFill="1" applyBorder="1" applyAlignment="1">
      <alignment horizontal="center" vertical="center" wrapText="1"/>
    </xf>
    <xf numFmtId="171" fontId="27" fillId="20" borderId="167" xfId="0" applyNumberFormat="1" applyFont="1" applyFill="1" applyBorder="1" applyAlignment="1">
      <alignment horizontal="center" vertical="center"/>
    </xf>
    <xf numFmtId="171" fontId="64" fillId="20" borderId="167" xfId="0" applyNumberFormat="1" applyFont="1" applyFill="1" applyBorder="1" applyAlignment="1">
      <alignment horizontal="center" vertical="center"/>
    </xf>
    <xf numFmtId="10" fontId="24" fillId="20" borderId="167" xfId="0" applyNumberFormat="1" applyFont="1" applyFill="1" applyBorder="1" applyAlignment="1">
      <alignment horizontal="center" vertical="center"/>
    </xf>
    <xf numFmtId="10" fontId="25" fillId="20" borderId="167" xfId="0" applyNumberFormat="1" applyFont="1" applyFill="1" applyBorder="1" applyAlignment="1">
      <alignment horizontal="center" vertical="center"/>
    </xf>
    <xf numFmtId="10" fontId="24" fillId="20" borderId="168" xfId="0" applyNumberFormat="1" applyFont="1" applyFill="1" applyBorder="1" applyAlignment="1">
      <alignment horizontal="center" vertical="center"/>
    </xf>
    <xf numFmtId="0" fontId="27" fillId="0" borderId="143" xfId="0" applyFont="1" applyFill="1" applyBorder="1" applyAlignment="1">
      <alignment horizontal="center" vertical="center"/>
    </xf>
    <xf numFmtId="4" fontId="27" fillId="0" borderId="143" xfId="0" applyNumberFormat="1" applyFont="1" applyFill="1" applyBorder="1" applyAlignment="1">
      <alignment horizontal="center" vertical="center"/>
    </xf>
    <xf numFmtId="172" fontId="27" fillId="0" borderId="143" xfId="0" applyNumberFormat="1" applyFont="1" applyFill="1" applyBorder="1" applyAlignment="1">
      <alignment horizontal="center" vertical="center"/>
    </xf>
    <xf numFmtId="37" fontId="24" fillId="0" borderId="145" xfId="0" applyNumberFormat="1" applyFont="1" applyFill="1" applyBorder="1" applyAlignment="1">
      <alignment horizontal="center" vertical="center"/>
    </xf>
    <xf numFmtId="39" fontId="24" fillId="0" borderId="145" xfId="0" applyNumberFormat="1" applyFont="1" applyFill="1" applyBorder="1" applyAlignment="1">
      <alignment horizontal="center" vertical="center"/>
    </xf>
    <xf numFmtId="2" fontId="26" fillId="0" borderId="145" xfId="0" applyNumberFormat="1" applyFont="1" applyFill="1" applyBorder="1" applyAlignment="1">
      <alignment horizontal="center" vertical="center" wrapText="1"/>
    </xf>
    <xf numFmtId="166" fontId="24" fillId="0" borderId="145" xfId="0" applyNumberFormat="1" applyFont="1" applyFill="1" applyBorder="1" applyAlignment="1">
      <alignment horizontal="center" vertical="center"/>
    </xf>
    <xf numFmtId="173" fontId="27" fillId="20" borderId="167" xfId="0" applyNumberFormat="1" applyFont="1" applyFill="1" applyBorder="1" applyAlignment="1">
      <alignment horizontal="center" vertical="center"/>
    </xf>
    <xf numFmtId="174" fontId="26" fillId="20" borderId="167" xfId="0" applyNumberFormat="1" applyFont="1" applyFill="1" applyBorder="1" applyAlignment="1">
      <alignment horizontal="center" vertical="center" wrapText="1"/>
    </xf>
    <xf numFmtId="37" fontId="27" fillId="0" borderId="143" xfId="0" applyNumberFormat="1" applyFont="1" applyFill="1" applyBorder="1" applyAlignment="1">
      <alignment horizontal="center" vertical="center"/>
    </xf>
    <xf numFmtId="39" fontId="27" fillId="0" borderId="143" xfId="0" applyNumberFormat="1" applyFont="1" applyFill="1" applyBorder="1" applyAlignment="1">
      <alignment horizontal="center" vertical="center"/>
    </xf>
    <xf numFmtId="175" fontId="27" fillId="0" borderId="143" xfId="0" applyNumberFormat="1" applyFont="1" applyFill="1" applyBorder="1" applyAlignment="1">
      <alignment horizontal="center" vertical="center"/>
    </xf>
    <xf numFmtId="171" fontId="23" fillId="0" borderId="145" xfId="0" applyNumberFormat="1" applyFont="1" applyFill="1" applyBorder="1" applyAlignment="1">
      <alignment horizontal="center" vertical="center" wrapText="1"/>
    </xf>
    <xf numFmtId="3" fontId="26" fillId="20" borderId="167" xfId="0" applyNumberFormat="1" applyFont="1" applyFill="1" applyBorder="1" applyAlignment="1">
      <alignment horizontal="center" vertical="center" wrapText="1"/>
    </xf>
    <xf numFmtId="171" fontId="23" fillId="0" borderId="162" xfId="0" applyNumberFormat="1" applyFont="1" applyFill="1" applyBorder="1" applyAlignment="1">
      <alignment horizontal="center" vertical="center" wrapText="1"/>
    </xf>
    <xf numFmtId="171" fontId="23" fillId="13" borderId="150" xfId="13" applyNumberFormat="1" applyFont="1" applyFill="1" applyBorder="1" applyAlignment="1">
      <alignment horizontal="center" vertical="center" wrapText="1"/>
    </xf>
    <xf numFmtId="171" fontId="23" fillId="13" borderId="144" xfId="13" applyNumberFormat="1" applyFont="1" applyFill="1" applyBorder="1" applyAlignment="1">
      <alignment horizontal="center" vertical="center" wrapText="1"/>
    </xf>
    <xf numFmtId="171" fontId="23" fillId="13" borderId="148" xfId="13" applyNumberFormat="1" applyFont="1" applyFill="1" applyBorder="1" applyAlignment="1">
      <alignment horizontal="center" vertical="center" wrapText="1"/>
    </xf>
    <xf numFmtId="171" fontId="87" fillId="13" borderId="138" xfId="13" applyNumberFormat="1" applyFont="1" applyFill="1" applyBorder="1" applyAlignment="1">
      <alignment horizontal="center" vertical="center"/>
    </xf>
    <xf numFmtId="171" fontId="87" fillId="13" borderId="134" xfId="13" applyNumberFormat="1" applyFont="1" applyFill="1" applyBorder="1" applyAlignment="1">
      <alignment horizontal="center" vertical="center"/>
    </xf>
    <xf numFmtId="171" fontId="87" fillId="13" borderId="139" xfId="13" applyNumberFormat="1" applyFont="1" applyFill="1" applyBorder="1" applyAlignment="1">
      <alignment horizontal="center" vertical="center"/>
    </xf>
    <xf numFmtId="171" fontId="26" fillId="13" borderId="140" xfId="5" applyNumberFormat="1" applyFont="1" applyFill="1" applyBorder="1" applyAlignment="1">
      <alignment horizontal="center" vertical="center" wrapText="1"/>
    </xf>
    <xf numFmtId="171" fontId="26" fillId="13" borderId="141" xfId="5" applyNumberFormat="1" applyFont="1" applyFill="1" applyBorder="1" applyAlignment="1">
      <alignment horizontal="center" vertical="center" wrapText="1"/>
    </xf>
    <xf numFmtId="171" fontId="26" fillId="13" borderId="142" xfId="5" applyNumberFormat="1" applyFont="1" applyFill="1" applyBorder="1" applyAlignment="1">
      <alignment horizontal="center" vertical="center" wrapText="1"/>
    </xf>
    <xf numFmtId="0" fontId="15" fillId="0" borderId="142" xfId="0" applyFont="1" applyFill="1" applyBorder="1" applyAlignment="1">
      <alignment horizontal="center" vertical="center" wrapText="1"/>
    </xf>
    <xf numFmtId="0" fontId="15" fillId="0" borderId="141" xfId="0" applyFont="1" applyFill="1" applyBorder="1" applyAlignment="1">
      <alignment horizontal="left" vertical="top" wrapText="1"/>
    </xf>
    <xf numFmtId="0" fontId="14" fillId="0" borderId="141" xfId="0" applyFont="1" applyFill="1" applyBorder="1" applyAlignment="1">
      <alignment horizontal="center" vertical="center" wrapText="1"/>
    </xf>
    <xf numFmtId="0" fontId="13" fillId="0" borderId="141" xfId="0" applyFont="1" applyFill="1" applyBorder="1" applyAlignment="1">
      <alignment vertical="top" wrapText="1"/>
    </xf>
    <xf numFmtId="10" fontId="11" fillId="0" borderId="141" xfId="0" applyNumberFormat="1" applyFont="1" applyFill="1" applyBorder="1" applyAlignment="1">
      <alignment horizontal="center" vertical="center"/>
    </xf>
    <xf numFmtId="4" fontId="10" fillId="0" borderId="141" xfId="0" applyNumberFormat="1" applyFont="1" applyFill="1" applyBorder="1" applyAlignment="1">
      <alignment horizontal="center" vertical="center" wrapText="1"/>
    </xf>
    <xf numFmtId="2" fontId="10" fillId="0" borderId="141" xfId="0" applyNumberFormat="1" applyFont="1" applyFill="1" applyBorder="1" applyAlignment="1">
      <alignment horizontal="center" vertical="center" wrapText="1"/>
    </xf>
    <xf numFmtId="166" fontId="11" fillId="0" borderId="141" xfId="0" applyNumberFormat="1" applyFont="1" applyFill="1" applyBorder="1" applyAlignment="1">
      <alignment horizontal="center" vertical="center"/>
    </xf>
    <xf numFmtId="3" fontId="10" fillId="0" borderId="141" xfId="0" applyNumberFormat="1" applyFont="1" applyFill="1" applyBorder="1" applyAlignment="1">
      <alignment horizontal="center" vertical="center" wrapText="1"/>
    </xf>
    <xf numFmtId="170" fontId="11" fillId="0" borderId="141" xfId="0" applyNumberFormat="1" applyFont="1" applyFill="1" applyBorder="1" applyAlignment="1">
      <alignment horizontal="center" vertical="center"/>
    </xf>
    <xf numFmtId="2" fontId="11" fillId="0" borderId="141" xfId="0" applyNumberFormat="1" applyFont="1" applyFill="1" applyBorder="1" applyAlignment="1">
      <alignment horizontal="center" vertical="center"/>
    </xf>
    <xf numFmtId="164" fontId="11" fillId="0" borderId="141" xfId="0" applyNumberFormat="1" applyFont="1" applyFill="1" applyBorder="1" applyAlignment="1">
      <alignment horizontal="center" vertical="center"/>
    </xf>
    <xf numFmtId="0" fontId="12" fillId="0" borderId="141" xfId="0" applyFont="1" applyFill="1" applyBorder="1" applyAlignment="1">
      <alignment horizontal="center" vertical="center"/>
    </xf>
    <xf numFmtId="0" fontId="11" fillId="0" borderId="141" xfId="0" applyFont="1" applyFill="1" applyBorder="1" applyAlignment="1">
      <alignment horizontal="left" vertical="top" wrapText="1"/>
    </xf>
    <xf numFmtId="0" fontId="11" fillId="0" borderId="141" xfId="0" applyFont="1" applyFill="1" applyBorder="1" applyAlignment="1">
      <alignment vertical="center"/>
    </xf>
    <xf numFmtId="0" fontId="16" fillId="0" borderId="141" xfId="0" applyFont="1" applyFill="1" applyBorder="1" applyAlignment="1">
      <alignment horizontal="center" vertical="top" wrapText="1"/>
    </xf>
    <xf numFmtId="0" fontId="11" fillId="0" borderId="141" xfId="0" applyFont="1" applyFill="1" applyBorder="1" applyAlignment="1">
      <alignment horizontal="center" vertical="center"/>
    </xf>
    <xf numFmtId="0" fontId="14" fillId="0" borderId="139" xfId="0" applyFont="1" applyFill="1" applyBorder="1" applyAlignment="1">
      <alignment horizontal="center" vertical="top" wrapText="1"/>
    </xf>
    <xf numFmtId="0" fontId="15" fillId="0" borderId="139" xfId="0" applyFont="1" applyFill="1" applyBorder="1" applyAlignment="1">
      <alignment horizontal="center" vertical="top" wrapText="1"/>
    </xf>
    <xf numFmtId="0" fontId="14" fillId="0" borderId="148" xfId="0" applyFont="1" applyFill="1" applyBorder="1" applyAlignment="1">
      <alignment horizontal="center" vertical="top" wrapText="1"/>
    </xf>
    <xf numFmtId="0" fontId="15" fillId="0" borderId="144" xfId="0" applyFont="1" applyFill="1" applyBorder="1" applyAlignment="1">
      <alignment horizontal="center" vertical="top" wrapText="1"/>
    </xf>
    <xf numFmtId="0" fontId="14" fillId="0" borderId="144" xfId="0" applyFont="1" applyFill="1" applyBorder="1" applyAlignment="1">
      <alignment horizontal="center" vertical="center" wrapText="1"/>
    </xf>
    <xf numFmtId="0" fontId="13" fillId="0" borderId="144" xfId="0" applyFont="1" applyFill="1" applyBorder="1" applyAlignment="1">
      <alignment vertical="top" wrapText="1"/>
    </xf>
    <xf numFmtId="10" fontId="11" fillId="0" borderId="144" xfId="0" applyNumberFormat="1" applyFont="1" applyFill="1" applyBorder="1" applyAlignment="1">
      <alignment horizontal="center" vertical="center"/>
    </xf>
    <xf numFmtId="2" fontId="10" fillId="0" borderId="144" xfId="0" applyNumberFormat="1" applyFont="1" applyFill="1" applyBorder="1" applyAlignment="1">
      <alignment horizontal="center" vertical="center" wrapText="1"/>
    </xf>
    <xf numFmtId="4" fontId="10" fillId="0" borderId="144" xfId="0" applyNumberFormat="1" applyFont="1" applyFill="1" applyBorder="1" applyAlignment="1">
      <alignment horizontal="center" vertical="center" wrapText="1"/>
    </xf>
    <xf numFmtId="166" fontId="11" fillId="0" borderId="144" xfId="0" applyNumberFormat="1" applyFont="1" applyFill="1" applyBorder="1" applyAlignment="1">
      <alignment horizontal="center" vertical="center"/>
    </xf>
    <xf numFmtId="2" fontId="11" fillId="0" borderId="144" xfId="0" applyNumberFormat="1" applyFont="1" applyFill="1" applyBorder="1" applyAlignment="1">
      <alignment horizontal="center" vertical="center"/>
    </xf>
    <xf numFmtId="166" fontId="11" fillId="0" borderId="144" xfId="0" applyNumberFormat="1" applyFont="1" applyFill="1" applyBorder="1" applyAlignment="1">
      <alignment vertical="center"/>
    </xf>
    <xf numFmtId="165" fontId="11" fillId="0" borderId="144" xfId="0" applyNumberFormat="1" applyFont="1" applyFill="1" applyBorder="1" applyAlignment="1">
      <alignment horizontal="center" vertical="center"/>
    </xf>
    <xf numFmtId="164" fontId="11" fillId="0" borderId="144" xfId="0" applyNumberFormat="1" applyFont="1" applyFill="1" applyBorder="1" applyAlignment="1">
      <alignment horizontal="center" vertical="center"/>
    </xf>
    <xf numFmtId="164" fontId="11" fillId="0" borderId="144" xfId="0" applyNumberFormat="1" applyFont="1" applyFill="1" applyBorder="1" applyAlignment="1">
      <alignment vertical="center"/>
    </xf>
    <xf numFmtId="164" fontId="11" fillId="0" borderId="144" xfId="0" applyNumberFormat="1" applyFont="1" applyFill="1" applyBorder="1" applyAlignment="1">
      <alignment horizontal="left" vertical="center"/>
    </xf>
    <xf numFmtId="0" fontId="12" fillId="0" borderId="144" xfId="0" applyFont="1" applyFill="1" applyBorder="1" applyAlignment="1">
      <alignment horizontal="center" vertical="center"/>
    </xf>
    <xf numFmtId="0" fontId="11" fillId="0" borderId="144" xfId="0" applyFont="1" applyFill="1" applyBorder="1" applyAlignment="1">
      <alignment horizontal="left" vertical="top" wrapText="1"/>
    </xf>
    <xf numFmtId="0" fontId="11" fillId="0" borderId="144" xfId="0" applyFont="1" applyFill="1" applyBorder="1" applyAlignment="1">
      <alignment horizontal="center" vertical="center"/>
    </xf>
    <xf numFmtId="0" fontId="13" fillId="0" borderId="134" xfId="0" applyFont="1" applyFill="1" applyBorder="1" applyAlignment="1">
      <alignment horizontal="left" vertical="top" wrapText="1"/>
    </xf>
    <xf numFmtId="1" fontId="10" fillId="0" borderId="134" xfId="0" applyNumberFormat="1" applyFont="1" applyFill="1" applyBorder="1" applyAlignment="1">
      <alignment horizontal="center" vertical="center" wrapText="1"/>
    </xf>
    <xf numFmtId="168" fontId="11" fillId="0" borderId="134" xfId="0" applyNumberFormat="1" applyFont="1" applyFill="1" applyBorder="1" applyAlignment="1">
      <alignment horizontal="center" vertical="center"/>
    </xf>
    <xf numFmtId="0" fontId="16" fillId="0" borderId="134" xfId="0" applyFont="1" applyFill="1" applyBorder="1" applyAlignment="1">
      <alignment horizontal="center" vertical="top" wrapText="1"/>
    </xf>
    <xf numFmtId="186" fontId="61" fillId="0" borderId="134" xfId="1" applyNumberFormat="1" applyFont="1" applyFill="1" applyBorder="1" applyAlignment="1">
      <alignment vertical="center"/>
    </xf>
    <xf numFmtId="169" fontId="61" fillId="0" borderId="134" xfId="0" applyNumberFormat="1" applyFont="1" applyFill="1" applyBorder="1" applyAlignment="1">
      <alignment horizontal="center" vertical="center"/>
    </xf>
    <xf numFmtId="3" fontId="61" fillId="0" borderId="134" xfId="0" applyNumberFormat="1" applyFont="1" applyFill="1" applyBorder="1" applyAlignment="1">
      <alignment horizontal="center" vertical="center" wrapText="1"/>
    </xf>
    <xf numFmtId="170" fontId="61" fillId="0" borderId="134" xfId="0" applyNumberFormat="1" applyFont="1" applyFill="1" applyBorder="1" applyAlignment="1">
      <alignment horizontal="center" vertical="center"/>
    </xf>
    <xf numFmtId="186" fontId="61" fillId="0" borderId="134" xfId="1" applyNumberFormat="1" applyFont="1" applyFill="1" applyBorder="1" applyAlignment="1">
      <alignment horizontal="center" vertical="center"/>
    </xf>
    <xf numFmtId="2" fontId="61" fillId="0" borderId="134" xfId="0" applyNumberFormat="1" applyFont="1" applyFill="1" applyBorder="1" applyAlignment="1">
      <alignment horizontal="center" vertical="center"/>
    </xf>
    <xf numFmtId="169" fontId="11" fillId="0" borderId="134" xfId="0" applyNumberFormat="1" applyFont="1" applyFill="1" applyBorder="1" applyAlignment="1">
      <alignment horizontal="center" vertical="center"/>
    </xf>
    <xf numFmtId="169" fontId="10" fillId="0" borderId="134" xfId="0" applyNumberFormat="1" applyFont="1" applyFill="1" applyBorder="1" applyAlignment="1">
      <alignment horizontal="center" vertical="center" wrapText="1"/>
    </xf>
    <xf numFmtId="169" fontId="10" fillId="0" borderId="134" xfId="0" applyNumberFormat="1" applyFont="1" applyFill="1" applyBorder="1" applyAlignment="1">
      <alignment horizontal="center" vertical="center"/>
    </xf>
    <xf numFmtId="3" fontId="10" fillId="0" borderId="134" xfId="0" applyNumberFormat="1" applyFont="1" applyFill="1" applyBorder="1" applyAlignment="1">
      <alignment horizontal="center" vertical="center" wrapText="1"/>
    </xf>
    <xf numFmtId="2" fontId="10" fillId="0" borderId="134" xfId="0" applyNumberFormat="1" applyFont="1" applyFill="1" applyBorder="1" applyAlignment="1">
      <alignment horizontal="center" vertical="center"/>
    </xf>
    <xf numFmtId="1" fontId="11" fillId="0" borderId="134" xfId="0" applyNumberFormat="1" applyFont="1" applyFill="1" applyBorder="1" applyAlignment="1">
      <alignment horizontal="center" vertical="center"/>
    </xf>
    <xf numFmtId="1" fontId="10" fillId="0" borderId="134" xfId="0" applyNumberFormat="1" applyFont="1" applyFill="1" applyBorder="1" applyAlignment="1">
      <alignment horizontal="center" vertical="center"/>
    </xf>
    <xf numFmtId="164" fontId="10" fillId="0" borderId="134" xfId="0" applyNumberFormat="1" applyFont="1" applyFill="1" applyBorder="1" applyAlignment="1">
      <alignment horizontal="center" vertical="center"/>
    </xf>
    <xf numFmtId="165" fontId="10" fillId="0" borderId="134" xfId="0" applyNumberFormat="1" applyFont="1" applyFill="1" applyBorder="1" applyAlignment="1">
      <alignment horizontal="center" vertical="center"/>
    </xf>
    <xf numFmtId="167" fontId="10" fillId="0" borderId="134" xfId="0" applyNumberFormat="1" applyFont="1" applyFill="1" applyBorder="1" applyAlignment="1">
      <alignment horizontal="center" vertical="center"/>
    </xf>
    <xf numFmtId="164" fontId="10" fillId="0" borderId="134" xfId="0" applyNumberFormat="1" applyFont="1" applyFill="1" applyBorder="1" applyAlignment="1">
      <alignment vertical="center"/>
    </xf>
    <xf numFmtId="164" fontId="10" fillId="0" borderId="134" xfId="0" applyNumberFormat="1" applyFont="1" applyFill="1" applyBorder="1" applyAlignment="1">
      <alignment horizontal="left" vertical="center"/>
    </xf>
    <xf numFmtId="0" fontId="10" fillId="0" borderId="134" xfId="0" applyFont="1" applyFill="1" applyBorder="1" applyAlignment="1">
      <alignment horizontal="center" vertical="center"/>
    </xf>
    <xf numFmtId="0" fontId="10" fillId="0" borderId="134" xfId="0" applyFont="1" applyFill="1" applyBorder="1" applyAlignment="1">
      <alignment horizontal="left" vertical="top" wrapText="1"/>
    </xf>
    <xf numFmtId="4" fontId="11" fillId="0" borderId="134" xfId="0" applyNumberFormat="1" applyFont="1" applyFill="1" applyBorder="1" applyAlignment="1">
      <alignment horizontal="center" vertical="center"/>
    </xf>
    <xf numFmtId="2" fontId="11" fillId="0" borderId="134" xfId="0" applyNumberFormat="1" applyFont="1" applyFill="1" applyBorder="1" applyAlignment="1">
      <alignment vertical="center"/>
    </xf>
    <xf numFmtId="168" fontId="11" fillId="0" borderId="134" xfId="0" applyNumberFormat="1" applyFont="1" applyFill="1" applyBorder="1" applyAlignment="1">
      <alignment vertical="center"/>
    </xf>
    <xf numFmtId="165" fontId="11" fillId="0" borderId="134" xfId="0" applyNumberFormat="1" applyFont="1" applyFill="1" applyBorder="1" applyAlignment="1">
      <alignment vertical="center"/>
    </xf>
    <xf numFmtId="167" fontId="11" fillId="0" borderId="134" xfId="0" applyNumberFormat="1" applyFont="1" applyFill="1" applyBorder="1" applyAlignment="1">
      <alignment horizontal="center" vertical="center"/>
    </xf>
    <xf numFmtId="0" fontId="16" fillId="0" borderId="134" xfId="0" applyFont="1" applyFill="1" applyBorder="1" applyAlignment="1">
      <alignment horizontal="center" vertical="center"/>
    </xf>
    <xf numFmtId="0" fontId="16" fillId="0" borderId="134" xfId="0" applyFont="1" applyFill="1" applyBorder="1" applyAlignment="1">
      <alignment horizontal="left" vertical="top" wrapText="1"/>
    </xf>
    <xf numFmtId="0" fontId="15" fillId="0" borderId="134" xfId="0" applyFont="1" applyFill="1" applyBorder="1" applyAlignment="1">
      <alignment horizontal="center" vertical="top" wrapText="1"/>
    </xf>
    <xf numFmtId="0" fontId="14" fillId="0" borderId="134" xfId="0" applyFont="1" applyFill="1" applyBorder="1" applyAlignment="1">
      <alignment horizontal="center" vertical="center" wrapText="1"/>
    </xf>
    <xf numFmtId="0" fontId="13" fillId="0" borderId="134" xfId="0" applyFont="1" applyFill="1" applyBorder="1" applyAlignment="1">
      <alignment vertical="top" wrapText="1"/>
    </xf>
    <xf numFmtId="4" fontId="10" fillId="0" borderId="134" xfId="0" applyNumberFormat="1" applyFont="1" applyFill="1" applyBorder="1" applyAlignment="1">
      <alignment horizontal="center" vertical="center" wrapText="1"/>
    </xf>
    <xf numFmtId="166" fontId="11" fillId="0" borderId="134" xfId="0" applyNumberFormat="1" applyFont="1" applyFill="1" applyBorder="1" applyAlignment="1">
      <alignment horizontal="center" vertical="center"/>
    </xf>
    <xf numFmtId="166" fontId="11" fillId="0" borderId="134" xfId="0" applyNumberFormat="1" applyFont="1" applyFill="1" applyBorder="1" applyAlignment="1">
      <alignment vertical="center"/>
    </xf>
    <xf numFmtId="165" fontId="11" fillId="0" borderId="134" xfId="0" applyNumberFormat="1" applyFont="1" applyFill="1" applyBorder="1" applyAlignment="1">
      <alignment horizontal="center" vertical="center"/>
    </xf>
    <xf numFmtId="164" fontId="11" fillId="0" borderId="134" xfId="0" applyNumberFormat="1" applyFont="1" applyFill="1" applyBorder="1" applyAlignment="1">
      <alignment horizontal="center" vertical="center"/>
    </xf>
    <xf numFmtId="164" fontId="11" fillId="0" borderId="134" xfId="0" applyNumberFormat="1" applyFont="1" applyFill="1" applyBorder="1" applyAlignment="1">
      <alignment vertical="center"/>
    </xf>
    <xf numFmtId="164" fontId="11" fillId="0" borderId="134" xfId="0" applyNumberFormat="1" applyFont="1" applyFill="1" applyBorder="1" applyAlignment="1">
      <alignment horizontal="left" vertical="center"/>
    </xf>
    <xf numFmtId="0" fontId="11" fillId="0" borderId="134" xfId="0" applyFont="1" applyFill="1" applyBorder="1" applyAlignment="1">
      <alignment horizontal="left" vertical="top" wrapText="1"/>
    </xf>
    <xf numFmtId="0" fontId="11" fillId="0" borderId="134" xfId="0" applyFont="1" applyFill="1" applyBorder="1" applyAlignment="1">
      <alignment horizontal="center" vertical="center"/>
    </xf>
    <xf numFmtId="175" fontId="24" fillId="0" borderId="145" xfId="0" applyNumberFormat="1" applyFont="1" applyFill="1" applyBorder="1" applyAlignment="1">
      <alignment horizontal="center" vertical="center"/>
    </xf>
    <xf numFmtId="171" fontId="87" fillId="0" borderId="134" xfId="2864" applyNumberFormat="1" applyFont="1" applyFill="1" applyBorder="1" applyAlignment="1">
      <alignment horizontal="center" vertical="center"/>
    </xf>
    <xf numFmtId="2" fontId="87" fillId="0" borderId="134" xfId="2864" applyNumberFormat="1" applyFont="1" applyFill="1" applyBorder="1" applyAlignment="1">
      <alignment horizontal="center" vertical="center"/>
    </xf>
    <xf numFmtId="2" fontId="87" fillId="0" borderId="145" xfId="13" applyNumberFormat="1" applyFont="1" applyFill="1" applyBorder="1" applyAlignment="1">
      <alignment horizontal="center" vertical="center"/>
    </xf>
    <xf numFmtId="2" fontId="26" fillId="0" borderId="143" xfId="13" applyNumberFormat="1" applyFont="1" applyFill="1" applyBorder="1" applyAlignment="1">
      <alignment horizontal="center" vertical="center" wrapText="1"/>
    </xf>
    <xf numFmtId="2" fontId="88" fillId="0" borderId="143" xfId="13" applyNumberFormat="1" applyFont="1" applyFill="1" applyBorder="1" applyAlignment="1">
      <alignment horizontal="center" vertical="center"/>
    </xf>
    <xf numFmtId="173" fontId="88" fillId="20" borderId="178" xfId="13" applyNumberFormat="1" applyFont="1" applyFill="1" applyBorder="1" applyAlignment="1">
      <alignment horizontal="center" vertical="center"/>
    </xf>
    <xf numFmtId="2" fontId="87" fillId="0" borderId="145" xfId="2864" applyNumberFormat="1" applyFont="1" applyFill="1" applyBorder="1" applyAlignment="1">
      <alignment horizontal="center" vertical="center"/>
    </xf>
    <xf numFmtId="0" fontId="9" fillId="30" borderId="135" xfId="2832" applyFont="1" applyFill="1" applyBorder="1" applyAlignment="1">
      <alignment horizontal="center" vertical="center" wrapText="1"/>
    </xf>
    <xf numFmtId="0" fontId="9" fillId="12" borderId="174" xfId="2832" applyFont="1" applyFill="1" applyBorder="1" applyAlignment="1">
      <alignment horizontal="center" vertical="center" wrapText="1"/>
    </xf>
    <xf numFmtId="0" fontId="9" fillId="30" borderId="175" xfId="2832" applyFont="1" applyFill="1" applyBorder="1" applyAlignment="1">
      <alignment horizontal="center" vertical="center" wrapText="1"/>
    </xf>
    <xf numFmtId="0" fontId="10" fillId="27" borderId="152" xfId="2832" applyFont="1" applyFill="1" applyBorder="1" applyAlignment="1">
      <alignment horizontal="center" vertical="center" wrapText="1"/>
    </xf>
    <xf numFmtId="0" fontId="10" fillId="28" borderId="156" xfId="2832" applyFont="1" applyFill="1" applyBorder="1" applyAlignment="1">
      <alignment horizontal="center" vertical="center" wrapText="1"/>
    </xf>
    <xf numFmtId="0" fontId="10" fillId="12" borderId="156" xfId="2832" applyFont="1" applyFill="1" applyBorder="1" applyAlignment="1">
      <alignment horizontal="center" vertical="center" wrapText="1"/>
    </xf>
    <xf numFmtId="0" fontId="10" fillId="12" borderId="175" xfId="2832" applyFont="1" applyFill="1" applyBorder="1" applyAlignment="1">
      <alignment horizontal="center" vertical="center" wrapText="1"/>
    </xf>
    <xf numFmtId="0" fontId="9" fillId="30" borderId="166" xfId="2832" applyFont="1" applyFill="1" applyBorder="1" applyAlignment="1">
      <alignment horizontal="center" vertical="center" wrapText="1"/>
    </xf>
    <xf numFmtId="0" fontId="9" fillId="12" borderId="166" xfId="2832" applyFont="1" applyFill="1" applyBorder="1" applyAlignment="1">
      <alignment horizontal="center" vertical="center" wrapText="1"/>
    </xf>
    <xf numFmtId="0" fontId="9" fillId="28" borderId="166" xfId="2832" applyFont="1" applyFill="1" applyBorder="1" applyAlignment="1">
      <alignment horizontal="center" vertical="center" wrapText="1"/>
    </xf>
    <xf numFmtId="0" fontId="9" fillId="29" borderId="174" xfId="2832" applyFont="1" applyFill="1" applyBorder="1" applyAlignment="1">
      <alignment horizontal="center" vertical="center" wrapText="1"/>
    </xf>
    <xf numFmtId="0" fontId="10" fillId="27" borderId="149" xfId="2832" applyFont="1" applyFill="1" applyBorder="1" applyAlignment="1">
      <alignment horizontal="center" vertical="center" wrapText="1"/>
    </xf>
    <xf numFmtId="0" fontId="9" fillId="29" borderId="166" xfId="2832" applyFont="1" applyFill="1" applyBorder="1" applyAlignment="1">
      <alignment horizontal="center" vertical="center" wrapText="1"/>
    </xf>
    <xf numFmtId="0" fontId="10" fillId="12" borderId="178" xfId="2832" applyFont="1" applyFill="1" applyBorder="1" applyAlignment="1">
      <alignment horizontal="center" vertical="center" wrapText="1"/>
    </xf>
    <xf numFmtId="0" fontId="10" fillId="12" borderId="171" xfId="2832" applyFont="1" applyFill="1" applyBorder="1" applyAlignment="1">
      <alignment horizontal="center" vertical="center" wrapText="1"/>
    </xf>
    <xf numFmtId="0" fontId="9" fillId="12" borderId="167" xfId="2832" applyFont="1" applyFill="1" applyBorder="1" applyAlignment="1">
      <alignment horizontal="center" vertical="center" wrapText="1"/>
    </xf>
    <xf numFmtId="0" fontId="10" fillId="29" borderId="163" xfId="2832" applyFont="1" applyFill="1" applyBorder="1" applyAlignment="1">
      <alignment horizontal="center" vertical="center" wrapText="1"/>
    </xf>
    <xf numFmtId="0" fontId="10" fillId="28" borderId="167" xfId="2832" applyFont="1" applyFill="1" applyBorder="1" applyAlignment="1">
      <alignment horizontal="center" vertical="center" wrapText="1"/>
    </xf>
    <xf numFmtId="0" fontId="10" fillId="12" borderId="167" xfId="2832" applyFont="1" applyFill="1" applyBorder="1" applyAlignment="1">
      <alignment horizontal="center" vertical="center" wrapText="1"/>
    </xf>
    <xf numFmtId="0" fontId="10" fillId="12" borderId="177" xfId="2832" applyFont="1" applyFill="1" applyBorder="1" applyAlignment="1">
      <alignment horizontal="center" vertical="center" wrapText="1"/>
    </xf>
    <xf numFmtId="0" fontId="10" fillId="12" borderId="149" xfId="2832" applyFont="1" applyFill="1" applyBorder="1" applyAlignment="1">
      <alignment vertical="center" wrapText="1"/>
    </xf>
    <xf numFmtId="0" fontId="10" fillId="12" borderId="156" xfId="2832" applyFont="1" applyFill="1" applyBorder="1" applyAlignment="1">
      <alignment vertical="center" wrapText="1"/>
    </xf>
    <xf numFmtId="0" fontId="9" fillId="30" borderId="135" xfId="2832" applyFont="1" applyFill="1" applyBorder="1" applyAlignment="1">
      <alignment horizontal="center" vertical="center" wrapText="1"/>
    </xf>
    <xf numFmtId="0" fontId="9" fillId="12" borderId="174" xfId="2832" applyFont="1" applyFill="1" applyBorder="1" applyAlignment="1">
      <alignment horizontal="center" vertical="center" wrapText="1"/>
    </xf>
    <xf numFmtId="0" fontId="9" fillId="30" borderId="175" xfId="2832" applyFont="1" applyFill="1" applyBorder="1" applyAlignment="1">
      <alignment horizontal="center" vertical="center" wrapText="1"/>
    </xf>
    <xf numFmtId="0" fontId="10" fillId="27" borderId="152" xfId="2832" applyFont="1" applyFill="1" applyBorder="1" applyAlignment="1">
      <alignment horizontal="center" vertical="center" wrapText="1"/>
    </xf>
    <xf numFmtId="0" fontId="10" fillId="28" borderId="156" xfId="2832" applyFont="1" applyFill="1" applyBorder="1" applyAlignment="1">
      <alignment horizontal="center" vertical="center" wrapText="1"/>
    </xf>
    <xf numFmtId="0" fontId="10" fillId="12" borderId="156" xfId="2832" applyFont="1" applyFill="1" applyBorder="1" applyAlignment="1">
      <alignment horizontal="center" vertical="center" wrapText="1"/>
    </xf>
    <xf numFmtId="0" fontId="10" fillId="12" borderId="175" xfId="2832" applyFont="1" applyFill="1" applyBorder="1" applyAlignment="1">
      <alignment horizontal="center" vertical="center" wrapText="1"/>
    </xf>
    <xf numFmtId="0" fontId="9" fillId="30" borderId="166" xfId="2832" applyFont="1" applyFill="1" applyBorder="1" applyAlignment="1">
      <alignment horizontal="center" vertical="center" wrapText="1"/>
    </xf>
    <xf numFmtId="0" fontId="9" fillId="12" borderId="166" xfId="2832" applyFont="1" applyFill="1" applyBorder="1" applyAlignment="1">
      <alignment horizontal="center" vertical="center" wrapText="1"/>
    </xf>
    <xf numFmtId="0" fontId="9" fillId="28" borderId="166" xfId="2832" applyFont="1" applyFill="1" applyBorder="1" applyAlignment="1">
      <alignment horizontal="center" vertical="center" wrapText="1"/>
    </xf>
    <xf numFmtId="0" fontId="10" fillId="27" borderId="149" xfId="2832" applyFont="1" applyFill="1" applyBorder="1" applyAlignment="1">
      <alignment horizontal="center" vertical="center" wrapText="1"/>
    </xf>
    <xf numFmtId="0" fontId="9" fillId="12" borderId="175" xfId="2832" applyFont="1" applyFill="1" applyBorder="1" applyAlignment="1">
      <alignment horizontal="center" vertical="center" wrapText="1"/>
    </xf>
    <xf numFmtId="0" fontId="9" fillId="29" borderId="166" xfId="2832" applyFont="1" applyFill="1" applyBorder="1" applyAlignment="1">
      <alignment horizontal="center" vertical="center" wrapText="1"/>
    </xf>
    <xf numFmtId="0" fontId="10" fillId="27" borderId="174" xfId="2832" applyFont="1" applyFill="1" applyBorder="1" applyAlignment="1">
      <alignment horizontal="center" vertical="center" wrapText="1"/>
    </xf>
    <xf numFmtId="0" fontId="9" fillId="30" borderId="137" xfId="2832" applyFont="1" applyFill="1" applyBorder="1" applyAlignment="1">
      <alignment horizontal="center" vertical="center" wrapText="1"/>
    </xf>
    <xf numFmtId="0" fontId="2" fillId="9" borderId="94" xfId="0" applyFont="1" applyFill="1" applyBorder="1"/>
    <xf numFmtId="4" fontId="2" fillId="9" borderId="94" xfId="0" applyNumberFormat="1" applyFont="1" applyFill="1" applyBorder="1"/>
    <xf numFmtId="4" fontId="2" fillId="9" borderId="94" xfId="0" applyNumberFormat="1" applyFont="1" applyFill="1" applyBorder="1" applyAlignment="1">
      <alignment horizontal="center"/>
    </xf>
    <xf numFmtId="39" fontId="2" fillId="9" borderId="94" xfId="0" applyNumberFormat="1" applyFont="1" applyFill="1" applyBorder="1"/>
    <xf numFmtId="0" fontId="2" fillId="9" borderId="94" xfId="0" applyFont="1" applyFill="1" applyBorder="1" applyAlignment="1">
      <alignment horizontal="center" vertical="center"/>
    </xf>
    <xf numFmtId="164" fontId="2" fillId="9" borderId="94" xfId="0" applyNumberFormat="1" applyFont="1" applyFill="1" applyBorder="1"/>
    <xf numFmtId="0" fontId="2" fillId="9" borderId="94" xfId="0" applyFont="1" applyFill="1" applyBorder="1" applyAlignment="1">
      <alignment horizontal="center"/>
    </xf>
    <xf numFmtId="0" fontId="21" fillId="9" borderId="94" xfId="0" applyFont="1" applyFill="1" applyBorder="1" applyAlignment="1">
      <alignment vertical="center"/>
    </xf>
    <xf numFmtId="10" fontId="21" fillId="9" borderId="94" xfId="0" applyNumberFormat="1" applyFont="1" applyFill="1" applyBorder="1" applyAlignment="1">
      <alignment vertical="center"/>
    </xf>
    <xf numFmtId="4" fontId="21" fillId="9" borderId="94" xfId="0" applyNumberFormat="1" applyFont="1" applyFill="1" applyBorder="1" applyAlignment="1">
      <alignment vertical="center"/>
    </xf>
    <xf numFmtId="179" fontId="21" fillId="9" borderId="94" xfId="0" applyNumberFormat="1" applyFont="1" applyFill="1" applyBorder="1" applyAlignment="1">
      <alignment vertical="center"/>
    </xf>
    <xf numFmtId="0" fontId="21" fillId="9" borderId="94" xfId="0" applyFont="1" applyFill="1" applyBorder="1" applyAlignment="1">
      <alignment horizontal="center" vertical="center"/>
    </xf>
    <xf numFmtId="171" fontId="21" fillId="9" borderId="94" xfId="0" applyNumberFormat="1" applyFont="1" applyFill="1" applyBorder="1" applyAlignment="1">
      <alignment vertical="center"/>
    </xf>
    <xf numFmtId="169" fontId="21" fillId="9" borderId="94" xfId="0" applyNumberFormat="1" applyFont="1" applyFill="1" applyBorder="1" applyAlignment="1">
      <alignment vertical="top"/>
    </xf>
    <xf numFmtId="0" fontId="2" fillId="0" borderId="0" xfId="0" applyFont="1"/>
    <xf numFmtId="166" fontId="2" fillId="0" borderId="0" xfId="0" applyNumberFormat="1" applyFont="1"/>
    <xf numFmtId="43" fontId="2" fillId="0" borderId="0" xfId="1" applyFont="1"/>
    <xf numFmtId="2" fontId="23" fillId="0" borderId="44" xfId="0" applyNumberFormat="1" applyFont="1" applyFill="1" applyBorder="1" applyAlignment="1">
      <alignment horizontal="center" vertical="center"/>
    </xf>
    <xf numFmtId="171" fontId="23" fillId="0" borderId="44" xfId="0" applyNumberFormat="1" applyFont="1" applyFill="1" applyBorder="1" applyAlignment="1">
      <alignment horizontal="center" vertical="center"/>
    </xf>
    <xf numFmtId="4" fontId="23" fillId="0" borderId="44" xfId="0" applyNumberFormat="1" applyFont="1" applyFill="1" applyBorder="1" applyAlignment="1">
      <alignment horizontal="center" vertical="center"/>
    </xf>
    <xf numFmtId="4" fontId="23" fillId="0" borderId="44" xfId="0" applyNumberFormat="1" applyFont="1" applyFill="1" applyBorder="1" applyAlignment="1">
      <alignment horizontal="center" vertical="center" wrapText="1"/>
    </xf>
    <xf numFmtId="4" fontId="41" fillId="0" borderId="44" xfId="0" applyNumberFormat="1" applyFont="1" applyFill="1" applyBorder="1" applyAlignment="1">
      <alignment horizontal="center" vertical="center" wrapText="1"/>
    </xf>
    <xf numFmtId="4" fontId="42" fillId="0" borderId="44" xfId="0" applyNumberFormat="1" applyFont="1" applyFill="1" applyBorder="1" applyAlignment="1">
      <alignment horizontal="center" vertical="center" wrapText="1"/>
    </xf>
    <xf numFmtId="0" fontId="41" fillId="0" borderId="44" xfId="0" applyFont="1" applyFill="1" applyBorder="1" applyAlignment="1">
      <alignment horizontal="center" vertical="center" wrapText="1"/>
    </xf>
    <xf numFmtId="171" fontId="24" fillId="0" borderId="44" xfId="0" applyNumberFormat="1" applyFont="1" applyFill="1" applyBorder="1" applyAlignment="1">
      <alignment horizontal="center" vertical="center"/>
    </xf>
    <xf numFmtId="171" fontId="21" fillId="0" borderId="44" xfId="0" applyNumberFormat="1" applyFont="1" applyFill="1" applyBorder="1" applyAlignment="1">
      <alignment horizontal="center" vertical="center"/>
    </xf>
    <xf numFmtId="3" fontId="30" fillId="0" borderId="44" xfId="0" applyNumberFormat="1" applyFont="1" applyFill="1" applyBorder="1" applyAlignment="1">
      <alignment horizontal="center" vertical="center"/>
    </xf>
    <xf numFmtId="2" fontId="26" fillId="0" borderId="44" xfId="0" applyNumberFormat="1" applyFont="1" applyFill="1" applyBorder="1" applyAlignment="1">
      <alignment horizontal="center" vertical="center"/>
    </xf>
    <xf numFmtId="2" fontId="27" fillId="0" borderId="44" xfId="0" applyNumberFormat="1" applyFont="1" applyFill="1" applyBorder="1" applyAlignment="1">
      <alignment horizontal="center" vertical="center"/>
    </xf>
    <xf numFmtId="4" fontId="34" fillId="0" borderId="44" xfId="0" applyNumberFormat="1" applyFont="1" applyFill="1" applyBorder="1" applyAlignment="1">
      <alignment horizontal="center" vertical="center" wrapText="1"/>
    </xf>
    <xf numFmtId="171" fontId="26" fillId="0" borderId="44" xfId="0" applyNumberFormat="1" applyFont="1" applyFill="1" applyBorder="1" applyAlignment="1">
      <alignment horizontal="center" vertical="center"/>
    </xf>
    <xf numFmtId="171" fontId="27" fillId="0" borderId="44" xfId="0" applyNumberFormat="1" applyFont="1" applyFill="1" applyBorder="1" applyAlignment="1">
      <alignment horizontal="center" vertical="center"/>
    </xf>
    <xf numFmtId="171" fontId="33" fillId="0" borderId="44" xfId="0" applyNumberFormat="1" applyFont="1" applyFill="1" applyBorder="1" applyAlignment="1">
      <alignment horizontal="center" vertical="center"/>
    </xf>
    <xf numFmtId="2" fontId="24" fillId="0" borderId="44" xfId="0" applyNumberFormat="1" applyFont="1" applyFill="1" applyBorder="1" applyAlignment="1">
      <alignment horizontal="center" vertical="center"/>
    </xf>
    <xf numFmtId="4" fontId="24" fillId="0" borderId="44" xfId="0" applyNumberFormat="1" applyFont="1" applyFill="1" applyBorder="1" applyAlignment="1">
      <alignment horizontal="center" vertical="center"/>
    </xf>
    <xf numFmtId="2" fontId="26" fillId="0" borderId="44" xfId="0" applyNumberFormat="1" applyFont="1" applyFill="1" applyBorder="1" applyAlignment="1">
      <alignment horizontal="center" vertical="center" wrapText="1"/>
    </xf>
    <xf numFmtId="39" fontId="24" fillId="0" borderId="44" xfId="0" applyNumberFormat="1" applyFont="1" applyFill="1" applyBorder="1" applyAlignment="1">
      <alignment horizontal="center" vertical="center"/>
    </xf>
    <xf numFmtId="173" fontId="23" fillId="0" borderId="44" xfId="0" applyNumberFormat="1" applyFont="1" applyFill="1" applyBorder="1" applyAlignment="1">
      <alignment horizontal="center" vertical="center"/>
    </xf>
    <xf numFmtId="173" fontId="21" fillId="0" borderId="44" xfId="0" applyNumberFormat="1" applyFont="1" applyFill="1" applyBorder="1" applyAlignment="1">
      <alignment horizontal="center" vertical="center"/>
    </xf>
    <xf numFmtId="173" fontId="26" fillId="0" borderId="44" xfId="0" applyNumberFormat="1" applyFont="1" applyFill="1" applyBorder="1" applyAlignment="1">
      <alignment horizontal="center" vertical="center"/>
    </xf>
    <xf numFmtId="0" fontId="23" fillId="0" borderId="44" xfId="0" applyFont="1" applyFill="1" applyBorder="1" applyAlignment="1">
      <alignment horizontal="center" vertical="center" wrapText="1"/>
    </xf>
    <xf numFmtId="171" fontId="30" fillId="0" borderId="44" xfId="0" applyNumberFormat="1" applyFont="1" applyFill="1" applyBorder="1" applyAlignment="1">
      <alignment horizontal="center" vertical="center"/>
    </xf>
    <xf numFmtId="4" fontId="30" fillId="0" borderId="44" xfId="0" applyNumberFormat="1" applyFont="1" applyFill="1" applyBorder="1" applyAlignment="1">
      <alignment horizontal="center" vertical="center" wrapText="1"/>
    </xf>
    <xf numFmtId="4" fontId="26" fillId="0" borderId="44" xfId="0" applyNumberFormat="1" applyFont="1" applyFill="1" applyBorder="1" applyAlignment="1">
      <alignment horizontal="center" vertical="center" wrapText="1"/>
    </xf>
    <xf numFmtId="171" fontId="30" fillId="0" borderId="44" xfId="0" applyNumberFormat="1" applyFont="1" applyFill="1" applyBorder="1" applyAlignment="1">
      <alignment horizontal="center" vertical="center" wrapText="1"/>
    </xf>
    <xf numFmtId="173" fontId="30" fillId="0" borderId="44" xfId="0" applyNumberFormat="1" applyFont="1" applyFill="1" applyBorder="1" applyAlignment="1">
      <alignment horizontal="center" vertical="center" wrapText="1"/>
    </xf>
    <xf numFmtId="39" fontId="30" fillId="0" borderId="44" xfId="0" applyNumberFormat="1" applyFont="1" applyFill="1" applyBorder="1" applyAlignment="1">
      <alignment horizontal="center" vertical="center"/>
    </xf>
    <xf numFmtId="0" fontId="23" fillId="0" borderId="44" xfId="0" applyFont="1" applyFill="1" applyBorder="1" applyAlignment="1">
      <alignment horizontal="center" vertical="center"/>
    </xf>
    <xf numFmtId="4" fontId="26" fillId="0" borderId="44" xfId="0" applyNumberFormat="1" applyFont="1" applyFill="1" applyBorder="1" applyAlignment="1">
      <alignment horizontal="center" vertical="center"/>
    </xf>
    <xf numFmtId="2" fontId="33" fillId="0" borderId="44" xfId="0" applyNumberFormat="1" applyFont="1" applyFill="1" applyBorder="1" applyAlignment="1">
      <alignment horizontal="center" vertical="center"/>
    </xf>
    <xf numFmtId="4" fontId="30" fillId="0" borderId="70" xfId="0" applyNumberFormat="1" applyFont="1" applyFill="1" applyBorder="1" applyAlignment="1">
      <alignment horizontal="center" vertical="center" wrapText="1"/>
    </xf>
    <xf numFmtId="173" fontId="33" fillId="0" borderId="44" xfId="0" applyNumberFormat="1" applyFont="1" applyFill="1" applyBorder="1" applyAlignment="1">
      <alignment horizontal="center" vertical="center"/>
    </xf>
    <xf numFmtId="0" fontId="2" fillId="0" borderId="94" xfId="0" applyFont="1" applyFill="1" applyBorder="1"/>
    <xf numFmtId="173" fontId="33" fillId="0" borderId="94" xfId="0" applyNumberFormat="1" applyFont="1" applyFill="1" applyBorder="1" applyAlignment="1">
      <alignment horizontal="left" vertical="center" wrapText="1"/>
    </xf>
    <xf numFmtId="173" fontId="33" fillId="0" borderId="94" xfId="0" applyNumberFormat="1" applyFont="1" applyFill="1" applyBorder="1" applyAlignment="1">
      <alignment horizontal="center" vertical="center" wrapText="1"/>
    </xf>
    <xf numFmtId="173" fontId="34" fillId="0" borderId="94" xfId="0" applyNumberFormat="1" applyFont="1" applyFill="1" applyBorder="1" applyAlignment="1">
      <alignment vertical="center" wrapText="1"/>
    </xf>
    <xf numFmtId="0" fontId="0" fillId="0" borderId="0" xfId="0" applyFill="1"/>
    <xf numFmtId="180" fontId="36" fillId="35" borderId="44" xfId="0" applyNumberFormat="1" applyFont="1" applyFill="1" applyBorder="1" applyAlignment="1">
      <alignment vertical="center"/>
    </xf>
    <xf numFmtId="10" fontId="21" fillId="0" borderId="44"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4" fillId="0" borderId="5" xfId="0" applyFont="1" applyBorder="1"/>
    <xf numFmtId="0" fontId="4" fillId="0" borderId="6" xfId="0" applyFont="1" applyBorder="1"/>
    <xf numFmtId="0" fontId="9" fillId="12" borderId="148" xfId="2832" applyFont="1" applyFill="1" applyBorder="1" applyAlignment="1">
      <alignment horizontal="center" vertical="center" wrapText="1"/>
    </xf>
    <xf numFmtId="0" fontId="9" fillId="12" borderId="139" xfId="2832" applyFont="1" applyFill="1" applyBorder="1" applyAlignment="1">
      <alignment horizontal="center" vertical="center" wrapText="1"/>
    </xf>
    <xf numFmtId="0" fontId="9" fillId="12" borderId="151" xfId="2832" applyFont="1" applyFill="1" applyBorder="1" applyAlignment="1">
      <alignment horizontal="center" vertical="center" wrapText="1"/>
    </xf>
    <xf numFmtId="0" fontId="8" fillId="29" borderId="163" xfId="2832" applyFont="1" applyFill="1" applyBorder="1" applyAlignment="1">
      <alignment horizontal="center" vertical="center"/>
    </xf>
    <xf numFmtId="0" fontId="8" fillId="29" borderId="164" xfId="2832" applyFont="1" applyFill="1" applyBorder="1" applyAlignment="1">
      <alignment horizontal="center" vertical="center"/>
    </xf>
    <xf numFmtId="0" fontId="9" fillId="12" borderId="144" xfId="2832" applyFont="1" applyFill="1" applyBorder="1" applyAlignment="1">
      <alignment horizontal="center" vertical="center" wrapText="1"/>
    </xf>
    <xf numFmtId="0" fontId="9" fillId="12" borderId="134" xfId="2832" applyFont="1" applyFill="1" applyBorder="1" applyAlignment="1">
      <alignment horizontal="center" vertical="center" wrapText="1"/>
    </xf>
    <xf numFmtId="0" fontId="9" fillId="12" borderId="143" xfId="2832" applyFont="1" applyFill="1" applyBorder="1" applyAlignment="1">
      <alignment horizontal="center" vertical="center" wrapText="1"/>
    </xf>
    <xf numFmtId="0" fontId="9" fillId="29" borderId="166" xfId="2832" applyFont="1" applyFill="1" applyBorder="1" applyAlignment="1">
      <alignment horizontal="center" vertical="center" wrapText="1"/>
    </xf>
    <xf numFmtId="0" fontId="9" fillId="29" borderId="172" xfId="2832" applyFont="1" applyFill="1" applyBorder="1" applyAlignment="1">
      <alignment horizontal="center" vertical="center" wrapText="1"/>
    </xf>
    <xf numFmtId="0" fontId="7" fillId="31" borderId="166" xfId="2832" applyFont="1" applyFill="1" applyBorder="1" applyAlignment="1">
      <alignment horizontal="center" vertical="center" wrapText="1"/>
    </xf>
    <xf numFmtId="0" fontId="7" fillId="31" borderId="172" xfId="2832" applyFont="1" applyFill="1" applyBorder="1" applyAlignment="1">
      <alignment horizontal="center" vertical="center" wrapText="1"/>
    </xf>
    <xf numFmtId="0" fontId="8" fillId="12" borderId="163" xfId="2832" applyFont="1" applyFill="1" applyBorder="1" applyAlignment="1">
      <alignment horizontal="center" vertical="center" wrapText="1"/>
    </xf>
    <xf numFmtId="0" fontId="8" fillId="12" borderId="164" xfId="2832" applyFont="1" applyFill="1" applyBorder="1" applyAlignment="1">
      <alignment horizontal="center" vertical="center" wrapText="1"/>
    </xf>
    <xf numFmtId="0" fontId="8" fillId="12" borderId="165" xfId="2832" applyFont="1" applyFill="1" applyBorder="1" applyAlignment="1">
      <alignment horizontal="center" vertical="center" wrapText="1"/>
    </xf>
    <xf numFmtId="0" fontId="7" fillId="27" borderId="166" xfId="2832" applyFont="1" applyFill="1" applyBorder="1" applyAlignment="1">
      <alignment horizontal="center" vertical="center" wrapText="1"/>
    </xf>
    <xf numFmtId="0" fontId="7" fillId="27" borderId="172" xfId="2832" applyFont="1" applyFill="1" applyBorder="1" applyAlignment="1">
      <alignment horizontal="center" vertical="center" wrapText="1"/>
    </xf>
    <xf numFmtId="0" fontId="63" fillId="2" borderId="4" xfId="0" applyFont="1" applyFill="1" applyBorder="1" applyAlignment="1">
      <alignment horizontal="center" vertical="center" wrapText="1"/>
    </xf>
    <xf numFmtId="0" fontId="4" fillId="0" borderId="58" xfId="0" applyFont="1" applyBorder="1"/>
    <xf numFmtId="0" fontId="20" fillId="2" borderId="8" xfId="0" applyFont="1" applyFill="1" applyBorder="1" applyAlignment="1">
      <alignment horizontal="center" vertical="center" wrapText="1"/>
    </xf>
    <xf numFmtId="0" fontId="2" fillId="0" borderId="9" xfId="0" applyFont="1" applyBorder="1"/>
    <xf numFmtId="0" fontId="2" fillId="0" borderId="117" xfId="0" applyFont="1" applyBorder="1"/>
    <xf numFmtId="0" fontId="2" fillId="0" borderId="10" xfId="0" applyFont="1" applyBorder="1"/>
    <xf numFmtId="0" fontId="6" fillId="0" borderId="13" xfId="0" applyFont="1" applyBorder="1" applyAlignment="1">
      <alignment vertical="center" wrapText="1"/>
    </xf>
    <xf numFmtId="0" fontId="4" fillId="0" borderId="14" xfId="0" applyFont="1" applyBorder="1"/>
    <xf numFmtId="0" fontId="4" fillId="0" borderId="64" xfId="0" applyFont="1" applyBorder="1"/>
    <xf numFmtId="0" fontId="4" fillId="0" borderId="15" xfId="0" applyFont="1" applyBorder="1"/>
    <xf numFmtId="0" fontId="6" fillId="0" borderId="16" xfId="0" applyFont="1" applyBorder="1" applyAlignment="1">
      <alignment horizontal="left" vertical="center" wrapText="1"/>
    </xf>
    <xf numFmtId="0" fontId="4" fillId="0" borderId="17" xfId="0" applyFont="1" applyBorder="1"/>
    <xf numFmtId="0" fontId="4" fillId="0" borderId="18" xfId="0" applyFont="1" applyBorder="1"/>
    <xf numFmtId="0" fontId="3" fillId="0" borderId="2" xfId="0" applyFont="1" applyBorder="1" applyAlignment="1">
      <alignment horizontal="center"/>
    </xf>
    <xf numFmtId="0" fontId="4" fillId="0" borderId="3" xfId="0" applyFont="1" applyBorder="1"/>
    <xf numFmtId="0" fontId="4" fillId="0" borderId="7" xfId="0" applyFont="1" applyBorder="1"/>
    <xf numFmtId="0" fontId="0" fillId="0" borderId="0" xfId="0"/>
    <xf numFmtId="0" fontId="4" fillId="0" borderId="11" xfId="0" applyFont="1" applyBorder="1"/>
    <xf numFmtId="0" fontId="4" fillId="0" borderId="12" xfId="0" applyFont="1" applyBorder="1"/>
    <xf numFmtId="0" fontId="11" fillId="0" borderId="150" xfId="0" applyFont="1" applyFill="1" applyBorder="1" applyAlignment="1">
      <alignment horizontal="center" vertical="center" wrapText="1"/>
    </xf>
    <xf numFmtId="0" fontId="4" fillId="0" borderId="138" xfId="0" applyFont="1" applyFill="1" applyBorder="1"/>
    <xf numFmtId="0" fontId="4" fillId="0" borderId="140" xfId="0" applyFont="1" applyFill="1" applyBorder="1"/>
    <xf numFmtId="0" fontId="11" fillId="0" borderId="144" xfId="0" applyFont="1" applyFill="1" applyBorder="1" applyAlignment="1">
      <alignment horizontal="center" vertical="center" wrapText="1"/>
    </xf>
    <xf numFmtId="0" fontId="4" fillId="0" borderId="134" xfId="0" applyFont="1" applyFill="1" applyBorder="1"/>
    <xf numFmtId="0" fontId="4" fillId="0" borderId="141" xfId="0" applyFont="1" applyFill="1" applyBorder="1"/>
    <xf numFmtId="0" fontId="7" fillId="0" borderId="13" xfId="0" applyFont="1" applyBorder="1" applyAlignment="1">
      <alignment horizontal="left" vertical="center" wrapText="1"/>
    </xf>
    <xf numFmtId="0" fontId="7" fillId="0" borderId="11" xfId="0" applyFont="1" applyBorder="1" applyAlignment="1">
      <alignment horizontal="left" vertical="center" wrapText="1"/>
    </xf>
    <xf numFmtId="0" fontId="4" fillId="0" borderId="98" xfId="0" applyFont="1" applyBorder="1"/>
    <xf numFmtId="0" fontId="4" fillId="0" borderId="19" xfId="0" applyFont="1" applyBorder="1"/>
    <xf numFmtId="0" fontId="9" fillId="12" borderId="157" xfId="2832" applyFont="1" applyFill="1" applyBorder="1" applyAlignment="1">
      <alignment horizontal="center" vertical="center" wrapText="1"/>
    </xf>
    <xf numFmtId="0" fontId="9" fillId="12" borderId="146" xfId="2832" applyFont="1" applyFill="1" applyBorder="1" applyAlignment="1">
      <alignment horizontal="center" vertical="center" wrapText="1"/>
    </xf>
    <xf numFmtId="0" fontId="9" fillId="12" borderId="169" xfId="2832" applyFont="1" applyFill="1" applyBorder="1" applyAlignment="1">
      <alignment horizontal="center" vertical="center" wrapText="1"/>
    </xf>
    <xf numFmtId="0" fontId="8" fillId="29" borderId="165" xfId="2832" applyFont="1" applyFill="1" applyBorder="1" applyAlignment="1">
      <alignment horizontal="center" vertical="center"/>
    </xf>
    <xf numFmtId="0" fontId="11" fillId="0" borderId="134" xfId="0" applyFont="1" applyFill="1" applyBorder="1" applyAlignment="1">
      <alignment horizontal="center" vertical="top" wrapText="1"/>
    </xf>
    <xf numFmtId="0" fontId="11" fillId="0" borderId="134" xfId="0" applyFont="1" applyFill="1" applyBorder="1" applyAlignment="1">
      <alignment horizontal="center" vertical="center"/>
    </xf>
    <xf numFmtId="0" fontId="17" fillId="8" borderId="45" xfId="0" applyFont="1" applyFill="1" applyBorder="1" applyAlignment="1">
      <alignment horizontal="center" vertical="center"/>
    </xf>
    <xf numFmtId="0" fontId="4" fillId="0" borderId="9" xfId="0" applyFont="1" applyBorder="1"/>
    <xf numFmtId="0" fontId="4" fillId="0" borderId="56" xfId="0" applyFont="1" applyBorder="1"/>
    <xf numFmtId="0" fontId="17" fillId="8" borderId="45" xfId="0" applyFont="1" applyFill="1" applyBorder="1" applyAlignment="1">
      <alignment horizontal="center" vertical="center" wrapText="1"/>
    </xf>
    <xf numFmtId="0" fontId="2" fillId="0" borderId="45" xfId="0" applyFont="1" applyBorder="1" applyAlignment="1">
      <alignment horizontal="left" vertical="center" wrapText="1"/>
    </xf>
    <xf numFmtId="0" fontId="2" fillId="0" borderId="45" xfId="0" applyFont="1" applyBorder="1" applyAlignment="1">
      <alignment horizontal="left" vertical="center"/>
    </xf>
    <xf numFmtId="171" fontId="25" fillId="12" borderId="173" xfId="0" applyNumberFormat="1" applyFont="1" applyFill="1" applyBorder="1" applyAlignment="1">
      <alignment horizontal="center"/>
    </xf>
    <xf numFmtId="171" fontId="25" fillId="12" borderId="94" xfId="0" applyNumberFormat="1" applyFont="1" applyFill="1" applyBorder="1" applyAlignment="1">
      <alignment horizontal="center"/>
    </xf>
    <xf numFmtId="171" fontId="25" fillId="12" borderId="147" xfId="0" applyNumberFormat="1" applyFont="1" applyFill="1" applyBorder="1" applyAlignment="1">
      <alignment horizontal="center"/>
    </xf>
    <xf numFmtId="171" fontId="25" fillId="12" borderId="160" xfId="0" applyNumberFormat="1" applyFont="1" applyFill="1" applyBorder="1" applyAlignment="1">
      <alignment horizontal="center"/>
    </xf>
    <xf numFmtId="171" fontId="25" fillId="12" borderId="161" xfId="0" applyNumberFormat="1" applyFont="1" applyFill="1" applyBorder="1" applyAlignment="1">
      <alignment horizontal="center"/>
    </xf>
    <xf numFmtId="171" fontId="25" fillId="12" borderId="162" xfId="0" applyNumberFormat="1" applyFont="1" applyFill="1" applyBorder="1" applyAlignment="1">
      <alignment horizontal="center"/>
    </xf>
    <xf numFmtId="0" fontId="9" fillId="12" borderId="141" xfId="2832" applyFont="1" applyFill="1" applyBorder="1" applyAlignment="1">
      <alignment horizontal="center" vertical="center" wrapText="1"/>
    </xf>
    <xf numFmtId="0" fontId="9" fillId="12" borderId="142" xfId="2832" applyFont="1" applyFill="1" applyBorder="1" applyAlignment="1">
      <alignment horizontal="center" vertical="center" wrapText="1"/>
    </xf>
    <xf numFmtId="0" fontId="8" fillId="12" borderId="135" xfId="2832" applyFont="1" applyFill="1" applyBorder="1" applyAlignment="1">
      <alignment horizontal="center" vertical="center" wrapText="1"/>
    </xf>
    <xf numFmtId="0" fontId="8" fillId="12" borderId="136" xfId="2832" applyFont="1" applyFill="1" applyBorder="1" applyAlignment="1">
      <alignment horizontal="center" vertical="center" wrapText="1"/>
    </xf>
    <xf numFmtId="0" fontId="8" fillId="12" borderId="137" xfId="2832" applyFont="1" applyFill="1" applyBorder="1" applyAlignment="1">
      <alignment horizontal="center" vertical="center" wrapText="1"/>
    </xf>
    <xf numFmtId="0" fontId="8" fillId="12" borderId="154" xfId="2832" applyFont="1" applyFill="1" applyBorder="1" applyAlignment="1">
      <alignment horizontal="center" vertical="center" wrapText="1"/>
    </xf>
    <xf numFmtId="0" fontId="8" fillId="12" borderId="155" xfId="2832" applyFont="1" applyFill="1" applyBorder="1" applyAlignment="1">
      <alignment horizontal="center" vertical="center" wrapText="1"/>
    </xf>
    <xf numFmtId="0" fontId="8" fillId="12" borderId="158" xfId="2832" applyFont="1" applyFill="1" applyBorder="1" applyAlignment="1">
      <alignment horizontal="center" vertical="center" wrapText="1"/>
    </xf>
    <xf numFmtId="0" fontId="8" fillId="12" borderId="136" xfId="2832" applyFont="1" applyFill="1" applyBorder="1" applyAlignment="1">
      <alignment horizontal="center" vertical="center"/>
    </xf>
    <xf numFmtId="0" fontId="8" fillId="12" borderId="164" xfId="2832" applyFont="1" applyFill="1" applyBorder="1" applyAlignment="1">
      <alignment horizontal="center" vertical="center"/>
    </xf>
    <xf numFmtId="0" fontId="7" fillId="27" borderId="176" xfId="2832" applyFont="1" applyFill="1" applyBorder="1" applyAlignment="1">
      <alignment horizontal="center" vertical="center" wrapText="1"/>
    </xf>
    <xf numFmtId="0" fontId="7" fillId="29" borderId="166" xfId="2832" applyFont="1" applyFill="1" applyBorder="1" applyAlignment="1">
      <alignment horizontal="center" vertical="center" wrapText="1"/>
    </xf>
    <xf numFmtId="0" fontId="7" fillId="29" borderId="172" xfId="2832" applyFont="1" applyFill="1" applyBorder="1" applyAlignment="1">
      <alignment horizontal="center" vertical="center" wrapText="1"/>
    </xf>
    <xf numFmtId="0" fontId="7" fillId="29" borderId="176" xfId="2832" applyFont="1" applyFill="1" applyBorder="1" applyAlignment="1">
      <alignment horizontal="center" vertical="center" wrapText="1"/>
    </xf>
    <xf numFmtId="0" fontId="7" fillId="31" borderId="176" xfId="2832" applyFont="1" applyFill="1" applyBorder="1" applyAlignment="1">
      <alignment horizontal="center" vertical="center" wrapText="1"/>
    </xf>
    <xf numFmtId="0" fontId="8" fillId="29" borderId="135" xfId="2832" applyFont="1" applyFill="1" applyBorder="1" applyAlignment="1">
      <alignment horizontal="center" vertical="center" wrapText="1"/>
    </xf>
    <xf numFmtId="0" fontId="8" fillId="29" borderId="153" xfId="2832" applyFont="1" applyFill="1" applyBorder="1" applyAlignment="1">
      <alignment horizontal="center" vertical="center" wrapText="1"/>
    </xf>
    <xf numFmtId="0" fontId="8" fillId="29" borderId="154" xfId="2832" applyFont="1" applyFill="1" applyBorder="1" applyAlignment="1">
      <alignment horizontal="center" vertical="center" wrapText="1"/>
    </xf>
    <xf numFmtId="0" fontId="9" fillId="12" borderId="150" xfId="2832" applyFont="1" applyFill="1" applyBorder="1" applyAlignment="1">
      <alignment horizontal="center" vertical="center" wrapText="1"/>
    </xf>
    <xf numFmtId="0" fontId="9" fillId="12" borderId="138" xfId="2832" applyFont="1" applyFill="1" applyBorder="1" applyAlignment="1">
      <alignment horizontal="center" vertical="center" wrapText="1"/>
    </xf>
    <xf numFmtId="0" fontId="9" fillId="12" borderId="140" xfId="2832" applyFont="1" applyFill="1" applyBorder="1" applyAlignment="1">
      <alignment horizontal="center" vertical="center" wrapText="1"/>
    </xf>
    <xf numFmtId="0" fontId="89" fillId="29" borderId="170" xfId="2832" applyFont="1" applyFill="1" applyBorder="1" applyAlignment="1">
      <alignment horizontal="center" vertical="center"/>
    </xf>
    <xf numFmtId="0" fontId="89" fillId="29" borderId="161" xfId="2832" applyFont="1" applyFill="1" applyBorder="1" applyAlignment="1">
      <alignment horizontal="center" vertical="center"/>
    </xf>
    <xf numFmtId="0" fontId="24" fillId="0" borderId="134" xfId="0" applyFont="1" applyFill="1" applyBorder="1" applyAlignment="1">
      <alignment horizontal="center" vertical="center" wrapText="1"/>
    </xf>
    <xf numFmtId="0" fontId="23" fillId="0" borderId="134" xfId="0" applyFont="1" applyFill="1" applyBorder="1" applyAlignment="1">
      <alignment horizontal="center" vertical="center" wrapText="1"/>
    </xf>
    <xf numFmtId="0" fontId="8" fillId="29" borderId="159" xfId="2832" applyFont="1" applyFill="1" applyBorder="1" applyAlignment="1">
      <alignment horizontal="center" vertical="center"/>
    </xf>
    <xf numFmtId="0" fontId="8" fillId="29" borderId="162" xfId="2832" applyFont="1" applyFill="1" applyBorder="1" applyAlignment="1">
      <alignment horizontal="center" vertical="center"/>
    </xf>
    <xf numFmtId="0" fontId="8" fillId="29" borderId="145" xfId="2832" applyFont="1" applyFill="1" applyBorder="1" applyAlignment="1">
      <alignment horizontal="center" vertical="center"/>
    </xf>
    <xf numFmtId="0" fontId="7" fillId="2" borderId="13" xfId="0" applyFont="1" applyFill="1" applyBorder="1" applyAlignment="1">
      <alignment horizontal="center" vertical="center" wrapText="1"/>
    </xf>
    <xf numFmtId="0" fontId="2" fillId="0" borderId="2" xfId="0" applyFont="1" applyBorder="1" applyAlignment="1">
      <alignment horizontal="center"/>
    </xf>
    <xf numFmtId="0" fontId="4" fillId="0" borderId="57" xfId="0" applyFont="1" applyBorder="1"/>
    <xf numFmtId="0" fontId="4" fillId="0" borderId="60" xfId="0" applyFont="1" applyBorder="1"/>
    <xf numFmtId="0" fontId="5" fillId="2" borderId="58" xfId="0" applyFont="1" applyFill="1" applyBorder="1" applyAlignment="1">
      <alignment horizontal="center" vertical="center" wrapText="1"/>
    </xf>
    <xf numFmtId="0" fontId="4" fillId="0" borderId="59" xfId="0" applyFont="1" applyBorder="1"/>
    <xf numFmtId="0" fontId="20" fillId="2" borderId="61" xfId="0" applyFont="1" applyFill="1" applyBorder="1" applyAlignment="1">
      <alignment horizontal="center" vertical="center" wrapText="1"/>
    </xf>
    <xf numFmtId="0" fontId="4" fillId="0" borderId="62" xfId="0" applyFont="1" applyBorder="1"/>
    <xf numFmtId="0" fontId="4" fillId="0" borderId="63" xfId="0" applyFont="1" applyBorder="1"/>
    <xf numFmtId="0" fontId="6" fillId="0" borderId="13" xfId="0" applyFont="1" applyBorder="1" applyAlignment="1">
      <alignment horizontal="left" vertical="center"/>
    </xf>
    <xf numFmtId="0" fontId="4" fillId="0" borderId="20" xfId="0" applyFont="1" applyBorder="1"/>
    <xf numFmtId="0" fontId="6" fillId="0" borderId="64" xfId="0" applyFont="1" applyBorder="1" applyAlignment="1">
      <alignment horizontal="left" vertical="center"/>
    </xf>
    <xf numFmtId="0" fontId="23" fillId="0" borderId="134" xfId="0" applyFont="1" applyFill="1" applyBorder="1" applyAlignment="1">
      <alignment horizontal="left" vertical="top" wrapText="1"/>
    </xf>
    <xf numFmtId="0" fontId="62" fillId="0" borderId="134" xfId="0" applyFont="1" applyFill="1" applyBorder="1"/>
    <xf numFmtId="0" fontId="62" fillId="0" borderId="146" xfId="0" applyFont="1" applyFill="1" applyBorder="1"/>
    <xf numFmtId="0" fontId="24" fillId="0" borderId="134" xfId="0" applyFont="1" applyFill="1" applyBorder="1" applyAlignment="1">
      <alignment horizontal="center" vertical="top" wrapText="1"/>
    </xf>
    <xf numFmtId="0" fontId="23" fillId="0" borderId="35" xfId="0" applyFont="1" applyBorder="1" applyAlignment="1">
      <alignment horizontal="center" vertical="center" wrapText="1"/>
    </xf>
    <xf numFmtId="0" fontId="4" fillId="0" borderId="41" xfId="0" applyFont="1" applyBorder="1"/>
    <xf numFmtId="0" fontId="4" fillId="0" borderId="52" xfId="0" applyFont="1" applyBorder="1"/>
    <xf numFmtId="0" fontId="23" fillId="0" borderId="65" xfId="0" applyFont="1" applyBorder="1" applyAlignment="1">
      <alignment horizontal="center" vertical="center" wrapText="1"/>
    </xf>
    <xf numFmtId="0" fontId="4" fillId="0" borderId="68" xfId="0" applyFont="1" applyBorder="1"/>
    <xf numFmtId="0" fontId="25" fillId="0" borderId="134" xfId="0" applyFont="1" applyFill="1" applyBorder="1" applyAlignment="1">
      <alignment horizontal="center" vertical="center" wrapText="1"/>
    </xf>
    <xf numFmtId="3" fontId="23" fillId="0" borderId="24" xfId="0" applyNumberFormat="1" applyFont="1" applyBorder="1" applyAlignment="1">
      <alignment horizontal="center" vertical="center" wrapText="1"/>
    </xf>
    <xf numFmtId="0" fontId="4" fillId="0" borderId="28" xfId="0" applyFont="1" applyBorder="1"/>
    <xf numFmtId="0" fontId="4" fillId="0" borderId="74" xfId="0" applyFont="1" applyBorder="1"/>
    <xf numFmtId="0" fontId="23" fillId="0" borderId="22" xfId="0" applyFont="1" applyBorder="1" applyAlignment="1">
      <alignment horizontal="center" vertical="center" wrapText="1"/>
    </xf>
    <xf numFmtId="0" fontId="4" fillId="0" borderId="26" xfId="0" applyFont="1" applyBorder="1"/>
    <xf numFmtId="0" fontId="4" fillId="0" borderId="51" xfId="0" applyFont="1" applyBorder="1"/>
    <xf numFmtId="0" fontId="23" fillId="0" borderId="24" xfId="0" applyFont="1" applyBorder="1" applyAlignment="1">
      <alignment horizontal="left" vertical="center" wrapText="1"/>
    </xf>
    <xf numFmtId="0" fontId="23" fillId="0" borderId="24" xfId="0" applyFont="1" applyBorder="1" applyAlignment="1">
      <alignment horizontal="center" vertical="center" wrapText="1"/>
    </xf>
    <xf numFmtId="171" fontId="23" fillId="2" borderId="2" xfId="0" applyNumberFormat="1" applyFont="1" applyFill="1" applyBorder="1" applyAlignment="1">
      <alignment horizontal="center" vertical="center" wrapText="1"/>
    </xf>
    <xf numFmtId="0" fontId="17" fillId="0" borderId="83" xfId="0" applyFont="1" applyBorder="1" applyAlignment="1">
      <alignment horizontal="left"/>
    </xf>
    <xf numFmtId="0" fontId="4" fillId="0" borderId="84" xfId="0" applyFont="1" applyBorder="1"/>
    <xf numFmtId="0" fontId="4" fillId="0" borderId="85" xfId="0" applyFont="1" applyBorder="1"/>
    <xf numFmtId="0" fontId="26" fillId="0" borderId="22" xfId="0" applyFont="1" applyBorder="1" applyAlignment="1">
      <alignment horizontal="center" vertical="center" wrapText="1"/>
    </xf>
    <xf numFmtId="0" fontId="30" fillId="0" borderId="92" xfId="0" applyFont="1" applyFill="1" applyBorder="1" applyAlignment="1">
      <alignment vertical="top" wrapText="1"/>
    </xf>
    <xf numFmtId="0" fontId="62" fillId="0" borderId="93" xfId="0" applyFont="1" applyFill="1" applyBorder="1"/>
    <xf numFmtId="10" fontId="37" fillId="0" borderId="43" xfId="0" applyNumberFormat="1" applyFont="1" applyFill="1" applyBorder="1" applyAlignment="1">
      <alignment horizontal="center" vertical="center" wrapText="1"/>
    </xf>
    <xf numFmtId="0" fontId="4" fillId="0" borderId="49" xfId="0" applyFont="1" applyFill="1" applyBorder="1"/>
    <xf numFmtId="10" fontId="37" fillId="0" borderId="95" xfId="0" applyNumberFormat="1" applyFont="1" applyFill="1" applyBorder="1" applyAlignment="1">
      <alignment horizontal="center" vertical="center" wrapText="1"/>
    </xf>
    <xf numFmtId="0" fontId="4" fillId="0" borderId="96" xfId="0" applyFont="1" applyFill="1" applyBorder="1"/>
    <xf numFmtId="0" fontId="60" fillId="0" borderId="92" xfId="0" applyFont="1" applyFill="1" applyBorder="1" applyAlignment="1">
      <alignment vertical="top" wrapText="1"/>
    </xf>
    <xf numFmtId="0" fontId="30" fillId="0" borderId="43" xfId="0" applyFont="1" applyFill="1" applyBorder="1" applyAlignment="1">
      <alignment vertical="top" wrapText="1"/>
    </xf>
    <xf numFmtId="0" fontId="62" fillId="0" borderId="49" xfId="0" applyFont="1" applyFill="1" applyBorder="1"/>
    <xf numFmtId="0" fontId="21" fillId="0" borderId="43" xfId="0" applyFont="1" applyFill="1" applyBorder="1" applyAlignment="1">
      <alignment horizontal="left" vertical="top" wrapText="1"/>
    </xf>
    <xf numFmtId="0" fontId="35" fillId="0" borderId="43" xfId="0" applyFont="1" applyFill="1" applyBorder="1" applyAlignment="1">
      <alignment horizontal="center" vertical="center" wrapText="1"/>
    </xf>
    <xf numFmtId="0" fontId="7" fillId="0" borderId="13" xfId="0" applyFont="1" applyBorder="1" applyAlignment="1">
      <alignment horizontal="center" vertical="center" wrapText="1"/>
    </xf>
    <xf numFmtId="0" fontId="34" fillId="2" borderId="67" xfId="0" applyFont="1" applyFill="1" applyBorder="1" applyAlignment="1">
      <alignment horizontal="center" vertical="center" wrapText="1"/>
    </xf>
    <xf numFmtId="0" fontId="4" fillId="0" borderId="71" xfId="0" applyFont="1" applyBorder="1"/>
    <xf numFmtId="0" fontId="21" fillId="0" borderId="42" xfId="0" applyFont="1" applyFill="1" applyBorder="1" applyAlignment="1">
      <alignment horizontal="center" vertical="center" wrapText="1"/>
    </xf>
    <xf numFmtId="0" fontId="4" fillId="0" borderId="26" xfId="0" applyFont="1" applyFill="1" applyBorder="1"/>
    <xf numFmtId="0" fontId="4" fillId="0" borderId="48" xfId="0" applyFont="1" applyFill="1" applyBorder="1"/>
    <xf numFmtId="10" fontId="9" fillId="0" borderId="43" xfId="0" applyNumberFormat="1" applyFont="1" applyFill="1" applyBorder="1" applyAlignment="1">
      <alignment horizontal="center" vertical="center" wrapText="1"/>
    </xf>
    <xf numFmtId="0" fontId="4" fillId="0" borderId="28" xfId="0" applyFont="1" applyFill="1" applyBorder="1"/>
    <xf numFmtId="0" fontId="34" fillId="2" borderId="24" xfId="0" applyFont="1" applyFill="1" applyBorder="1" applyAlignment="1">
      <alignment horizontal="center" vertical="center" wrapText="1"/>
    </xf>
    <xf numFmtId="0" fontId="7" fillId="2" borderId="86" xfId="0" applyFont="1" applyFill="1" applyBorder="1" applyAlignment="1">
      <alignment horizontal="left" vertical="center" wrapText="1"/>
    </xf>
    <xf numFmtId="0" fontId="21" fillId="0" borderId="43" xfId="0" applyFont="1" applyFill="1" applyBorder="1" applyAlignment="1">
      <alignment horizontal="left" vertical="center" wrapText="1"/>
    </xf>
    <xf numFmtId="0" fontId="38" fillId="0" borderId="43" xfId="0" applyFont="1" applyFill="1" applyBorder="1" applyAlignment="1">
      <alignment vertical="top" wrapText="1"/>
    </xf>
    <xf numFmtId="0" fontId="34" fillId="0" borderId="43" xfId="0" applyFont="1" applyFill="1" applyBorder="1" applyAlignment="1">
      <alignment horizontal="center" vertical="center"/>
    </xf>
    <xf numFmtId="0" fontId="34" fillId="2" borderId="97" xfId="0" applyFont="1" applyFill="1" applyBorder="1" applyAlignment="1">
      <alignment horizontal="center" vertical="center" wrapText="1"/>
    </xf>
    <xf numFmtId="0" fontId="4" fillId="0" borderId="99" xfId="0" applyFont="1" applyBorder="1"/>
    <xf numFmtId="0" fontId="21" fillId="0" borderId="43" xfId="0" applyFont="1" applyFill="1" applyBorder="1" applyAlignment="1">
      <alignment horizontal="center" vertical="center" wrapText="1"/>
    </xf>
    <xf numFmtId="0" fontId="4" fillId="0" borderId="34" xfId="0" applyFont="1" applyFill="1" applyBorder="1"/>
    <xf numFmtId="0" fontId="5" fillId="2" borderId="4" xfId="0" applyFont="1" applyFill="1" applyBorder="1" applyAlignment="1">
      <alignment horizontal="center" vertical="center" wrapText="1"/>
    </xf>
    <xf numFmtId="0" fontId="4" fillId="0" borderId="10" xfId="0" applyFont="1" applyBorder="1"/>
    <xf numFmtId="0" fontId="35" fillId="2" borderId="38" xfId="0" applyFont="1" applyFill="1" applyBorder="1" applyAlignment="1">
      <alignment horizontal="center" vertical="center" wrapText="1"/>
    </xf>
    <xf numFmtId="0" fontId="4" fillId="0" borderId="91" xfId="0" applyFont="1" applyBorder="1"/>
    <xf numFmtId="0" fontId="34" fillId="4" borderId="38" xfId="0" applyFont="1" applyFill="1" applyBorder="1" applyAlignment="1">
      <alignment horizontal="center" vertical="center" wrapText="1"/>
    </xf>
    <xf numFmtId="0" fontId="34" fillId="2" borderId="38" xfId="0" applyFont="1" applyFill="1" applyBorder="1" applyAlignment="1">
      <alignment horizontal="center" vertical="center" wrapText="1"/>
    </xf>
    <xf numFmtId="0" fontId="7" fillId="0" borderId="88" xfId="0" applyFont="1" applyBorder="1" applyAlignment="1">
      <alignment horizontal="left" vertical="center" wrapText="1"/>
    </xf>
    <xf numFmtId="0" fontId="4" fillId="0" borderId="89" xfId="0" applyFont="1" applyBorder="1"/>
    <xf numFmtId="0" fontId="4" fillId="0" borderId="90" xfId="0" applyFont="1" applyBorder="1"/>
    <xf numFmtId="0" fontId="6" fillId="0" borderId="86" xfId="0" applyFont="1" applyBorder="1" applyAlignment="1">
      <alignment horizontal="left" vertical="center" wrapText="1"/>
    </xf>
    <xf numFmtId="0" fontId="4" fillId="0" borderId="87" xfId="0" applyFont="1" applyBorder="1"/>
    <xf numFmtId="0" fontId="33" fillId="2" borderId="23" xfId="0" applyFont="1" applyFill="1" applyBorder="1" applyAlignment="1">
      <alignment horizontal="center" vertical="center" wrapText="1"/>
    </xf>
    <xf numFmtId="0" fontId="4" fillId="0" borderId="76" xfId="0" applyFont="1" applyBorder="1"/>
    <xf numFmtId="0" fontId="30" fillId="0" borderId="109" xfId="0" applyFont="1" applyFill="1" applyBorder="1" applyAlignment="1">
      <alignment vertical="top" wrapText="1"/>
    </xf>
    <xf numFmtId="0" fontId="2" fillId="0" borderId="125" xfId="0" applyFont="1" applyFill="1" applyBorder="1"/>
    <xf numFmtId="0" fontId="2" fillId="0" borderId="88" xfId="0" applyFont="1" applyBorder="1" applyAlignment="1">
      <alignment horizontal="center"/>
    </xf>
    <xf numFmtId="0" fontId="2" fillId="0" borderId="89" xfId="0" applyFont="1" applyBorder="1"/>
    <xf numFmtId="0" fontId="2" fillId="0" borderId="71" xfId="0" applyFont="1" applyBorder="1"/>
    <xf numFmtId="0" fontId="17" fillId="2" borderId="119" xfId="0" applyFont="1" applyFill="1" applyBorder="1" applyAlignment="1">
      <alignment horizontal="center" vertical="center"/>
    </xf>
    <xf numFmtId="0" fontId="2" fillId="0" borderId="56" xfId="0" applyFont="1" applyBorder="1"/>
    <xf numFmtId="0" fontId="10" fillId="2" borderId="111" xfId="0" applyFont="1" applyFill="1" applyBorder="1" applyAlignment="1">
      <alignment horizontal="center" vertical="center" wrapText="1"/>
    </xf>
    <xf numFmtId="0" fontId="2" fillId="0" borderId="66" xfId="0" applyFont="1" applyBorder="1"/>
    <xf numFmtId="0" fontId="2" fillId="0" borderId="102" xfId="0" applyFont="1" applyBorder="1"/>
    <xf numFmtId="0" fontId="9" fillId="9" borderId="88" xfId="0" applyFont="1" applyFill="1" applyBorder="1" applyAlignment="1">
      <alignment horizontal="left" vertical="center" wrapText="1"/>
    </xf>
    <xf numFmtId="0" fontId="2" fillId="0" borderId="90" xfId="0" applyFont="1" applyBorder="1"/>
    <xf numFmtId="0" fontId="9" fillId="9" borderId="88" xfId="0" applyFont="1" applyFill="1" applyBorder="1" applyAlignment="1">
      <alignment horizontal="left" vertical="center"/>
    </xf>
    <xf numFmtId="0" fontId="7" fillId="2" borderId="13" xfId="0" applyFont="1" applyFill="1" applyBorder="1" applyAlignment="1">
      <alignment horizontal="left" vertical="center"/>
    </xf>
    <xf numFmtId="0" fontId="2" fillId="0" borderId="64" xfId="0" applyFont="1" applyBorder="1"/>
    <xf numFmtId="0" fontId="2" fillId="0" borderId="15" xfId="0" applyFont="1" applyBorder="1"/>
    <xf numFmtId="0" fontId="7" fillId="0" borderId="64" xfId="0" applyFont="1" applyBorder="1" applyAlignment="1">
      <alignment horizontal="left" vertical="center"/>
    </xf>
    <xf numFmtId="0" fontId="7" fillId="2" borderId="13" xfId="0" applyFont="1" applyFill="1" applyBorder="1" applyAlignment="1">
      <alignment horizontal="left" vertical="center" wrapText="1"/>
    </xf>
    <xf numFmtId="0" fontId="7" fillId="0" borderId="64" xfId="0" applyFont="1" applyBorder="1" applyAlignment="1">
      <alignment horizontal="left" vertical="center" wrapText="1"/>
    </xf>
    <xf numFmtId="0" fontId="40" fillId="2" borderId="97" xfId="0" applyFont="1" applyFill="1" applyBorder="1" applyAlignment="1">
      <alignment horizontal="left" vertical="center" wrapText="1"/>
    </xf>
    <xf numFmtId="0" fontId="2" fillId="0" borderId="98" xfId="0" applyFont="1" applyBorder="1"/>
    <xf numFmtId="0" fontId="2" fillId="0" borderId="103" xfId="0" applyFont="1" applyBorder="1"/>
    <xf numFmtId="0" fontId="9" fillId="9" borderId="64" xfId="0" applyFont="1" applyFill="1" applyBorder="1" applyAlignment="1">
      <alignment horizontal="left" vertical="center" wrapText="1"/>
    </xf>
    <xf numFmtId="0" fontId="40" fillId="0" borderId="13" xfId="0" applyFont="1" applyBorder="1" applyAlignment="1">
      <alignment horizontal="center" vertical="center" wrapText="1"/>
    </xf>
    <xf numFmtId="0" fontId="34" fillId="2" borderId="13" xfId="0" applyFont="1" applyFill="1" applyBorder="1" applyAlignment="1">
      <alignment horizontal="center" vertical="center" wrapText="1"/>
    </xf>
    <xf numFmtId="0" fontId="34" fillId="34" borderId="58" xfId="0" applyFont="1" applyFill="1" applyBorder="1" applyAlignment="1">
      <alignment horizontal="center" vertical="center" wrapText="1"/>
    </xf>
    <xf numFmtId="0" fontId="2" fillId="29" borderId="58" xfId="0" applyFont="1" applyFill="1" applyBorder="1"/>
    <xf numFmtId="0" fontId="2" fillId="29" borderId="59" xfId="0" applyFont="1" applyFill="1" applyBorder="1"/>
    <xf numFmtId="0" fontId="34" fillId="34" borderId="78" xfId="0" applyFont="1" applyFill="1" applyBorder="1" applyAlignment="1">
      <alignment horizontal="center" vertical="center" wrapText="1"/>
    </xf>
    <xf numFmtId="0" fontId="34" fillId="2" borderId="81" xfId="0" applyFont="1" applyFill="1" applyBorder="1" applyAlignment="1">
      <alignment horizontal="center" vertical="center" wrapText="1"/>
    </xf>
    <xf numFmtId="0" fontId="2" fillId="0" borderId="105" xfId="0" applyFont="1" applyBorder="1"/>
    <xf numFmtId="0" fontId="2" fillId="0" borderId="104" xfId="0" applyFont="1" applyBorder="1"/>
    <xf numFmtId="0" fontId="34" fillId="2" borderId="105" xfId="0" applyFont="1" applyFill="1" applyBorder="1" applyAlignment="1">
      <alignment horizontal="center" vertical="center" wrapText="1"/>
    </xf>
    <xf numFmtId="0" fontId="34" fillId="2" borderId="124" xfId="0" applyFont="1" applyFill="1" applyBorder="1" applyAlignment="1">
      <alignment horizontal="center" vertical="center" wrapText="1"/>
    </xf>
    <xf numFmtId="0" fontId="2" fillId="0" borderId="58" xfId="0" applyFont="1" applyBorder="1"/>
    <xf numFmtId="0" fontId="2" fillId="0" borderId="91" xfId="0" applyFont="1" applyBorder="1"/>
    <xf numFmtId="0" fontId="34" fillId="2" borderId="106" xfId="0" applyFont="1" applyFill="1" applyBorder="1" applyAlignment="1">
      <alignment horizontal="center" vertical="center" wrapText="1"/>
    </xf>
    <xf numFmtId="0" fontId="2" fillId="0" borderId="106" xfId="0" applyFont="1" applyBorder="1"/>
    <xf numFmtId="3" fontId="30" fillId="0" borderId="77" xfId="0" applyNumberFormat="1" applyFont="1" applyFill="1" applyBorder="1" applyAlignment="1">
      <alignment horizontal="center" vertical="center"/>
    </xf>
    <xf numFmtId="0" fontId="2" fillId="0" borderId="34" xfId="0" applyFont="1" applyFill="1" applyBorder="1"/>
    <xf numFmtId="0" fontId="2" fillId="0" borderId="70" xfId="0" applyFont="1" applyFill="1" applyBorder="1"/>
    <xf numFmtId="0" fontId="30" fillId="0" borderId="77" xfId="0" applyFont="1" applyFill="1" applyBorder="1" applyAlignment="1">
      <alignment horizontal="center" vertical="center" wrapText="1"/>
    </xf>
    <xf numFmtId="0" fontId="30" fillId="0" borderId="77" xfId="0" applyFont="1" applyFill="1" applyBorder="1" applyAlignment="1">
      <alignment vertical="center" wrapText="1"/>
    </xf>
    <xf numFmtId="3" fontId="30" fillId="0" borderId="77" xfId="0" applyNumberFormat="1" applyFont="1" applyFill="1" applyBorder="1" applyAlignment="1">
      <alignment horizontal="center" vertical="top" wrapText="1"/>
    </xf>
    <xf numFmtId="0" fontId="33" fillId="0" borderId="77" xfId="0" applyFont="1" applyFill="1" applyBorder="1" applyAlignment="1">
      <alignment vertical="center" wrapText="1"/>
    </xf>
    <xf numFmtId="0" fontId="2" fillId="0" borderId="77" xfId="0" applyFont="1" applyFill="1" applyBorder="1" applyAlignment="1">
      <alignment horizontal="center"/>
    </xf>
    <xf numFmtId="49" fontId="30" fillId="0" borderId="77" xfId="0" applyNumberFormat="1" applyFont="1" applyFill="1" applyBorder="1" applyAlignment="1">
      <alignment horizontal="center" vertical="top" wrapText="1"/>
    </xf>
    <xf numFmtId="0" fontId="30" fillId="0" borderId="77" xfId="0" applyFont="1" applyFill="1" applyBorder="1" applyAlignment="1">
      <alignment vertical="top" wrapText="1"/>
    </xf>
    <xf numFmtId="0" fontId="30" fillId="0" borderId="77" xfId="0" applyFont="1" applyFill="1" applyBorder="1" applyAlignment="1">
      <alignment horizontal="center" vertical="top" wrapText="1"/>
    </xf>
    <xf numFmtId="164" fontId="30" fillId="0" borderId="77" xfId="0" applyNumberFormat="1" applyFont="1" applyFill="1" applyBorder="1" applyAlignment="1">
      <alignment vertical="center" wrapText="1"/>
    </xf>
    <xf numFmtId="186" fontId="30" fillId="0" borderId="77" xfId="1" applyNumberFormat="1" applyFont="1" applyFill="1" applyBorder="1" applyAlignment="1">
      <alignment vertical="center" wrapText="1"/>
    </xf>
    <xf numFmtId="186" fontId="2" fillId="0" borderId="34" xfId="1" applyNumberFormat="1" applyFont="1" applyFill="1" applyBorder="1" applyAlignment="1"/>
    <xf numFmtId="186" fontId="2" fillId="0" borderId="70" xfId="1" applyNumberFormat="1" applyFont="1" applyFill="1" applyBorder="1" applyAlignment="1"/>
    <xf numFmtId="186" fontId="30" fillId="0" borderId="77" xfId="1" applyNumberFormat="1" applyFont="1" applyFill="1" applyBorder="1" applyAlignment="1">
      <alignment horizontal="center" vertical="center"/>
    </xf>
    <xf numFmtId="186" fontId="2" fillId="0" borderId="34" xfId="1" applyNumberFormat="1" applyFont="1" applyFill="1" applyBorder="1"/>
    <xf numFmtId="186" fontId="2" fillId="0" borderId="70" xfId="1" applyNumberFormat="1" applyFont="1" applyFill="1" applyBorder="1"/>
    <xf numFmtId="0" fontId="2" fillId="0" borderId="34" xfId="0" applyFont="1" applyFill="1" applyBorder="1" applyAlignment="1">
      <alignment vertical="top"/>
    </xf>
    <xf numFmtId="0" fontId="2" fillId="0" borderId="70" xfId="0" applyFont="1" applyFill="1" applyBorder="1" applyAlignment="1">
      <alignment vertical="top"/>
    </xf>
    <xf numFmtId="164" fontId="30" fillId="0" borderId="77" xfId="0" applyNumberFormat="1" applyFont="1" applyFill="1" applyBorder="1" applyAlignment="1">
      <alignment horizontal="center" vertical="center" wrapText="1"/>
    </xf>
    <xf numFmtId="186" fontId="30" fillId="0" borderId="77" xfId="1" applyNumberFormat="1" applyFont="1" applyFill="1" applyBorder="1" applyAlignment="1">
      <alignment horizontal="center" vertical="center" wrapText="1"/>
    </xf>
    <xf numFmtId="3" fontId="30" fillId="0" borderId="77" xfId="0" applyNumberFormat="1" applyFont="1" applyFill="1" applyBorder="1" applyAlignment="1">
      <alignment horizontal="center" vertical="center" wrapText="1"/>
    </xf>
    <xf numFmtId="4" fontId="30" fillId="0" borderId="77" xfId="0" applyNumberFormat="1" applyFont="1" applyFill="1" applyBorder="1" applyAlignment="1">
      <alignment horizontal="center" vertical="top" wrapText="1"/>
    </xf>
    <xf numFmtId="0" fontId="44" fillId="0" borderId="77" xfId="0" applyFont="1" applyFill="1" applyBorder="1" applyAlignment="1">
      <alignment vertical="center" wrapText="1"/>
    </xf>
    <xf numFmtId="0" fontId="33" fillId="0" borderId="77" xfId="0" applyFont="1" applyFill="1" applyBorder="1" applyAlignment="1">
      <alignment horizontal="center" vertical="center" wrapText="1"/>
    </xf>
    <xf numFmtId="4" fontId="30" fillId="0" borderId="111" xfId="0" applyNumberFormat="1" applyFont="1" applyFill="1" applyBorder="1" applyAlignment="1">
      <alignment horizontal="center" vertical="top" wrapText="1"/>
    </xf>
    <xf numFmtId="0" fontId="2" fillId="0" borderId="66" xfId="0" applyFont="1" applyFill="1" applyBorder="1"/>
    <xf numFmtId="0" fontId="2" fillId="0" borderId="102" xfId="0" applyFont="1" applyFill="1" applyBorder="1"/>
    <xf numFmtId="0" fontId="2" fillId="0" borderId="41" xfId="0" applyFont="1" applyFill="1" applyBorder="1"/>
    <xf numFmtId="0" fontId="0" fillId="0" borderId="0" xfId="0" applyFill="1"/>
    <xf numFmtId="0" fontId="2" fillId="0" borderId="112" xfId="0" applyFont="1" applyFill="1" applyBorder="1"/>
    <xf numFmtId="0" fontId="2" fillId="0" borderId="108" xfId="0" applyFont="1" applyFill="1" applyBorder="1"/>
    <xf numFmtId="0" fontId="2" fillId="0" borderId="105" xfId="0" applyFont="1" applyFill="1" applyBorder="1"/>
    <xf numFmtId="0" fontId="2" fillId="0" borderId="104" xfId="0" applyFont="1" applyFill="1" applyBorder="1"/>
    <xf numFmtId="0" fontId="2" fillId="0" borderId="119" xfId="0" applyFont="1" applyBorder="1" applyAlignment="1">
      <alignment horizontal="left" vertical="center" wrapText="1"/>
    </xf>
    <xf numFmtId="0" fontId="2" fillId="0" borderId="119" xfId="0" applyFont="1" applyBorder="1" applyAlignment="1">
      <alignment horizontal="left" vertical="center"/>
    </xf>
    <xf numFmtId="0" fontId="35" fillId="2" borderId="111" xfId="0" applyFont="1" applyFill="1" applyBorder="1" applyAlignment="1">
      <alignment horizontal="center" vertical="center" wrapText="1"/>
    </xf>
    <xf numFmtId="0" fontId="2" fillId="0" borderId="41" xfId="0" applyFont="1" applyBorder="1"/>
    <xf numFmtId="0" fontId="2" fillId="0" borderId="112" xfId="0" applyFont="1" applyBorder="1"/>
    <xf numFmtId="0" fontId="2" fillId="0" borderId="108" xfId="0" applyFont="1" applyBorder="1"/>
    <xf numFmtId="0" fontId="17" fillId="0" borderId="94" xfId="0" applyFont="1" applyBorder="1" applyAlignment="1">
      <alignment horizontal="left"/>
    </xf>
    <xf numFmtId="0" fontId="2" fillId="0" borderId="94" xfId="0" applyFont="1" applyBorder="1"/>
    <xf numFmtId="0" fontId="17" fillId="8" borderId="119" xfId="0" applyFont="1" applyFill="1" applyBorder="1" applyAlignment="1">
      <alignment horizontal="center" vertical="center"/>
    </xf>
    <xf numFmtId="0" fontId="17" fillId="8" borderId="119"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4" fillId="0" borderId="74" xfId="0" applyFont="1" applyFill="1" applyBorder="1"/>
    <xf numFmtId="0" fontId="2" fillId="0" borderId="43" xfId="0" applyFont="1" applyFill="1" applyBorder="1" applyAlignment="1">
      <alignment horizontal="center" vertical="center"/>
    </xf>
    <xf numFmtId="0" fontId="2" fillId="0" borderId="43" xfId="0" applyFont="1" applyBorder="1" applyAlignment="1">
      <alignment horizontal="center" vertical="center" wrapText="1"/>
    </xf>
    <xf numFmtId="0" fontId="52" fillId="0" borderId="24" xfId="0" applyFont="1" applyFill="1" applyBorder="1" applyAlignment="1">
      <alignment horizontal="center" vertical="top" wrapText="1"/>
    </xf>
    <xf numFmtId="0" fontId="50" fillId="3" borderId="4" xfId="0" applyFont="1" applyFill="1" applyBorder="1" applyAlignment="1">
      <alignment horizontal="center"/>
    </xf>
    <xf numFmtId="49" fontId="2" fillId="0" borderId="43" xfId="0" applyNumberFormat="1" applyFont="1" applyFill="1" applyBorder="1" applyAlignment="1">
      <alignment horizontal="center" vertical="center" wrapText="1"/>
    </xf>
    <xf numFmtId="0" fontId="52" fillId="0" borderId="43" xfId="0" applyFont="1" applyBorder="1" applyAlignment="1">
      <alignment horizontal="center" vertical="center"/>
    </xf>
    <xf numFmtId="0" fontId="2" fillId="0" borderId="43" xfId="0" applyFont="1" applyBorder="1" applyAlignment="1">
      <alignment horizontal="center" vertical="center"/>
    </xf>
    <xf numFmtId="0" fontId="52" fillId="0" borderId="43" xfId="0" applyFont="1" applyBorder="1" applyAlignment="1">
      <alignment horizontal="center" wrapText="1"/>
    </xf>
    <xf numFmtId="0" fontId="52" fillId="0" borderId="24" xfId="0" applyFont="1" applyBorder="1" applyAlignment="1">
      <alignment horizontal="center" vertical="top" wrapText="1"/>
    </xf>
    <xf numFmtId="0" fontId="2" fillId="8" borderId="24" xfId="0" applyFont="1" applyFill="1" applyBorder="1" applyAlignment="1">
      <alignment horizontal="center" vertical="center" wrapText="1"/>
    </xf>
    <xf numFmtId="0" fontId="2" fillId="0" borderId="24" xfId="0" applyFont="1" applyBorder="1" applyAlignment="1">
      <alignment horizontal="center" vertical="center" wrapText="1"/>
    </xf>
    <xf numFmtId="0" fontId="50" fillId="3" borderId="88" xfId="0" applyFont="1" applyFill="1" applyBorder="1" applyAlignment="1">
      <alignment horizontal="center"/>
    </xf>
    <xf numFmtId="0" fontId="52" fillId="0" borderId="43" xfId="0" applyFont="1" applyFill="1" applyBorder="1" applyAlignment="1">
      <alignment horizontal="center" vertical="center"/>
    </xf>
    <xf numFmtId="49" fontId="2" fillId="0" borderId="43" xfId="0" applyNumberFormat="1" applyFont="1" applyBorder="1" applyAlignment="1">
      <alignment horizontal="center" vertical="center" wrapText="1"/>
    </xf>
    <xf numFmtId="0" fontId="2" fillId="0" borderId="65" xfId="0" applyFont="1" applyBorder="1" applyAlignment="1">
      <alignment horizontal="center" vertical="center" wrapText="1"/>
    </xf>
    <xf numFmtId="0" fontId="2" fillId="0" borderId="42" xfId="0" applyFont="1" applyBorder="1" applyAlignment="1">
      <alignment horizontal="center" vertical="center" wrapText="1"/>
    </xf>
    <xf numFmtId="0" fontId="39" fillId="0" borderId="43" xfId="0" applyFont="1" applyBorder="1" applyAlignment="1">
      <alignment horizontal="center" vertical="center" wrapText="1"/>
    </xf>
    <xf numFmtId="0" fontId="52" fillId="0" borderId="24" xfId="0" applyFont="1" applyBorder="1" applyAlignment="1">
      <alignment horizontal="center" wrapText="1"/>
    </xf>
    <xf numFmtId="0" fontId="52" fillId="0" borderId="24" xfId="0" applyFont="1" applyBorder="1" applyAlignment="1">
      <alignment horizontal="center" vertical="center"/>
    </xf>
    <xf numFmtId="174" fontId="2" fillId="0" borderId="24" xfId="0" applyNumberFormat="1" applyFont="1" applyBorder="1" applyAlignment="1">
      <alignment horizontal="center" vertical="center"/>
    </xf>
    <xf numFmtId="0" fontId="2" fillId="0" borderId="24" xfId="0" applyFont="1" applyBorder="1" applyAlignment="1">
      <alignment horizontal="center"/>
    </xf>
    <xf numFmtId="0" fontId="2" fillId="0" borderId="23" xfId="0" applyFont="1" applyBorder="1" applyAlignment="1">
      <alignment horizontal="center"/>
    </xf>
    <xf numFmtId="0" fontId="4" fillId="0" borderId="27" xfId="0" applyFont="1" applyBorder="1"/>
    <xf numFmtId="0" fontId="2" fillId="8" borderId="43" xfId="0" applyFont="1" applyFill="1" applyBorder="1" applyAlignment="1">
      <alignment horizontal="center" vertical="center" wrapText="1"/>
    </xf>
    <xf numFmtId="0" fontId="2" fillId="0" borderId="42" xfId="0" applyFont="1" applyBorder="1" applyAlignment="1">
      <alignment horizontal="center" vertical="center"/>
    </xf>
    <xf numFmtId="0" fontId="50" fillId="3" borderId="4" xfId="0" applyFont="1" applyFill="1" applyBorder="1" applyAlignment="1">
      <alignment horizontal="center" vertical="center"/>
    </xf>
    <xf numFmtId="0" fontId="52" fillId="0" borderId="22" xfId="0" applyFont="1" applyBorder="1" applyAlignment="1">
      <alignment horizontal="center" vertical="center"/>
    </xf>
    <xf numFmtId="174" fontId="2" fillId="0" borderId="24" xfId="0" applyNumberFormat="1" applyFont="1" applyBorder="1" applyAlignment="1">
      <alignment horizontal="center" vertical="center" wrapText="1"/>
    </xf>
    <xf numFmtId="0" fontId="2" fillId="0" borderId="24" xfId="0" applyFont="1" applyBorder="1" applyAlignment="1">
      <alignment horizontal="center" wrapText="1"/>
    </xf>
    <xf numFmtId="173" fontId="2" fillId="0" borderId="21" xfId="0" applyNumberFormat="1" applyFont="1" applyBorder="1" applyAlignment="1">
      <alignment horizontal="center" vertical="center" wrapText="1"/>
    </xf>
    <xf numFmtId="0" fontId="4" fillId="0" borderId="25" xfId="0" applyFont="1" applyBorder="1"/>
    <xf numFmtId="173" fontId="2" fillId="0" borderId="21" xfId="0" applyNumberFormat="1" applyFont="1" applyBorder="1" applyAlignment="1">
      <alignment horizontal="center" vertical="center"/>
    </xf>
    <xf numFmtId="0" fontId="4" fillId="0" borderId="116" xfId="0" applyFont="1" applyBorder="1"/>
    <xf numFmtId="10" fontId="2" fillId="0" borderId="21" xfId="0" applyNumberFormat="1" applyFont="1" applyBorder="1" applyAlignment="1">
      <alignment horizontal="center" vertical="center"/>
    </xf>
    <xf numFmtId="173" fontId="2" fillId="0" borderId="114" xfId="0" applyNumberFormat="1" applyFont="1" applyBorder="1" applyAlignment="1">
      <alignment horizontal="center" vertical="center" wrapText="1"/>
    </xf>
    <xf numFmtId="0" fontId="4" fillId="0" borderId="112" xfId="0" applyFont="1" applyBorder="1"/>
    <xf numFmtId="173" fontId="2" fillId="0" borderId="3" xfId="0" applyNumberFormat="1" applyFont="1" applyBorder="1" applyAlignment="1">
      <alignment horizontal="center" vertical="center"/>
    </xf>
    <xf numFmtId="0" fontId="49" fillId="2" borderId="13" xfId="0" applyFont="1" applyFill="1" applyBorder="1" applyAlignment="1">
      <alignment horizontal="left" vertical="center"/>
    </xf>
    <xf numFmtId="0" fontId="49" fillId="2" borderId="88" xfId="0" applyFont="1" applyFill="1" applyBorder="1" applyAlignment="1">
      <alignment horizontal="left" vertical="center"/>
    </xf>
    <xf numFmtId="0" fontId="46" fillId="2" borderId="4" xfId="0" applyFont="1" applyFill="1" applyBorder="1" applyAlignment="1">
      <alignment horizontal="center" vertical="center"/>
    </xf>
    <xf numFmtId="0" fontId="47" fillId="2" borderId="113" xfId="0" applyFont="1" applyFill="1" applyBorder="1" applyAlignment="1">
      <alignment horizontal="center" vertical="center" wrapText="1"/>
    </xf>
    <xf numFmtId="0" fontId="48" fillId="0" borderId="86" xfId="0" applyFont="1" applyBorder="1" applyAlignment="1">
      <alignment horizontal="center"/>
    </xf>
    <xf numFmtId="0" fontId="47" fillId="0" borderId="13" xfId="0" applyFont="1" applyBorder="1" applyAlignment="1">
      <alignment horizontal="center"/>
    </xf>
    <xf numFmtId="0" fontId="17" fillId="0" borderId="14" xfId="0" applyFont="1" applyBorder="1" applyAlignment="1">
      <alignment horizontal="left" vertical="center"/>
    </xf>
    <xf numFmtId="0" fontId="17" fillId="0" borderId="12" xfId="0" applyFont="1" applyBorder="1" applyAlignment="1">
      <alignment horizontal="left" vertical="center"/>
    </xf>
    <xf numFmtId="171" fontId="2" fillId="0" borderId="21" xfId="0" applyNumberFormat="1" applyFont="1" applyBorder="1" applyAlignment="1">
      <alignment horizontal="center" vertical="center"/>
    </xf>
    <xf numFmtId="174" fontId="2" fillId="0" borderId="114" xfId="0" applyNumberFormat="1" applyFont="1" applyBorder="1" applyAlignment="1">
      <alignment horizontal="center" vertical="center"/>
    </xf>
    <xf numFmtId="0" fontId="4" fillId="0" borderId="115" xfId="0" applyFont="1" applyBorder="1"/>
    <xf numFmtId="174" fontId="2" fillId="0" borderId="35" xfId="0" applyNumberFormat="1" applyFont="1" applyBorder="1" applyAlignment="1">
      <alignment horizontal="center" vertical="center"/>
    </xf>
    <xf numFmtId="0" fontId="2" fillId="0" borderId="21" xfId="0" applyFont="1" applyBorder="1" applyAlignment="1">
      <alignment horizontal="center"/>
    </xf>
    <xf numFmtId="171" fontId="2" fillId="0" borderId="3" xfId="0" applyNumberFormat="1" applyFont="1" applyBorder="1" applyAlignment="1">
      <alignment horizontal="center" vertical="center"/>
    </xf>
    <xf numFmtId="0" fontId="4" fillId="0" borderId="69" xfId="0" applyFont="1" applyBorder="1"/>
    <xf numFmtId="9" fontId="2" fillId="0" borderId="21" xfId="0" applyNumberFormat="1" applyFont="1" applyBorder="1" applyAlignment="1">
      <alignment horizontal="center" vertical="center"/>
    </xf>
    <xf numFmtId="10" fontId="2" fillId="0" borderId="57" xfId="0" applyNumberFormat="1" applyFont="1" applyBorder="1" applyAlignment="1">
      <alignment horizontal="center" vertical="center"/>
    </xf>
    <xf numFmtId="171" fontId="2" fillId="0" borderId="24" xfId="0" applyNumberFormat="1" applyFont="1" applyBorder="1" applyAlignment="1">
      <alignment horizontal="center" vertical="center"/>
    </xf>
    <xf numFmtId="171" fontId="2" fillId="0" borderId="57" xfId="0" applyNumberFormat="1" applyFont="1" applyBorder="1" applyAlignment="1">
      <alignment horizontal="center" vertical="center"/>
    </xf>
    <xf numFmtId="0" fontId="4" fillId="0" borderId="49" xfId="0" applyFont="1" applyBorder="1"/>
    <xf numFmtId="0" fontId="50" fillId="3" borderId="88" xfId="0" applyFont="1" applyFill="1" applyBorder="1" applyAlignment="1">
      <alignment horizontal="center" vertical="center"/>
    </xf>
    <xf numFmtId="0" fontId="2" fillId="0" borderId="22" xfId="0" applyFont="1" applyBorder="1" applyAlignment="1">
      <alignment horizontal="center" vertical="center"/>
    </xf>
    <xf numFmtId="10" fontId="2" fillId="0" borderId="23" xfId="0" applyNumberFormat="1" applyFont="1" applyBorder="1" applyAlignment="1">
      <alignment horizontal="center" vertical="center"/>
    </xf>
    <xf numFmtId="179" fontId="2" fillId="0" borderId="21" xfId="0" applyNumberFormat="1" applyFont="1" applyBorder="1" applyAlignment="1">
      <alignment horizontal="center" vertical="center" wrapText="1"/>
    </xf>
    <xf numFmtId="0" fontId="4" fillId="0" borderId="93" xfId="0" applyFont="1" applyBorder="1"/>
    <xf numFmtId="0" fontId="17" fillId="0" borderId="21" xfId="0" applyFont="1" applyBorder="1" applyAlignment="1">
      <alignment horizontal="center" vertical="center"/>
    </xf>
    <xf numFmtId="0" fontId="2" fillId="0" borderId="21" xfId="0" applyFont="1" applyBorder="1" applyAlignment="1">
      <alignment horizontal="center" vertical="center"/>
    </xf>
    <xf numFmtId="0" fontId="4" fillId="0" borderId="48" xfId="0" applyFont="1" applyBorder="1"/>
    <xf numFmtId="0" fontId="2" fillId="7" borderId="21" xfId="0" applyFont="1" applyFill="1" applyBorder="1" applyAlignment="1">
      <alignment horizontal="center" vertical="center"/>
    </xf>
    <xf numFmtId="0" fontId="2" fillId="0" borderId="2" xfId="0" applyFont="1" applyBorder="1" applyAlignment="1">
      <alignment horizontal="center" vertical="center"/>
    </xf>
    <xf numFmtId="0" fontId="4" fillId="0" borderId="121" xfId="0" applyFont="1" applyBorder="1"/>
    <xf numFmtId="0" fontId="17" fillId="0" borderId="22" xfId="0" applyFont="1" applyBorder="1" applyAlignment="1">
      <alignment horizontal="center" vertical="center"/>
    </xf>
    <xf numFmtId="0" fontId="50" fillId="3" borderId="126" xfId="0" applyFont="1" applyFill="1" applyBorder="1" applyAlignment="1">
      <alignment horizontal="center" vertical="center"/>
    </xf>
    <xf numFmtId="0" fontId="4" fillId="0" borderId="127" xfId="0" applyFont="1" applyBorder="1"/>
    <xf numFmtId="0" fontId="4" fillId="0" borderId="128" xfId="0" applyFont="1" applyBorder="1"/>
    <xf numFmtId="0" fontId="53" fillId="0" borderId="42" xfId="0" applyFont="1" applyBorder="1" applyAlignment="1">
      <alignment horizontal="center" vertical="center" wrapText="1"/>
    </xf>
    <xf numFmtId="0" fontId="2" fillId="0" borderId="65" xfId="0" applyFont="1" applyFill="1" applyBorder="1" applyAlignment="1">
      <alignment horizontal="center" vertical="center" wrapText="1"/>
    </xf>
    <xf numFmtId="0" fontId="4" fillId="0" borderId="41" xfId="0" applyFont="1" applyFill="1" applyBorder="1"/>
    <xf numFmtId="0" fontId="4" fillId="0" borderId="52" xfId="0" applyFont="1" applyFill="1" applyBorder="1"/>
    <xf numFmtId="0" fontId="2" fillId="0" borderId="42" xfId="0" applyFont="1" applyFill="1" applyBorder="1" applyAlignment="1">
      <alignment horizontal="center" vertical="center"/>
    </xf>
    <xf numFmtId="0" fontId="4" fillId="0" borderId="51" xfId="0" applyFont="1" applyFill="1" applyBorder="1"/>
    <xf numFmtId="0" fontId="53" fillId="0" borderId="42" xfId="0" applyFont="1" applyFill="1" applyBorder="1" applyAlignment="1">
      <alignment horizontal="center" vertical="center" wrapText="1"/>
    </xf>
    <xf numFmtId="0" fontId="39" fillId="0" borderId="43"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52" fillId="0" borderId="43" xfId="0" applyFont="1" applyFill="1" applyBorder="1" applyAlignment="1">
      <alignment horizontal="center" wrapText="1"/>
    </xf>
    <xf numFmtId="0" fontId="71" fillId="0" borderId="135" xfId="0" applyFont="1" applyBorder="1" applyAlignment="1">
      <alignment horizontal="center" vertical="center"/>
    </xf>
    <xf numFmtId="0" fontId="71" fillId="0" borderId="136" xfId="0" applyFont="1" applyBorder="1" applyAlignment="1">
      <alignment horizontal="center" vertical="center"/>
    </xf>
  </cellXfs>
  <cellStyles count="2916">
    <cellStyle name="60% - Énfasis1 2" xfId="31" xr:uid="{2FA5FAA8-4022-423A-BD8C-9E92C53FDD62}"/>
    <cellStyle name="60% - Énfasis2 2" xfId="32" xr:uid="{D7D4671C-FFB7-44A9-9094-EEDB9CBB29B3}"/>
    <cellStyle name="60% - Énfasis3 2" xfId="33" xr:uid="{32CA2560-9D8B-4A66-A883-E9314C085226}"/>
    <cellStyle name="60% - Énfasis4 2" xfId="34" xr:uid="{ACEB8045-077D-4F9C-A061-B820135C0B4D}"/>
    <cellStyle name="60% - Énfasis5 2" xfId="35" xr:uid="{A2DDE7A0-38DC-4C3C-BAE2-A2C660006204}"/>
    <cellStyle name="60% - Énfasis6 2" xfId="36" xr:uid="{77CEED2C-5145-4769-967C-FC036AC105DA}"/>
    <cellStyle name="BodyStyle" xfId="37" xr:uid="{C5A4D728-6034-4926-8ACC-80D978CE6A94}"/>
    <cellStyle name="BodyStyleBold" xfId="38" xr:uid="{2C2C2A4D-B25B-4362-8B79-480795E0E0B5}"/>
    <cellStyle name="BodyStyleBoldRight" xfId="39" xr:uid="{6589E2A5-BAB6-4FC6-A098-1AEF9AD7B21F}"/>
    <cellStyle name="BodyStyleWithBorder" xfId="40" xr:uid="{554BE970-2C56-4BB7-81B8-03E34EE48B53}"/>
    <cellStyle name="BodyStyleWithBorder 2" xfId="41" xr:uid="{D0C46637-A8B7-4E5D-BAC4-4270DE8DA70A}"/>
    <cellStyle name="BodyStyleWithBorder 2 2" xfId="42" xr:uid="{40AC5338-C3CF-4800-9DE5-AB0E9B14B524}"/>
    <cellStyle name="BodyStyleWithBorder 2 3" xfId="43" xr:uid="{F08960C2-41D7-4961-A4DF-58A01613C128}"/>
    <cellStyle name="BodyStyleWithBorder 2 4" xfId="44" xr:uid="{428F2BDF-5BEE-41B7-81D8-84337C72E1D7}"/>
    <cellStyle name="BodyStyleWithBorder 2_GESTIÓN" xfId="2910" xr:uid="{1F04D8F2-CF61-4CE2-B131-6EA44E8AB83C}"/>
    <cellStyle name="BodyStyleWithBorder 3" xfId="45" xr:uid="{5E248C8F-A516-436D-AD2E-CFF02236FA8A}"/>
    <cellStyle name="BodyStyleWithBorder 4" xfId="46" xr:uid="{C89801B8-60EA-40D9-B657-3C010BC5771C}"/>
    <cellStyle name="BodyStyleWithBorder 5" xfId="47" xr:uid="{4AFEDA18-09C6-4962-9A83-81741896FE2E}"/>
    <cellStyle name="BodyStyleWithBorder_GESTIÓN" xfId="2911" xr:uid="{47EAEEE6-0AEB-44D9-AB2E-33B6B4494435}"/>
    <cellStyle name="BorderThinBlack" xfId="48" xr:uid="{F52CFD2C-10B6-4392-BA13-F16E51690F4C}"/>
    <cellStyle name="BorderThinBlack 2" xfId="49" xr:uid="{1C4E5C1A-6FC4-47A7-AAEE-CC4816F7876A}"/>
    <cellStyle name="BorderThinBlack 2 2" xfId="50" xr:uid="{AB6FFEA5-9B9F-4FEB-BF4B-2734533C61A8}"/>
    <cellStyle name="BorderThinBlack 2 2 2" xfId="51" xr:uid="{170643BA-3CAE-4615-A62B-4508BAD36F49}"/>
    <cellStyle name="BorderThinBlack 2 2 2 2" xfId="52" xr:uid="{0B8DDDB0-FAAB-4236-9E32-1661B7FD11E8}"/>
    <cellStyle name="BorderThinBlack 2 2 2 3" xfId="53" xr:uid="{2A1F4E6C-233E-4B64-AAA5-BC26E44DF7F5}"/>
    <cellStyle name="BorderThinBlack 2 2 2 4" xfId="54" xr:uid="{E8A2E7F4-6021-4237-8ACD-902D712C61ED}"/>
    <cellStyle name="BorderThinBlack 2 2 3" xfId="55" xr:uid="{6515732B-11BD-4432-B5D6-9085FE062CB3}"/>
    <cellStyle name="BorderThinBlack 2 2 4" xfId="56" xr:uid="{28E47D80-6B65-40D3-B695-3FFFC1F79449}"/>
    <cellStyle name="BorderThinBlack 2 2 5" xfId="57" xr:uid="{A2EA5823-B9B1-4835-A6F1-ABEFED5EA729}"/>
    <cellStyle name="BorderThinBlack 2 3" xfId="58" xr:uid="{9FA6550B-D6A3-4943-96A3-937B0676245D}"/>
    <cellStyle name="BorderThinBlack 2 4" xfId="59" xr:uid="{7FC13AD9-546A-414D-ABFE-DF80C4F84A7D}"/>
    <cellStyle name="BorderThinBlack 2 5" xfId="60" xr:uid="{41C0C96C-0846-4442-A4A3-7B3DCD29E3C7}"/>
    <cellStyle name="BorderThinBlack 3" xfId="61" xr:uid="{A913BE53-816E-4CFF-96EA-C06FA6672CC1}"/>
    <cellStyle name="BorderThinBlack 3 2" xfId="62" xr:uid="{4C4F2EF8-D877-4DE9-B3DE-7FD1C5DFA302}"/>
    <cellStyle name="BorderThinBlack 3 2 2" xfId="63" xr:uid="{9DC93767-3930-420E-88CD-B79D1F378DC5}"/>
    <cellStyle name="BorderThinBlack 3 2 3" xfId="64" xr:uid="{D8170EE0-0408-4698-8658-E8EF309577A7}"/>
    <cellStyle name="BorderThinBlack 3 2 4" xfId="65" xr:uid="{C6ABC699-1AA3-4231-BC11-0F740351DFC9}"/>
    <cellStyle name="BorderThinBlack 3 3" xfId="66" xr:uid="{B2D589C9-FDCB-4B1E-993D-0B92D22786F1}"/>
    <cellStyle name="BorderThinBlack 3 4" xfId="67" xr:uid="{AB1CD460-DF74-445C-84BE-3EED4B3BE9E5}"/>
    <cellStyle name="BorderThinBlack 3 5" xfId="68" xr:uid="{63E2C686-A0A6-40EF-97C3-E0F9DEACA235}"/>
    <cellStyle name="BorderThinBlack 4" xfId="69" xr:uid="{DDC455BF-B398-4DF6-9661-B9E9E6A8465A}"/>
    <cellStyle name="BorderThinBlack 5" xfId="70" xr:uid="{9E5C726B-6281-41A2-A716-C8C96800C800}"/>
    <cellStyle name="BorderThinBlack 6" xfId="71" xr:uid="{0190B0FA-F104-40AC-8AFC-E6B98652729A}"/>
    <cellStyle name="Coma 2" xfId="6" xr:uid="{C4D2243E-E5A6-4C20-B965-C0D048980E22}"/>
    <cellStyle name="Coma 2 2" xfId="7" xr:uid="{1EE6CCA5-0151-434E-8756-36C1686BDE36}"/>
    <cellStyle name="Comma" xfId="8" xr:uid="{F329A0B8-C434-4247-A0B5-C16AC007477F}"/>
    <cellStyle name="Comma [0]" xfId="2863" xr:uid="{FDBFA750-2303-433C-AE37-8A1154D9B9B2}"/>
    <cellStyle name="Comma [0] 2" xfId="72" xr:uid="{1C724DE0-5DFB-4131-9706-F0BE39DB0323}"/>
    <cellStyle name="Comma [0] 2 2" xfId="73" xr:uid="{D847512F-E436-488C-85CF-64E506741702}"/>
    <cellStyle name="Comma [0] 2 2 2" xfId="74" xr:uid="{C1876F8D-29E6-4876-B81A-839EEF345B21}"/>
    <cellStyle name="Comma [0] 2 2_GESTIÓN" xfId="2907" xr:uid="{45F765A6-F998-40BF-AB85-3114DCA4D6A5}"/>
    <cellStyle name="Comma [0] 2 3" xfId="75" xr:uid="{C7056354-2248-4962-B25D-1E51213F42FC}"/>
    <cellStyle name="Comma [0] 2_GESTIÓN" xfId="2908" xr:uid="{A464D472-DEB7-4457-8D0D-87CD916F9607}"/>
    <cellStyle name="Comma [0] 3" xfId="76" xr:uid="{CA31AACE-E187-43DB-9F9F-338133D5BD54}"/>
    <cellStyle name="Comma [0]_GESTIÓN" xfId="2909" xr:uid="{464D07C0-7A69-49A0-914A-D3DFC4DD6C74}"/>
    <cellStyle name="Comma 2" xfId="77" xr:uid="{D4275410-4D83-4E9B-A9A0-7970D5C52C2A}"/>
    <cellStyle name="Comma 2 2" xfId="78" xr:uid="{E0358555-DA62-41AD-AD5E-F499B6BEA731}"/>
    <cellStyle name="Comma 2 2 2" xfId="79" xr:uid="{0C23B838-C475-4FE9-8A56-8891D7D6A50A}"/>
    <cellStyle name="Comma 2 2_GESTIÓN" xfId="2905" xr:uid="{2111C857-927F-4140-B2F6-09ED366F2423}"/>
    <cellStyle name="Comma 2 3" xfId="80" xr:uid="{5D7498F4-1AB2-4B6D-9BE4-CBD57E607FB7}"/>
    <cellStyle name="Comma 2_GESTIÓN" xfId="2906" xr:uid="{45851B66-3E28-4740-854F-FD861A2505BB}"/>
    <cellStyle name="Comma 3" xfId="81" xr:uid="{3D9C7045-400C-43C1-8DA7-4C34AA71E9A4}"/>
    <cellStyle name="Comma 4" xfId="82" xr:uid="{142A9023-1DA7-4B27-AA63-0DDB0D0BBCB9}"/>
    <cellStyle name="Comma 5" xfId="83" xr:uid="{D697AF31-A522-4339-93C9-F30ECBD9456F}"/>
    <cellStyle name="Currency" xfId="2865" xr:uid="{0535A6F5-5E27-4843-A23C-105B50E464B7}"/>
    <cellStyle name="Currency [0]" xfId="2864" xr:uid="{4D1A473B-C741-43A3-BD9A-FC15BD88C5E3}"/>
    <cellStyle name="Currency [0] 2" xfId="84" xr:uid="{FCA19B6B-3639-406E-90F1-0E84BFEDAEF0}"/>
    <cellStyle name="Currency [0] 2 2" xfId="85" xr:uid="{2F03CB7B-EE35-44D1-AAC1-24804D050138}"/>
    <cellStyle name="Currency [0] 2 2 2" xfId="86" xr:uid="{DC778280-DD76-4D35-A446-CB1C299F94A3}"/>
    <cellStyle name="Currency [0] 2 2 2 2" xfId="87" xr:uid="{02D29C4A-9679-48C2-B12F-108683FF3D35}"/>
    <cellStyle name="Currency [0] 2 2 3" xfId="88" xr:uid="{BD70365B-E021-4138-B3B4-FAE41772B85D}"/>
    <cellStyle name="Currency [0] 2 2 3 2" xfId="89" xr:uid="{A9EDDA95-4B78-400A-88DE-E2056D041D4D}"/>
    <cellStyle name="Currency [0] 2 2 4" xfId="90" xr:uid="{6D1F7B6F-A32E-4649-855A-AA4B448BB34A}"/>
    <cellStyle name="Currency [0] 2 2 4 2" xfId="91" xr:uid="{035491C6-3505-4602-9E49-BC43C7E4E142}"/>
    <cellStyle name="Currency [0] 2 2 5" xfId="92" xr:uid="{C7BFB006-B606-49DC-934D-FEFE8D202A8C}"/>
    <cellStyle name="Currency [0] 2 3" xfId="93" xr:uid="{B058AE6A-2225-4748-BB3D-FAB3D715FA5D}"/>
    <cellStyle name="Currency [0] 2 3 2" xfId="94" xr:uid="{F3FF0434-3655-40FB-8F64-DE522912C6F2}"/>
    <cellStyle name="Currency [0] 2 4" xfId="95" xr:uid="{B125D9D5-90ED-4127-8ADF-615CFDDAF36E}"/>
    <cellStyle name="Currency [0] 2 4 2" xfId="96" xr:uid="{143517A2-3AAC-4B2C-BCF7-419B9365D4A8}"/>
    <cellStyle name="Currency [0] 2 5" xfId="97" xr:uid="{3F2D0B14-2D08-4AD1-84B4-F04B656C251A}"/>
    <cellStyle name="Currency [0] 2 5 2" xfId="98" xr:uid="{659AC780-ADAA-4B11-B291-119837C1A225}"/>
    <cellStyle name="Currency [0] 2 6" xfId="99" xr:uid="{829B65A7-0C22-4524-9E5E-40F4C5887C30}"/>
    <cellStyle name="Currency [0] 3" xfId="100" xr:uid="{16B37505-6C74-43A9-ACF9-D73B115524EB}"/>
    <cellStyle name="Currency [0] 3 2" xfId="101" xr:uid="{85F0D89E-1A36-4B44-B7F5-78437C570075}"/>
    <cellStyle name="Currency [0] 3 2 2" xfId="102" xr:uid="{A94B57FF-5968-4FC8-9308-11606305533B}"/>
    <cellStyle name="Currency [0] 3 3" xfId="103" xr:uid="{C123F8DC-3200-4EEA-BE14-0EFDB63872D3}"/>
    <cellStyle name="Currency [0] 3 3 2" xfId="104" xr:uid="{F08826F3-A8A2-4FAB-9E12-E4246CB1BC80}"/>
    <cellStyle name="Currency [0] 3 4" xfId="105" xr:uid="{C4AFA298-7009-49B7-9A58-DE622B405492}"/>
    <cellStyle name="Currency [0] 3 4 2" xfId="106" xr:uid="{461B9529-B24B-4ED4-AAE4-AD7AE4CF53A7}"/>
    <cellStyle name="Currency [0] 3 5" xfId="107" xr:uid="{1B2E7337-5D9F-495C-A96D-724D816622F0}"/>
    <cellStyle name="Currency [0] 4" xfId="108" xr:uid="{58039127-9F0C-4076-AF52-DAEC5C827118}"/>
    <cellStyle name="Currency [0] 4 2" xfId="109" xr:uid="{BB06442B-CCA2-4580-98C6-FA8D4D280581}"/>
    <cellStyle name="Currency [0] 5" xfId="110" xr:uid="{FAF00681-9AEC-470D-9F47-C53DDFD111D0}"/>
    <cellStyle name="Currency [0] 5 2" xfId="111" xr:uid="{134FA282-522E-4836-A745-B63C6FC761AF}"/>
    <cellStyle name="Currency [0] 6" xfId="112" xr:uid="{B9943E80-9C93-4449-8217-E04230A64B9B}"/>
    <cellStyle name="Currency [0] 6 2" xfId="113" xr:uid="{2FABA22B-788D-48E8-B267-BF232E97B121}"/>
    <cellStyle name="Currency [0] 7" xfId="114" xr:uid="{01D517D5-1AFC-43CE-85FC-6C281504BB55}"/>
    <cellStyle name="Currency [0]_GESTIÓN" xfId="2904" xr:uid="{CD507F32-F2F7-4FF3-9DEC-2155DF66576E}"/>
    <cellStyle name="Currency 10" xfId="115" xr:uid="{3B3BAC20-099C-4FF7-8663-8DC8B9E6F3C1}"/>
    <cellStyle name="Currency 10 2" xfId="116" xr:uid="{24F2D192-CA8C-428E-B12D-2A287FB470F4}"/>
    <cellStyle name="Currency 11" xfId="117" xr:uid="{0276E192-095C-40FA-B1EF-ADD9FBAED38E}"/>
    <cellStyle name="Currency 11 2" xfId="118" xr:uid="{28178F52-CE4A-4A57-8DB1-474257927CE5}"/>
    <cellStyle name="Currency 12" xfId="119" xr:uid="{547D40DD-07A8-42A3-9B9E-74F43579A11E}"/>
    <cellStyle name="Currency 12 2" xfId="120" xr:uid="{CD26F73B-3327-4A84-B4F9-11D35334A97D}"/>
    <cellStyle name="Currency 13" xfId="121" xr:uid="{5BB1FA35-9EBF-4BE8-9E6A-D1FD1CEADDA0}"/>
    <cellStyle name="Currency 13 2" xfId="122" xr:uid="{5F261BCE-502F-49D4-B0C2-6CD4F094A6BA}"/>
    <cellStyle name="Currency 14" xfId="123" xr:uid="{7B7DD3E6-BF5C-4786-AEAD-7B6C96C81869}"/>
    <cellStyle name="Currency 15" xfId="124" xr:uid="{06C6C60B-DFA5-4591-A8C3-512AE9DAC661}"/>
    <cellStyle name="Currency 2" xfId="125" xr:uid="{71B11A54-1F8C-421E-B37F-9A56E655FC03}"/>
    <cellStyle name="Currency 2 2" xfId="126" xr:uid="{4A788F3D-7957-45FE-9240-12546F4C325E}"/>
    <cellStyle name="Currency 2 2 2" xfId="127" xr:uid="{BA5B093E-35FF-4541-AA27-ECE0A99FD561}"/>
    <cellStyle name="Currency 2 2 2 2" xfId="128" xr:uid="{A74BD00E-37CB-47A6-87CA-FF7DC785B229}"/>
    <cellStyle name="Currency 2 2 3" xfId="129" xr:uid="{C4A27E6E-EEA4-4E49-95A4-9D3450FFB09F}"/>
    <cellStyle name="Currency 2 2 3 2" xfId="130" xr:uid="{71FB876B-20B2-43C0-827E-2800DE3F89EB}"/>
    <cellStyle name="Currency 2 2 4" xfId="131" xr:uid="{7BCED92B-2E0E-486C-9E6C-7832FCDBC905}"/>
    <cellStyle name="Currency 2 2 4 2" xfId="132" xr:uid="{E50F313E-035C-4A54-86E9-99908894171D}"/>
    <cellStyle name="Currency 2 2 5" xfId="133" xr:uid="{50F930E1-357C-415C-B304-125AA0C78F58}"/>
    <cellStyle name="Currency 2 3" xfId="134" xr:uid="{44C88BFE-8FFE-4DD9-8F6E-1B692283364A}"/>
    <cellStyle name="Currency 2 3 2" xfId="135" xr:uid="{10C6C737-0355-49FD-AA99-FEDF2B6B82DB}"/>
    <cellStyle name="Currency 2 4" xfId="136" xr:uid="{101D4C11-D70A-470B-8752-996A223DBF54}"/>
    <cellStyle name="Currency 2 4 2" xfId="137" xr:uid="{678F4C20-76A4-44AA-8FC1-91D31642A2B3}"/>
    <cellStyle name="Currency 2 5" xfId="138" xr:uid="{FE13BA37-6758-4581-B348-CC19273F247D}"/>
    <cellStyle name="Currency 2 5 2" xfId="139" xr:uid="{A18943B4-2D35-4409-A089-956C0DE19CF3}"/>
    <cellStyle name="Currency 2 6" xfId="140" xr:uid="{AA283D11-0DFC-4895-855E-BBA00CA0D27E}"/>
    <cellStyle name="Currency 3" xfId="141" xr:uid="{D57CBBFF-A1B7-417A-9EE7-42A6EC5977B7}"/>
    <cellStyle name="Currency 3 2" xfId="142" xr:uid="{E988681F-8F61-48FE-B977-4E86CF0802DF}"/>
    <cellStyle name="Currency 3 2 2" xfId="143" xr:uid="{B40A39EA-575C-4A07-84ED-185C07C39C28}"/>
    <cellStyle name="Currency 3 3" xfId="144" xr:uid="{D26DBA4A-3C55-43FD-B295-30DC6DE7E9F0}"/>
    <cellStyle name="Currency 3 3 2" xfId="145" xr:uid="{B2F93EA9-1B2F-412F-844C-2A5F42E35335}"/>
    <cellStyle name="Currency 3 4" xfId="146" xr:uid="{63B3DD29-AA21-444A-A608-77A9DC041E4E}"/>
    <cellStyle name="Currency 3 4 2" xfId="147" xr:uid="{A68C0053-3A99-434C-A577-3494B4C66801}"/>
    <cellStyle name="Currency 3 5" xfId="148" xr:uid="{D1987031-4051-4D7A-93BD-0BECD0972B59}"/>
    <cellStyle name="Currency 4" xfId="149" xr:uid="{E3D80BB0-2B44-4DFF-ABAD-5C16FE509A53}"/>
    <cellStyle name="Currency 4 2" xfId="150" xr:uid="{2CC8B293-6E2F-40CC-8136-508B520F50E3}"/>
    <cellStyle name="Currency 4 2 2" xfId="151" xr:uid="{5E2DB9A9-53D2-4A0B-BCE6-AA25EA98F9ED}"/>
    <cellStyle name="Currency 4 3" xfId="152" xr:uid="{A9590EA1-DF45-4E7C-8A7E-30512EE42CBA}"/>
    <cellStyle name="Currency 4 3 2" xfId="153" xr:uid="{7998F879-0A85-401F-8E09-99DC022CC0A5}"/>
    <cellStyle name="Currency 4 4" xfId="154" xr:uid="{2987B85C-B2CE-4682-80AB-97B9F1F68A48}"/>
    <cellStyle name="Currency 4 4 2" xfId="155" xr:uid="{8643C437-E80D-44BA-BF86-0529633370B0}"/>
    <cellStyle name="Currency 4 5" xfId="156" xr:uid="{302BB085-0956-4394-8EBB-5169D97E7B5C}"/>
    <cellStyle name="Currency 5" xfId="157" xr:uid="{E475E4F6-7D86-42DE-AC00-A0562F3F19A2}"/>
    <cellStyle name="Currency 5 2" xfId="158" xr:uid="{5165F965-FA2E-453D-9C0A-28DDD8FF7140}"/>
    <cellStyle name="Currency 5 2 2" xfId="159" xr:uid="{BCAAEF9F-7BFE-494E-9FE4-F369D956029D}"/>
    <cellStyle name="Currency 5 3" xfId="160" xr:uid="{C2949365-F48A-4F64-BD27-268C54332511}"/>
    <cellStyle name="Currency 5 3 2" xfId="161" xr:uid="{49441822-E22D-4B34-BF57-923B09E89C0F}"/>
    <cellStyle name="Currency 5 4" xfId="162" xr:uid="{410F9F8B-62D5-4185-B728-B1FB8229A721}"/>
    <cellStyle name="Currency 5 4 2" xfId="163" xr:uid="{941E727E-0C25-4212-9ED9-6CDEAA7A64BB}"/>
    <cellStyle name="Currency 5 5" xfId="164" xr:uid="{F10AB3C2-6ACB-4530-9360-4B000C84E396}"/>
    <cellStyle name="Currency 6" xfId="165" xr:uid="{4E80D4F6-6747-44EE-B061-F2510602D802}"/>
    <cellStyle name="Currency 6 2" xfId="166" xr:uid="{407F2011-4993-4665-8352-A64658989FF5}"/>
    <cellStyle name="Currency 7" xfId="167" xr:uid="{D8CA1F5D-3F85-4537-9E9B-06A1DDE0AA56}"/>
    <cellStyle name="Currency 7 2" xfId="168" xr:uid="{1FD1BAB3-D0D0-4AFB-B1ED-9EDE0857361E}"/>
    <cellStyle name="Currency 8" xfId="169" xr:uid="{D44B2EBC-4C67-41AF-B1DC-8AC431459A11}"/>
    <cellStyle name="Currency 8 2" xfId="170" xr:uid="{AAE9E104-64ED-445C-8E0B-2AF6DEB54F5A}"/>
    <cellStyle name="Currency 9" xfId="171" xr:uid="{57A444E8-C6FD-48A3-BD50-542734C5BB75}"/>
    <cellStyle name="Currency 9 2" xfId="172" xr:uid="{B6E4F6D1-48D5-47F6-AFEC-5C5F81F6F324}"/>
    <cellStyle name="Currency_GESTIÓN" xfId="2913" xr:uid="{2DDE44CB-9CC0-45B3-A6F7-6B56571332BD}"/>
    <cellStyle name="DateStyle" xfId="173" xr:uid="{56C64B61-60AA-451B-926E-7080963A18DF}"/>
    <cellStyle name="DateTimeStyle" xfId="174" xr:uid="{98A2BAFB-EA78-4910-BD65-27AF6DA8A2B7}"/>
    <cellStyle name="Decimal" xfId="175" xr:uid="{8968B71A-9A8E-41A7-BC60-C263264E7C25}"/>
    <cellStyle name="DecimalWithBorder" xfId="176" xr:uid="{A4816C6C-1212-4EEA-B43A-D7F3BAAB7BF8}"/>
    <cellStyle name="DecimalWithBorder 2" xfId="177" xr:uid="{4B5657F9-CA7B-4E91-9DDD-138875D53FD1}"/>
    <cellStyle name="DecimalWithBorder 2 2" xfId="178" xr:uid="{C06847A5-E931-4499-BAB5-53C2A9720163}"/>
    <cellStyle name="DecimalWithBorder 2 3" xfId="179" xr:uid="{A6490A9A-4E5B-4CBB-B956-F451320B19A4}"/>
    <cellStyle name="DecimalWithBorder 2 4" xfId="180" xr:uid="{8971DBBE-FB16-48ED-BE78-3B9E1976779C}"/>
    <cellStyle name="DecimalWithBorder 2_GESTIÓN" xfId="2902" xr:uid="{AD73D81F-254D-4E72-91F4-CDCA52FAC8AE}"/>
    <cellStyle name="DecimalWithBorder 3" xfId="181" xr:uid="{8BA446EF-7F34-42E1-AD5D-B81EEFCEA386}"/>
    <cellStyle name="DecimalWithBorder 4" xfId="182" xr:uid="{6844F9B9-B6AF-4F7B-88FA-257049A4A4E2}"/>
    <cellStyle name="DecimalWithBorder 5" xfId="183" xr:uid="{741F5243-F4B2-4883-9912-49F1AB8643B7}"/>
    <cellStyle name="DecimalWithBorder_GESTIÓN" xfId="2903" xr:uid="{6E9AACD0-AC94-48BA-9B12-34A2BE006F41}"/>
    <cellStyle name="Énfasis1 2" xfId="184" xr:uid="{D3BFF6D0-0C3D-4147-A059-31D5BE8213BB}"/>
    <cellStyle name="Énfasis1 2 2" xfId="185" xr:uid="{C772BA94-9C52-430A-B040-20EC13605079}"/>
    <cellStyle name="Énfasis1 2_GESTIÓN" xfId="2871" xr:uid="{AAF48C19-7318-449E-94C6-104D02E55739}"/>
    <cellStyle name="EuroCurrency" xfId="186" xr:uid="{AF3B9895-FBB7-4D8D-BFD8-1AEE3CD30CBD}"/>
    <cellStyle name="EuroCurrencyWithBorder" xfId="187" xr:uid="{ADD0BCD2-44EE-45FE-9D62-E582F4AC4137}"/>
    <cellStyle name="EuroCurrencyWithBorder 2" xfId="188" xr:uid="{CCC5E80F-06D6-45B4-85CA-10F4CC71589A}"/>
    <cellStyle name="EuroCurrencyWithBorder 2 2" xfId="189" xr:uid="{E7D1C424-6BE5-4DE3-94B8-418470D00FD5}"/>
    <cellStyle name="EuroCurrencyWithBorder 2 3" xfId="190" xr:uid="{5D0F90ED-90FB-4C7B-BCA8-5B2DBAD1E1C9}"/>
    <cellStyle name="EuroCurrencyWithBorder 2 4" xfId="191" xr:uid="{54338AA9-C52C-4260-A897-8C375A4C28E0}"/>
    <cellStyle name="EuroCurrencyWithBorder 2_GESTIÓN" xfId="2900" xr:uid="{8EFB3E1B-153F-4411-8F5A-87BDB3C38816}"/>
    <cellStyle name="EuroCurrencyWithBorder 3" xfId="192" xr:uid="{98CB5F8A-2E48-4F67-AD73-EB36ECE3F670}"/>
    <cellStyle name="EuroCurrencyWithBorder 4" xfId="193" xr:uid="{4CC6DCC6-BEAF-4B5D-B4DC-EB3DC7A5893E}"/>
    <cellStyle name="EuroCurrencyWithBorder 5" xfId="194" xr:uid="{421423CC-9908-4C7B-AAD9-0ABCAAC3E7EB}"/>
    <cellStyle name="EuroCurrencyWithBorder_GESTIÓN" xfId="2901" xr:uid="{CE64E497-BF1E-4094-BF88-2A4F79FD8F31}"/>
    <cellStyle name="HeaderStyle" xfId="195" xr:uid="{50CC730D-4357-4EB1-A430-604EB9B8858A}"/>
    <cellStyle name="HeaderSubTop" xfId="196" xr:uid="{B6D5E660-A0E4-48EB-961A-91484762997C}"/>
    <cellStyle name="HeaderSubTopNoBold" xfId="197" xr:uid="{30CAEEAA-8853-41FA-A533-B4376707474D}"/>
    <cellStyle name="HeaderTopBuyer" xfId="198" xr:uid="{F356BF64-0897-4E20-BF74-D650E17DA2D1}"/>
    <cellStyle name="HeaderTopStyle" xfId="199" xr:uid="{42089602-6474-4AB8-B34A-1A44D3C7FB16}"/>
    <cellStyle name="HeaderTopStyleAlignRight" xfId="200" xr:uid="{E6EEC306-3F96-4974-9243-BFF36D2013C6}"/>
    <cellStyle name="MainTitle" xfId="201" xr:uid="{1AC90453-B04C-46EE-BAC4-9EF9BBA1EBD3}"/>
    <cellStyle name="MainTitle 2" xfId="202" xr:uid="{A5209533-695E-4971-804A-7BD2AC789D90}"/>
    <cellStyle name="MainTitle 2 2" xfId="203" xr:uid="{B6AE7705-75C5-4C97-A694-213591D565B0}"/>
    <cellStyle name="MainTitle 2 3" xfId="204" xr:uid="{4D50A1FF-7B56-4165-BE2B-D917B96937FD}"/>
    <cellStyle name="MainTitle 2 4" xfId="205" xr:uid="{BEFF9FE4-2AA8-403A-BCF3-9AE810AA0C39}"/>
    <cellStyle name="MainTitle 2_GESTIÓN" xfId="2898" xr:uid="{F87C488E-F07E-4F50-B474-3B01BCABA903}"/>
    <cellStyle name="MainTitle 3" xfId="206" xr:uid="{738A7567-CEE9-4BC9-80F3-16C1F2EABDE6}"/>
    <cellStyle name="MainTitle 4" xfId="207" xr:uid="{CE060445-B884-4C55-82E2-6EB463BF46DE}"/>
    <cellStyle name="MainTitle 5" xfId="208" xr:uid="{0993E131-0054-4720-8190-CF2E0EE51B69}"/>
    <cellStyle name="MainTitle_GESTIÓN" xfId="2899" xr:uid="{BB4E152B-8269-4A0D-A769-F64467B677BA}"/>
    <cellStyle name="Millares" xfId="1" builtinId="3"/>
    <cellStyle name="Millares 10" xfId="209" xr:uid="{FB22C854-8464-444B-B0D6-51A7556322D5}"/>
    <cellStyle name="Millares 10 2" xfId="210" xr:uid="{31E00A95-5150-4441-8BB2-709BB789C24A}"/>
    <cellStyle name="Millares 10_GESTIÓN" xfId="2897" xr:uid="{8E8AC184-76FE-4FAC-8E38-2C0C946709F8}"/>
    <cellStyle name="Millares 11" xfId="2866" xr:uid="{9FCA4689-7D22-4D69-A0D6-5263F569D99E}"/>
    <cellStyle name="Millares 2" xfId="9" xr:uid="{C6A4937B-31E8-43F9-B932-081BD1FF92BE}"/>
    <cellStyle name="Millares 2 2" xfId="3" xr:uid="{00000000-0005-0000-0000-000001000000}"/>
    <cellStyle name="Millares 2 2 2" xfId="211" xr:uid="{57B2D7DB-899E-480E-BCB5-E240157D10C3}"/>
    <cellStyle name="Millares 2 3" xfId="212" xr:uid="{AEE2C673-5288-4730-A8CD-4D7935D493E8}"/>
    <cellStyle name="Millares 2 3 2" xfId="213" xr:uid="{82770F8B-1A76-4566-A7D5-0087529D2DA0}"/>
    <cellStyle name="Millares 2 3 2 2" xfId="214" xr:uid="{C28B78B3-E539-4FE3-960D-0A0250F0D8D8}"/>
    <cellStyle name="Millares 2 3 2_GESTIÓN" xfId="2894" xr:uid="{84C5EC52-1DCD-4857-B7A0-26B62F47420D}"/>
    <cellStyle name="Millares 2 3 3" xfId="215" xr:uid="{A0BAAAF6-5EBE-42EC-B2B3-42A1E29FB8D0}"/>
    <cellStyle name="Millares 2 3 4" xfId="216" xr:uid="{696F4057-FDB6-45E8-88B1-C49F90766A7E}"/>
    <cellStyle name="Millares 2 3_GESTIÓN" xfId="2895" xr:uid="{6314BA3C-F5E9-4EBE-A422-2364FDE8571A}"/>
    <cellStyle name="Millares 2 4" xfId="217" xr:uid="{59E494FD-F750-4255-87D4-12ED47FF1855}"/>
    <cellStyle name="Millares 2 4 2" xfId="218" xr:uid="{EA673C36-4EC9-4F83-AC11-D966CC460D2F}"/>
    <cellStyle name="Millares 2 4 3" xfId="219" xr:uid="{21141119-2FCF-4E9D-BDB1-3D5D2F708BB0}"/>
    <cellStyle name="Millares 2 4_GESTIÓN" xfId="2893" xr:uid="{A1F350CD-BDDF-47F2-9ED2-0D93DB98F081}"/>
    <cellStyle name="Millares 2 5" xfId="220" xr:uid="{26EC6323-E323-4E6E-AC9C-FAAF771117CB}"/>
    <cellStyle name="Millares 2 5 2" xfId="221" xr:uid="{88D2B264-9460-4AA8-AC58-027A69FE7898}"/>
    <cellStyle name="Millares 2 5_GESTIÓN" xfId="2892" xr:uid="{03D160B9-7A21-49EA-8C70-08DDEE108CF3}"/>
    <cellStyle name="Millares 2 6" xfId="222" xr:uid="{8A052C25-4B5F-46A7-8A7F-E3D215D6242D}"/>
    <cellStyle name="Millares 2 6 2" xfId="223" xr:uid="{18AEC298-FBAB-47DC-A44A-CF261BA511E9}"/>
    <cellStyle name="Millares 2 6_GESTIÓN" xfId="2891" xr:uid="{7AE82DA3-08AE-4042-AA38-8D59E7471FE2}"/>
    <cellStyle name="Millares 2_GESTIÓN" xfId="2896" xr:uid="{7A89CE3A-C981-4BA6-AD8B-DE300D8FB698}"/>
    <cellStyle name="Millares 3" xfId="10" xr:uid="{BF0B5F01-A549-4687-B600-A0277C250A3E}"/>
    <cellStyle name="Millares 3 2" xfId="11" xr:uid="{DA9BF1E5-7B8B-4F45-B4E4-C04E490539E5}"/>
    <cellStyle name="Millares 3 3" xfId="224" xr:uid="{A717EBAE-9041-43AD-B338-61FB7F3DEB3F}"/>
    <cellStyle name="Millares 3 3 2" xfId="225" xr:uid="{26D17DEA-3046-4C35-A35D-99FB2D44BD86}"/>
    <cellStyle name="Millares 3 3_GESTIÓN" xfId="2889" xr:uid="{376A0E88-E0EF-442E-8285-A40B24B95C47}"/>
    <cellStyle name="Millares 3 4" xfId="226" xr:uid="{8B7C1BB6-306E-43D7-9D2C-1A08ADF39BFB}"/>
    <cellStyle name="Millares 3_GESTIÓN" xfId="2890" xr:uid="{2CCDEBAA-4437-459A-BCD4-CFEFB4356331}"/>
    <cellStyle name="Millares 4" xfId="12" xr:uid="{DAC09987-12EA-45E3-869F-19393AED1D11}"/>
    <cellStyle name="Millares 4 2" xfId="227" xr:uid="{F355500D-CEC0-4DBB-B5A8-70E22DD1C3AD}"/>
    <cellStyle name="Millares 5" xfId="228" xr:uid="{58261B72-358D-4461-B910-E40FFC3604D2}"/>
    <cellStyle name="Millares 5 2" xfId="229" xr:uid="{FBE8732B-D254-43C6-A022-1A21B76CA467}"/>
    <cellStyle name="Millares 5 3" xfId="230" xr:uid="{70E4C6C4-17B1-44DD-8098-1D26E619058B}"/>
    <cellStyle name="Millares 5 4" xfId="231" xr:uid="{54BE69DF-F47B-457D-ACCC-90099A6961D7}"/>
    <cellStyle name="Millares 5 5" xfId="232" xr:uid="{F04BF094-90F8-4B00-86B1-6801E69054FD}"/>
    <cellStyle name="Millares 6" xfId="233" xr:uid="{78CE5468-DC2C-4389-96EB-80EDB227DE8D}"/>
    <cellStyle name="Millares 6 2" xfId="234" xr:uid="{AF3996A1-2262-4DB9-AC65-81DC4689F133}"/>
    <cellStyle name="Millares 6 2 2" xfId="235" xr:uid="{6841BA03-833D-4059-9C2B-C8DC4F19D633}"/>
    <cellStyle name="Millares 6 2_GESTIÓN" xfId="2887" xr:uid="{315BBC99-A1E8-4304-8EC5-6B1DE5CE61EE}"/>
    <cellStyle name="Millares 6 3" xfId="236" xr:uid="{860E117D-3187-467F-9FA6-D9EDD7952873}"/>
    <cellStyle name="Millares 6 3 2" xfId="237" xr:uid="{A7893B07-8E38-4C1A-A214-06DB76EFFB2F}"/>
    <cellStyle name="Millares 6 3_GESTIÓN" xfId="2886" xr:uid="{7638CF46-ED72-4216-A2BC-B900F55C3380}"/>
    <cellStyle name="Millares 6 4" xfId="238" xr:uid="{F11E2969-F14E-4C56-8F64-B19B52EA99DE}"/>
    <cellStyle name="Millares 6_GESTIÓN" xfId="2888" xr:uid="{A8CD12E1-2A1A-4661-AAAD-40673E5BDCDB}"/>
    <cellStyle name="Millares 7" xfId="239" xr:uid="{9E435E6B-2DFC-4F52-9BA4-5D3EE36EA00F}"/>
    <cellStyle name="Millares 7 2" xfId="240" xr:uid="{8FEFC1B8-E498-4246-8E09-E7232386EFFC}"/>
    <cellStyle name="Millares 7_GESTIÓN" xfId="2885" xr:uid="{D889FA82-42A4-4946-B03E-0B8709C399EF}"/>
    <cellStyle name="Millares 8" xfId="241" xr:uid="{0C54E692-AE06-4541-B896-97B8AB279C75}"/>
    <cellStyle name="Millares 8 2" xfId="242" xr:uid="{CD90E956-4DDC-4525-96EB-B72AFAA606A5}"/>
    <cellStyle name="Millares 8_GESTIÓN" xfId="2884" xr:uid="{E933B178-546F-4ACC-85F0-F347C18F7A85}"/>
    <cellStyle name="Millares 9" xfId="243" xr:uid="{0EEE5783-DF23-4D27-8620-BD904D793F55}"/>
    <cellStyle name="Millares 9 2" xfId="244" xr:uid="{E7E4D1E8-66AC-4AC2-A29E-F58D1DFCFD44}"/>
    <cellStyle name="Millares 9_GESTIÓN" xfId="2883" xr:uid="{6BEB2891-B197-4451-85F7-BA14ED82D1B2}"/>
    <cellStyle name="Moneda" xfId="4" builtinId="4"/>
    <cellStyle name="Moneda [0] 10" xfId="2869" xr:uid="{4799BF5E-0FB3-47D2-AA3E-8A1BFBF2EC2F}"/>
    <cellStyle name="Moneda [0] 2" xfId="245" xr:uid="{EDA79FEA-A48D-4FE6-BECC-FF992EF38589}"/>
    <cellStyle name="Moneda [0] 2 2" xfId="246" xr:uid="{755E54A2-E771-4F01-94D5-0DAB35EEBC98}"/>
    <cellStyle name="Moneda [0] 2 2 2" xfId="247" xr:uid="{57092841-69F6-4FFF-905A-A463D10900DA}"/>
    <cellStyle name="Moneda [0] 2 2 2 2" xfId="248" xr:uid="{FAAB366E-29E9-4744-86A3-1B87FFC70FFC}"/>
    <cellStyle name="Moneda [0] 2 2 3" xfId="249" xr:uid="{5BCDAE05-6F3A-4BFB-83D8-6E8F45E212A1}"/>
    <cellStyle name="Moneda [0] 2 2 4" xfId="250" xr:uid="{41B8911E-AD44-4F23-8167-19A5EC9E7207}"/>
    <cellStyle name="Moneda [0] 2 3" xfId="251" xr:uid="{85DA1EC4-A82F-4042-A96F-C20908A06405}"/>
    <cellStyle name="Moneda [0] 2 3 2" xfId="252" xr:uid="{2A25A1D5-A999-43A3-A2E2-C17D4C1AB0B7}"/>
    <cellStyle name="Moneda [0] 2 4" xfId="253" xr:uid="{C72E3013-A9C7-48D4-9C4C-B22CEC05899F}"/>
    <cellStyle name="Moneda [0] 2 5" xfId="254" xr:uid="{48C1C1EF-EAF3-41D7-BB00-775C1027B8DC}"/>
    <cellStyle name="Moneda [0] 3" xfId="255" xr:uid="{49B986DB-50C6-4AD2-ACF4-A018F3D7592F}"/>
    <cellStyle name="Moneda [0] 3 2" xfId="256" xr:uid="{B8EF3F9D-6CC6-4BE8-A55E-A2E8C990B4CD}"/>
    <cellStyle name="Moneda [0] 3 2 2" xfId="257" xr:uid="{CE501699-0556-4459-8DAE-B418A30B91CE}"/>
    <cellStyle name="Moneda [0] 3 2 2 2" xfId="258" xr:uid="{AE8637F7-E74A-4209-ABB6-12F1102FE431}"/>
    <cellStyle name="Moneda [0] 3 2 3" xfId="259" xr:uid="{8CFF53C2-2793-45E2-BD3A-2E8CD515EF25}"/>
    <cellStyle name="Moneda [0] 3 2 3 2" xfId="260" xr:uid="{4946C369-3E73-481D-8E00-FB19274ABEBE}"/>
    <cellStyle name="Moneda [0] 3 2 4" xfId="261" xr:uid="{1065B225-0887-4BCD-ADE7-7F0920F97E58}"/>
    <cellStyle name="Moneda [0] 3 2 4 2" xfId="262" xr:uid="{2098DCBD-0E45-4F4E-BC47-CAAE0A4326F5}"/>
    <cellStyle name="Moneda [0] 3 2 5" xfId="263" xr:uid="{601188C9-B6BF-4968-980D-2C5A2902FD6E}"/>
    <cellStyle name="Moneda [0] 3 3" xfId="264" xr:uid="{3B860AB3-1CA2-45D9-97AA-D03AAC4DD944}"/>
    <cellStyle name="Moneda [0] 3 3 2" xfId="265" xr:uid="{DF029261-691A-48A2-A80C-D4E425D28A7C}"/>
    <cellStyle name="Moneda [0] 3 4" xfId="266" xr:uid="{9D681B66-1C22-462E-8391-B58ECAE794F4}"/>
    <cellStyle name="Moneda [0] 3 4 2" xfId="267" xr:uid="{0FC549D6-497D-43E4-AF6B-853F862E11F5}"/>
    <cellStyle name="Moneda [0] 3 5" xfId="268" xr:uid="{7E5583E9-88C8-46F5-A7A4-CE6D446CDA10}"/>
    <cellStyle name="Moneda [0] 3 5 2" xfId="269" xr:uid="{83DD30D3-7ABC-4E14-8D5A-DA6875BEFB41}"/>
    <cellStyle name="Moneda [0] 3 6" xfId="270" xr:uid="{D58AA3B7-1DA3-41B7-9040-C41F3B1731D4}"/>
    <cellStyle name="Moneda [0] 3 7" xfId="271" xr:uid="{5EBFB437-393C-44EE-ABA9-7B8C5C03D925}"/>
    <cellStyle name="Moneda [0] 3_GESTIÓN" xfId="2882" xr:uid="{805560BE-F870-4FC8-86AF-C5F841BB4829}"/>
    <cellStyle name="Moneda [0] 4" xfId="272" xr:uid="{0782ABBD-5F4F-4699-BE89-DA7A46F2089A}"/>
    <cellStyle name="Moneda [0] 4 2" xfId="273" xr:uid="{2146F169-7900-4CB7-B87A-BF2CC269E7C9}"/>
    <cellStyle name="Moneda [0] 4 2 2" xfId="274" xr:uid="{929D0D09-E14D-47D6-AD3E-BC7F34086438}"/>
    <cellStyle name="Moneda [0] 4 3" xfId="275" xr:uid="{66B509E3-48B6-4AC0-994A-C2D497CBA30A}"/>
    <cellStyle name="Moneda [0] 4 3 2" xfId="276" xr:uid="{8526BD45-72E9-45B7-A0BE-84149F16ED12}"/>
    <cellStyle name="Moneda [0] 4 4" xfId="277" xr:uid="{A2ADA92D-EA95-4350-9618-59BFBA322796}"/>
    <cellStyle name="Moneda [0] 4 4 2" xfId="278" xr:uid="{5257F132-6D32-4409-B8C3-EE952E138755}"/>
    <cellStyle name="Moneda [0] 4 5" xfId="279" xr:uid="{58D80C41-856D-4104-BFA0-FC247F3D246B}"/>
    <cellStyle name="Moneda [0] 5" xfId="280" xr:uid="{31ECA3FA-6929-4D2F-8884-CCCFFCEEB3A0}"/>
    <cellStyle name="Moneda [0] 5 2" xfId="281" xr:uid="{BA6B04F9-B4B4-485F-B64F-802405A62636}"/>
    <cellStyle name="Moneda [0] 5 2 2" xfId="282" xr:uid="{A81CF6BB-1C8D-44C8-8767-C7B90E761B47}"/>
    <cellStyle name="Moneda [0] 5 3" xfId="283" xr:uid="{DEEBEB59-7D40-4E41-B2CF-ADCA665BE5DF}"/>
    <cellStyle name="Moneda [0] 5 3 2" xfId="284" xr:uid="{DE6C39F1-F285-4094-B1E0-8A718E1BB7BC}"/>
    <cellStyle name="Moneda [0] 5 4" xfId="285" xr:uid="{F856AB93-8559-451C-83E7-179E3620E3E4}"/>
    <cellStyle name="Moneda [0] 5 4 2" xfId="286" xr:uid="{628A6716-3AAE-4756-9679-FB906A5CAA41}"/>
    <cellStyle name="Moneda [0] 5 5" xfId="287" xr:uid="{67C6C569-54BD-4051-A9AC-60827F85315A}"/>
    <cellStyle name="Moneda [0] 6" xfId="288" xr:uid="{45E81F86-1D7E-4662-A47C-12BF0C1786EA}"/>
    <cellStyle name="Moneda [0] 6 2" xfId="289" xr:uid="{31860616-3B82-45FC-AF0D-55BB32D64ADB}"/>
    <cellStyle name="Moneda [0] 7" xfId="290" xr:uid="{B73EB1C9-091D-4FED-A48C-8A18D1F9EF9C}"/>
    <cellStyle name="Moneda [0] 7 2" xfId="291" xr:uid="{47839AA9-CAF2-44E6-A0B0-D4031736020A}"/>
    <cellStyle name="Moneda [0] 8" xfId="292" xr:uid="{D0B089D1-4BE3-4D8B-AB28-875BE2AD53EC}"/>
    <cellStyle name="Moneda [0] 8 2" xfId="293" xr:uid="{F84DE467-5D2A-41EB-B49E-5E9F0C01F502}"/>
    <cellStyle name="Moneda [0] 9" xfId="294" xr:uid="{E87478F5-6467-44F4-B03E-2AF34CB41A93}"/>
    <cellStyle name="Moneda [0] 9 2" xfId="295" xr:uid="{C15245D3-2ABF-48D5-97A4-7746D938FD4E}"/>
    <cellStyle name="Moneda 10" xfId="296" xr:uid="{D9B770AD-0885-44AC-9D1E-D7E0650E02D0}"/>
    <cellStyle name="Moneda 10 10" xfId="297" xr:uid="{87ECA7E9-BCD8-4B56-A8B4-FBD75D2B261F}"/>
    <cellStyle name="Moneda 10 11" xfId="298" xr:uid="{B4932D3E-F206-4D27-8202-D70F7E4DDCAB}"/>
    <cellStyle name="Moneda 10 2" xfId="299" xr:uid="{9C49B50B-76C6-4FCC-86D6-230A8A68EC0F}"/>
    <cellStyle name="Moneda 10 2 2" xfId="300" xr:uid="{536AFA94-AE27-4FDA-8DE0-19C7FACF6A3F}"/>
    <cellStyle name="Moneda 10 2 2 2" xfId="301" xr:uid="{7AE7E555-249A-4ECC-A5D5-814DD73E4C0C}"/>
    <cellStyle name="Moneda 10 2 2 2 2" xfId="302" xr:uid="{AEB257D4-9619-474E-99BE-11A2909718B1}"/>
    <cellStyle name="Moneda 10 2 2 2 2 2" xfId="303" xr:uid="{563BCB45-79A6-470A-89D6-52E7F60E96B3}"/>
    <cellStyle name="Moneda 10 2 2 2 3" xfId="304" xr:uid="{062F6CAA-E9FF-4B92-BFB4-804A62CFBACB}"/>
    <cellStyle name="Moneda 10 2 2 2 3 2" xfId="305" xr:uid="{7EA6A13E-A2B0-4071-A232-52D8F23B7A5B}"/>
    <cellStyle name="Moneda 10 2 2 2 4" xfId="306" xr:uid="{AB5271D5-0F55-4FEA-9784-F79156E21A53}"/>
    <cellStyle name="Moneda 10 2 2 2 4 2" xfId="307" xr:uid="{4EEAD3DA-6F11-44A9-80D8-461C1DE124A6}"/>
    <cellStyle name="Moneda 10 2 2 2 5" xfId="308" xr:uid="{905C2CDF-8763-4002-9B7C-9AA22A59BFE0}"/>
    <cellStyle name="Moneda 10 2 2 3" xfId="309" xr:uid="{3BCCF6F9-3923-4333-B632-1A1C5C8C8259}"/>
    <cellStyle name="Moneda 10 2 2 3 2" xfId="310" xr:uid="{5578439D-384B-4D80-8FE7-F49FFB3396D2}"/>
    <cellStyle name="Moneda 10 2 2 4" xfId="311" xr:uid="{CF7705F1-530C-4272-9982-68968A5E0E50}"/>
    <cellStyle name="Moneda 10 2 2 4 2" xfId="312" xr:uid="{B5A81F5B-6B3B-4253-9CA5-8DC10C94695A}"/>
    <cellStyle name="Moneda 10 2 2 5" xfId="313" xr:uid="{45C82C3B-E1CF-42EA-9C28-3A19EA41D693}"/>
    <cellStyle name="Moneda 10 2 2 5 2" xfId="314" xr:uid="{9128C0AC-E254-4B8E-86ED-E57B7174BB6D}"/>
    <cellStyle name="Moneda 10 2 2 6" xfId="315" xr:uid="{85026623-E923-46C0-AE12-48F5FFBC5170}"/>
    <cellStyle name="Moneda 10 2 3" xfId="316" xr:uid="{B6FFF6FF-1A28-443B-BEBF-94A1E820635C}"/>
    <cellStyle name="Moneda 10 2 3 2" xfId="317" xr:uid="{FA9C7042-ED47-483C-818A-CBD9AC42B45C}"/>
    <cellStyle name="Moneda 10 2 3 2 2" xfId="318" xr:uid="{7CF59CBB-ACE8-47B8-81CF-BCE346466878}"/>
    <cellStyle name="Moneda 10 2 3 3" xfId="319" xr:uid="{EB40D20F-ABAC-4FC4-852F-41C7D5EB5447}"/>
    <cellStyle name="Moneda 10 2 3 3 2" xfId="320" xr:uid="{66000CF3-4F4F-4053-BC35-978E72523F88}"/>
    <cellStyle name="Moneda 10 2 3 4" xfId="321" xr:uid="{A6668872-F854-4F23-B2DD-8B1A30BF7858}"/>
    <cellStyle name="Moneda 10 2 3 4 2" xfId="322" xr:uid="{69D1EF38-070D-4966-AA8C-7C8A228A1D06}"/>
    <cellStyle name="Moneda 10 2 3 5" xfId="323" xr:uid="{5E606600-AD61-4A54-9114-E098622F0D78}"/>
    <cellStyle name="Moneda 10 2 4" xfId="324" xr:uid="{D2A34209-E469-4338-A4D1-FE31CD1E4327}"/>
    <cellStyle name="Moneda 10 2 4 2" xfId="325" xr:uid="{E9CFE187-A92C-4B48-8443-E46F50D0D337}"/>
    <cellStyle name="Moneda 10 2 5" xfId="326" xr:uid="{666A7043-B9AB-48AC-924C-047843FF541F}"/>
    <cellStyle name="Moneda 10 2 5 2" xfId="327" xr:uid="{078CDA1A-647B-4A30-82B0-3537C4535A50}"/>
    <cellStyle name="Moneda 10 2 6" xfId="328" xr:uid="{C40C5C2B-DF15-40AD-B2C0-699470FB37B9}"/>
    <cellStyle name="Moneda 10 2 6 2" xfId="329" xr:uid="{11A1DB42-1FF7-467D-8B27-76330F4FA601}"/>
    <cellStyle name="Moneda 10 2 7" xfId="330" xr:uid="{74CFE9EC-3427-401C-9448-CBD456D53C37}"/>
    <cellStyle name="Moneda 10 2 8" xfId="331" xr:uid="{13E486B2-76DA-4863-8A95-59C8FE6641BE}"/>
    <cellStyle name="Moneda 10 3" xfId="332" xr:uid="{EF3FAD99-8DEF-4C6C-B6D3-4E167F527558}"/>
    <cellStyle name="Moneda 10 3 2" xfId="333" xr:uid="{9DBE5040-B6E2-4681-9011-E2A01A4C99ED}"/>
    <cellStyle name="Moneda 10 3 2 2" xfId="334" xr:uid="{2BC8E897-41C9-4BD0-96DF-D2B7F105CF77}"/>
    <cellStyle name="Moneda 10 3 2 2 2" xfId="335" xr:uid="{34E5F2E3-EC15-4E91-8FC9-051640E5F4C3}"/>
    <cellStyle name="Moneda 10 3 2 2 2 2" xfId="336" xr:uid="{5D17607F-FF6F-44BB-84CF-D120B4265ABC}"/>
    <cellStyle name="Moneda 10 3 2 2 3" xfId="337" xr:uid="{6C0DED4B-DD61-4EBC-BCB8-B9C66EB9F6C9}"/>
    <cellStyle name="Moneda 10 3 2 2 3 2" xfId="338" xr:uid="{CF2396DA-9D07-46F9-8607-518658F629B4}"/>
    <cellStyle name="Moneda 10 3 2 2 4" xfId="339" xr:uid="{2A385B94-4531-41F4-831C-02FC0D139BDC}"/>
    <cellStyle name="Moneda 10 3 2 2 4 2" xfId="340" xr:uid="{0CFBEA76-4C59-4501-AB34-41EDFA8AC980}"/>
    <cellStyle name="Moneda 10 3 2 2 5" xfId="341" xr:uid="{7231A1D0-E0D3-4295-ABB3-FC39D7D28D11}"/>
    <cellStyle name="Moneda 10 3 2 3" xfId="342" xr:uid="{E77AAD2E-CBAE-4C1B-8628-CB2A51108EC8}"/>
    <cellStyle name="Moneda 10 3 2 3 2" xfId="343" xr:uid="{3B6ACA06-C37A-42E1-B3B2-6D2A3F9BE68C}"/>
    <cellStyle name="Moneda 10 3 2 4" xfId="344" xr:uid="{81587B35-682A-4559-9A75-462D43D4A385}"/>
    <cellStyle name="Moneda 10 3 2 4 2" xfId="345" xr:uid="{D8000A6E-C2D1-4409-9DCA-49FF814DC21E}"/>
    <cellStyle name="Moneda 10 3 2 5" xfId="346" xr:uid="{CDCE23AB-8F41-45FD-B679-2603C18A2AFB}"/>
    <cellStyle name="Moneda 10 3 2 5 2" xfId="347" xr:uid="{240AF1B2-3875-439A-920B-1E5054421324}"/>
    <cellStyle name="Moneda 10 3 2 6" xfId="348" xr:uid="{D755D40E-588B-4E17-BBAB-C21A0C3CC757}"/>
    <cellStyle name="Moneda 10 3 3" xfId="349" xr:uid="{BD0C905C-5DCB-49C9-801C-85864F67A545}"/>
    <cellStyle name="Moneda 10 3 3 2" xfId="350" xr:uid="{36DFDC70-98F4-4A3E-B044-76F68D80E6BB}"/>
    <cellStyle name="Moneda 10 3 3 2 2" xfId="351" xr:uid="{CE6760BD-22C7-4659-AC9C-8587AF55BFEC}"/>
    <cellStyle name="Moneda 10 3 3 3" xfId="352" xr:uid="{32C241F7-C184-488C-BBF4-EF4EFF94DEB6}"/>
    <cellStyle name="Moneda 10 3 3 3 2" xfId="353" xr:uid="{A5DC23B8-82A7-4139-86A7-C9854BF89577}"/>
    <cellStyle name="Moneda 10 3 3 4" xfId="354" xr:uid="{426D28E3-961F-4B54-9CFB-641DDC79F74E}"/>
    <cellStyle name="Moneda 10 3 3 4 2" xfId="355" xr:uid="{7FF9B69B-CA13-4AF6-82FA-97B56DEB9DF4}"/>
    <cellStyle name="Moneda 10 3 3 5" xfId="356" xr:uid="{28EB8108-392C-4542-BE6D-0E68B9E55125}"/>
    <cellStyle name="Moneda 10 3 4" xfId="357" xr:uid="{5475836B-1FF3-46C8-AD89-43D3F3B3F3BA}"/>
    <cellStyle name="Moneda 10 3 4 2" xfId="358" xr:uid="{B523A571-75FD-4258-8A47-9C96F38F8A4A}"/>
    <cellStyle name="Moneda 10 3 5" xfId="359" xr:uid="{5F19E7C3-3AB3-4DEC-913C-4C700C552E3D}"/>
    <cellStyle name="Moneda 10 3 5 2" xfId="360" xr:uid="{25D3EC83-DBD7-41F4-8D8A-383B6FF85A21}"/>
    <cellStyle name="Moneda 10 3 6" xfId="361" xr:uid="{597023E9-FE46-4978-902D-A48A27B1555F}"/>
    <cellStyle name="Moneda 10 3 6 2" xfId="362" xr:uid="{1C9ED0DE-D06C-4D4C-8069-67C4B8D8884B}"/>
    <cellStyle name="Moneda 10 3 7" xfId="363" xr:uid="{C8BD03ED-6C60-48CE-8C50-56B6529F6C68}"/>
    <cellStyle name="Moneda 10 4" xfId="364" xr:uid="{36158995-ED52-4369-A366-AF2D74AAE3AD}"/>
    <cellStyle name="Moneda 10 4 2" xfId="365" xr:uid="{A16BECBF-4210-4F49-8781-321C29023775}"/>
    <cellStyle name="Moneda 10 4 2 2" xfId="366" xr:uid="{5120C72F-179E-497E-8F93-1C3F53A88DFE}"/>
    <cellStyle name="Moneda 10 4 2 2 2" xfId="367" xr:uid="{B8C1937C-BC79-4AF8-AA63-78A208F85703}"/>
    <cellStyle name="Moneda 10 4 2 2 2 2" xfId="368" xr:uid="{6096C83C-2738-4088-9DD4-3FC9ABF6E0BD}"/>
    <cellStyle name="Moneda 10 4 2 2 3" xfId="369" xr:uid="{8B274BB7-AAA9-41E8-87A5-745829531B5D}"/>
    <cellStyle name="Moneda 10 4 2 2 3 2" xfId="370" xr:uid="{58C1AF80-27AF-4743-AFE6-E47A1BF9B09A}"/>
    <cellStyle name="Moneda 10 4 2 2 4" xfId="371" xr:uid="{B10D2CCA-69F8-4183-BBD2-D3174D189294}"/>
    <cellStyle name="Moneda 10 4 2 2 4 2" xfId="372" xr:uid="{9B81D1C7-53FD-4AF0-87E6-CC8F3716DABB}"/>
    <cellStyle name="Moneda 10 4 2 2 5" xfId="373" xr:uid="{76FBD0C6-6519-4CBA-A356-8AE65E68B05B}"/>
    <cellStyle name="Moneda 10 4 2 3" xfId="374" xr:uid="{197B131E-6018-467C-9814-DC83881DE420}"/>
    <cellStyle name="Moneda 10 4 2 3 2" xfId="375" xr:uid="{C027F8AB-20FC-41F3-9DDA-9B50D13A514D}"/>
    <cellStyle name="Moneda 10 4 2 4" xfId="376" xr:uid="{6B5D3712-BEDB-48D1-91DF-8FDEF6274F0E}"/>
    <cellStyle name="Moneda 10 4 2 4 2" xfId="377" xr:uid="{7C191A7B-84DF-4253-9CBB-34EFAA829C40}"/>
    <cellStyle name="Moneda 10 4 2 5" xfId="378" xr:uid="{1196DC69-8714-46B3-8A9B-4BC6B50DE798}"/>
    <cellStyle name="Moneda 10 4 2 5 2" xfId="379" xr:uid="{8EC87232-131A-44AC-A4C0-102760E11307}"/>
    <cellStyle name="Moneda 10 4 2 6" xfId="380" xr:uid="{403F6B2B-7EEE-42DF-AB54-5EFCABCAE70F}"/>
    <cellStyle name="Moneda 10 4 3" xfId="381" xr:uid="{23AD5F7C-EA16-4CCE-876E-83BB6DCE5FD9}"/>
    <cellStyle name="Moneda 10 4 3 2" xfId="382" xr:uid="{A6137D38-2E0A-4141-8CCF-0FA116FC8349}"/>
    <cellStyle name="Moneda 10 4 3 2 2" xfId="383" xr:uid="{195D6E48-5AF8-4465-AD7D-B459E3F6B772}"/>
    <cellStyle name="Moneda 10 4 3 3" xfId="384" xr:uid="{47A20F12-BDD1-494A-BEED-BD046A82F7D5}"/>
    <cellStyle name="Moneda 10 4 3 3 2" xfId="385" xr:uid="{9E308D38-4897-4CB4-8552-44EF0082568B}"/>
    <cellStyle name="Moneda 10 4 3 4" xfId="386" xr:uid="{777357DE-07D2-4385-9FC0-805878796164}"/>
    <cellStyle name="Moneda 10 4 3 4 2" xfId="387" xr:uid="{4C5912A5-8A58-4748-BB90-985177EDCD6D}"/>
    <cellStyle name="Moneda 10 4 3 5" xfId="388" xr:uid="{D394FDA9-7F75-4C18-9C71-CEF6EB327277}"/>
    <cellStyle name="Moneda 10 4 4" xfId="389" xr:uid="{7C48548C-F1D1-4763-9992-DBC0C13F0435}"/>
    <cellStyle name="Moneda 10 4 4 2" xfId="390" xr:uid="{F43ABF47-6C3C-4321-B59F-3DF960194070}"/>
    <cellStyle name="Moneda 10 4 5" xfId="391" xr:uid="{9DCAB5C8-D2CB-4DBD-BE07-5EB8E83AA5FD}"/>
    <cellStyle name="Moneda 10 4 5 2" xfId="392" xr:uid="{9E41C00A-D680-4027-8A50-242CCCA5BEA5}"/>
    <cellStyle name="Moneda 10 4 6" xfId="393" xr:uid="{D723324E-6E14-4B56-9FC9-25DE3E09C2BD}"/>
    <cellStyle name="Moneda 10 4 6 2" xfId="394" xr:uid="{35EBCC40-213D-420A-974E-1BA0D76F3161}"/>
    <cellStyle name="Moneda 10 4 7" xfId="395" xr:uid="{D7C74702-34D2-47ED-B8C1-EFBAD437FD28}"/>
    <cellStyle name="Moneda 10 5" xfId="396" xr:uid="{564FAD5F-81FF-4955-A4D0-833323EB499F}"/>
    <cellStyle name="Moneda 10 5 2" xfId="397" xr:uid="{D69A8D98-AD9A-473C-B01C-581530C322DB}"/>
    <cellStyle name="Moneda 10 5 2 2" xfId="398" xr:uid="{7C8BE945-7E7A-42CE-8E51-649C829EC602}"/>
    <cellStyle name="Moneda 10 5 2 2 2" xfId="399" xr:uid="{C726D280-1E06-4981-82C6-969583B0BD3C}"/>
    <cellStyle name="Moneda 10 5 2 3" xfId="400" xr:uid="{A1D3DDA0-86D8-46F6-A1C9-0D8A2CC91BEE}"/>
    <cellStyle name="Moneda 10 5 2 3 2" xfId="401" xr:uid="{2622BD77-D936-44CB-897A-9D17A4D56292}"/>
    <cellStyle name="Moneda 10 5 2 4" xfId="402" xr:uid="{B96C1FFB-1286-4F30-8ED4-6AB3284583D0}"/>
    <cellStyle name="Moneda 10 5 2 4 2" xfId="403" xr:uid="{2B014F60-11E1-4C20-BC73-1188FC98F86B}"/>
    <cellStyle name="Moneda 10 5 2 5" xfId="404" xr:uid="{69F2E47C-E112-4B2E-A6DF-C073FFCE4949}"/>
    <cellStyle name="Moneda 10 5 3" xfId="405" xr:uid="{2B5BBB4A-72F3-4BE6-AD27-7ED141EC3D8B}"/>
    <cellStyle name="Moneda 10 5 3 2" xfId="406" xr:uid="{2C0C1C05-CE25-4664-B6C6-BF894A6036A2}"/>
    <cellStyle name="Moneda 10 5 4" xfId="407" xr:uid="{F77D402F-35C1-469B-87AF-570B6458C2DA}"/>
    <cellStyle name="Moneda 10 5 4 2" xfId="408" xr:uid="{5A5C28DC-0B0F-456B-91BB-957C1B045C1C}"/>
    <cellStyle name="Moneda 10 5 5" xfId="409" xr:uid="{E5CF1E57-F82D-43C6-8912-8A2F8CCE0750}"/>
    <cellStyle name="Moneda 10 5 5 2" xfId="410" xr:uid="{91A3D781-F6BA-424D-A4A8-A8C86BDE4248}"/>
    <cellStyle name="Moneda 10 5 6" xfId="411" xr:uid="{5A40CFB1-D673-4EBF-A7CB-118A49AE76E6}"/>
    <cellStyle name="Moneda 10 6" xfId="412" xr:uid="{8785F1A9-4635-44D9-A1D4-7ED0303AC284}"/>
    <cellStyle name="Moneda 10 6 2" xfId="413" xr:uid="{BDCD4FCD-BFBA-4951-9E96-13121580FC61}"/>
    <cellStyle name="Moneda 10 6 2 2" xfId="414" xr:uid="{6C20AA74-3890-436B-8D35-B765E71BCE45}"/>
    <cellStyle name="Moneda 10 6 3" xfId="415" xr:uid="{9508424F-B760-45BF-BF7C-E19B59D6B677}"/>
    <cellStyle name="Moneda 10 6 3 2" xfId="416" xr:uid="{7E5D568D-E6E2-4E89-A56F-F40E002EB631}"/>
    <cellStyle name="Moneda 10 6 4" xfId="417" xr:uid="{E4B18B0A-0A89-4197-A76F-C7CC5764BECB}"/>
    <cellStyle name="Moneda 10 6 4 2" xfId="418" xr:uid="{B1858DB6-C295-45C3-B26C-D5EA9B8E85CC}"/>
    <cellStyle name="Moneda 10 6 5" xfId="419" xr:uid="{B13D6DD3-639A-418B-A03A-E9BAE61009FC}"/>
    <cellStyle name="Moneda 10 7" xfId="420" xr:uid="{83911D95-40A2-4B3B-BEAC-4F8A6077E6CE}"/>
    <cellStyle name="Moneda 10 7 2" xfId="421" xr:uid="{D7BC4666-6E35-43E3-983D-0174532217ED}"/>
    <cellStyle name="Moneda 10 8" xfId="422" xr:uid="{E1FD496A-D040-4E1F-80CD-7B6BB15AA9DA}"/>
    <cellStyle name="Moneda 10 8 2" xfId="423" xr:uid="{D801E51F-D0B2-4C53-B77E-77D5A08A188D}"/>
    <cellStyle name="Moneda 10 9" xfId="424" xr:uid="{28E6E26E-38C3-4FED-9FBC-FC83B810DB2E}"/>
    <cellStyle name="Moneda 10 9 2" xfId="425" xr:uid="{B14959AF-55EC-4831-974A-EF016E64B258}"/>
    <cellStyle name="Moneda 11" xfId="426" xr:uid="{358074BF-2BD6-460D-ACA2-9B0209D533A7}"/>
    <cellStyle name="Moneda 11 10" xfId="427" xr:uid="{CEC3E9F8-D94B-48AD-844D-F3CD31207890}"/>
    <cellStyle name="Moneda 11 11" xfId="428" xr:uid="{EBBBFB3D-195C-4F95-933A-4A5CDF04725A}"/>
    <cellStyle name="Moneda 11 2" xfId="429" xr:uid="{8AA63155-2F40-4C74-B8FF-D9589A7A2008}"/>
    <cellStyle name="Moneda 11 2 2" xfId="430" xr:uid="{F204C22D-6391-421C-A769-4993416875C8}"/>
    <cellStyle name="Moneda 11 2 2 2" xfId="431" xr:uid="{BA13D649-4695-4FB9-A06F-53F42C5A6CF5}"/>
    <cellStyle name="Moneda 11 2 2 2 2" xfId="432" xr:uid="{60B1730C-3634-41E5-BE82-96FEE3A85660}"/>
    <cellStyle name="Moneda 11 2 2 2 2 2" xfId="433" xr:uid="{005FC4C3-8388-4D37-A02B-F1E6869AFE97}"/>
    <cellStyle name="Moneda 11 2 2 2 3" xfId="434" xr:uid="{67DB4DAD-B13A-43D0-9AC0-F6197E02C7AD}"/>
    <cellStyle name="Moneda 11 2 2 2 3 2" xfId="435" xr:uid="{BB38DD60-D3F0-41BB-99E1-3FAD2F408398}"/>
    <cellStyle name="Moneda 11 2 2 2 4" xfId="436" xr:uid="{91C5AC24-7C00-4B8E-89CC-D2D5229A7322}"/>
    <cellStyle name="Moneda 11 2 2 2 4 2" xfId="437" xr:uid="{487DABFF-A94D-4EF2-8CDC-FAA9B7E557B0}"/>
    <cellStyle name="Moneda 11 2 2 2 5" xfId="438" xr:uid="{6D9B454B-7223-414C-AD86-2C3F4AA02D59}"/>
    <cellStyle name="Moneda 11 2 2 3" xfId="439" xr:uid="{B2F88913-EFAD-448E-9AE5-DF65207BEA12}"/>
    <cellStyle name="Moneda 11 2 2 3 2" xfId="440" xr:uid="{71D7F5B9-08BC-4E40-B0AC-09B7F0FFAD5A}"/>
    <cellStyle name="Moneda 11 2 2 4" xfId="441" xr:uid="{7A58EC7A-59CA-4265-9053-B52032070942}"/>
    <cellStyle name="Moneda 11 2 2 4 2" xfId="442" xr:uid="{A8240524-C71A-4317-BB90-AEF7B4BAF7F8}"/>
    <cellStyle name="Moneda 11 2 2 5" xfId="443" xr:uid="{D553CEB1-EC3F-40F9-B13D-49CB92384D91}"/>
    <cellStyle name="Moneda 11 2 2 5 2" xfId="444" xr:uid="{721ACC32-5F3A-4124-A475-612B1C76D1BF}"/>
    <cellStyle name="Moneda 11 2 2 6" xfId="445" xr:uid="{7E325B67-D75C-4ABC-B9C6-961DED62A798}"/>
    <cellStyle name="Moneda 11 2 3" xfId="446" xr:uid="{15301EB2-2390-4795-B616-60403EF4601E}"/>
    <cellStyle name="Moneda 11 2 3 2" xfId="447" xr:uid="{BAE7C6C3-5D42-44C5-91A5-836DD7620FDA}"/>
    <cellStyle name="Moneda 11 2 3 2 2" xfId="448" xr:uid="{B804681E-8288-4C3C-83B5-68C0F93FAB84}"/>
    <cellStyle name="Moneda 11 2 3 3" xfId="449" xr:uid="{0A396C56-54CA-4742-A16E-2AC19F314CAD}"/>
    <cellStyle name="Moneda 11 2 3 3 2" xfId="450" xr:uid="{A25D14DB-E104-49B0-860D-7409713AA847}"/>
    <cellStyle name="Moneda 11 2 3 4" xfId="451" xr:uid="{FB66759F-44CA-4A1E-9240-3FF016AF76A4}"/>
    <cellStyle name="Moneda 11 2 3 4 2" xfId="452" xr:uid="{F64FC527-BF29-4988-A82B-66FE8CE8A1B0}"/>
    <cellStyle name="Moneda 11 2 3 5" xfId="453" xr:uid="{8E81BD76-C28E-44D7-B62E-D6B30FE6F12C}"/>
    <cellStyle name="Moneda 11 2 4" xfId="454" xr:uid="{1F5FCB8B-2F22-44CF-A28B-A06ADF12BCCF}"/>
    <cellStyle name="Moneda 11 2 4 2" xfId="455" xr:uid="{136FA093-6C8E-4612-8252-FEF7DD11265B}"/>
    <cellStyle name="Moneda 11 2 5" xfId="456" xr:uid="{58B95045-6380-4152-A5F0-42865B874522}"/>
    <cellStyle name="Moneda 11 2 5 2" xfId="457" xr:uid="{A5682B7F-C8E5-4753-9BA7-C7624E897ECD}"/>
    <cellStyle name="Moneda 11 2 6" xfId="458" xr:uid="{8033CA80-4C81-49FC-9EDE-9A03404F7533}"/>
    <cellStyle name="Moneda 11 2 6 2" xfId="459" xr:uid="{BD246912-0AAC-40B1-97AA-1B5D80748217}"/>
    <cellStyle name="Moneda 11 2 7" xfId="460" xr:uid="{60A81857-100F-4FE8-9749-B940AA4F4E11}"/>
    <cellStyle name="Moneda 11 2 8" xfId="461" xr:uid="{77B73243-B1ED-482C-8C6C-7DB3603717FA}"/>
    <cellStyle name="Moneda 11 3" xfId="462" xr:uid="{3660FD64-34A6-4A88-8B83-4E899FD75EA8}"/>
    <cellStyle name="Moneda 11 3 2" xfId="463" xr:uid="{65A675BA-A17C-43F7-9B5F-61F8A5E36297}"/>
    <cellStyle name="Moneda 11 3 2 2" xfId="464" xr:uid="{A60B4AE4-FAA7-475B-8DFD-7E7E8976B2C4}"/>
    <cellStyle name="Moneda 11 3 2 2 2" xfId="465" xr:uid="{B03F4D7C-6BAE-4C94-BF80-4BC8A27F4300}"/>
    <cellStyle name="Moneda 11 3 2 2 2 2" xfId="466" xr:uid="{09661FEB-A3EE-48FD-B7D0-76B97726744C}"/>
    <cellStyle name="Moneda 11 3 2 2 3" xfId="467" xr:uid="{C3A8BD37-FF8A-4217-9DBD-810E73AB128A}"/>
    <cellStyle name="Moneda 11 3 2 2 3 2" xfId="468" xr:uid="{7FE77B3D-4BC8-48F5-8B7A-7FEE5EF98A70}"/>
    <cellStyle name="Moneda 11 3 2 2 4" xfId="469" xr:uid="{2959D356-EBA8-4A1C-85A9-398F4F960531}"/>
    <cellStyle name="Moneda 11 3 2 2 4 2" xfId="470" xr:uid="{07EE8FB0-236E-4BF6-B525-7D64DCDC176D}"/>
    <cellStyle name="Moneda 11 3 2 2 5" xfId="471" xr:uid="{8A7308A7-2CB3-4872-9653-9F191AFD187F}"/>
    <cellStyle name="Moneda 11 3 2 3" xfId="472" xr:uid="{A4801D9E-D011-4C8F-809C-9FA4B9B1AC6C}"/>
    <cellStyle name="Moneda 11 3 2 3 2" xfId="473" xr:uid="{FE4E7886-90BC-4F4E-B006-E3FC994BDC96}"/>
    <cellStyle name="Moneda 11 3 2 4" xfId="474" xr:uid="{C447E50C-F753-484B-9F67-43379F1BA079}"/>
    <cellStyle name="Moneda 11 3 2 4 2" xfId="475" xr:uid="{A1D00BF3-C939-4E42-8744-D02B1BADC223}"/>
    <cellStyle name="Moneda 11 3 2 5" xfId="476" xr:uid="{9AA7886E-FFF7-4A77-96DC-8E5ABC048AC1}"/>
    <cellStyle name="Moneda 11 3 2 5 2" xfId="477" xr:uid="{9F6C0B3C-D330-469E-B532-C15879E13210}"/>
    <cellStyle name="Moneda 11 3 2 6" xfId="478" xr:uid="{4B93CF6D-B4C4-4AE8-97F5-34E7C408B156}"/>
    <cellStyle name="Moneda 11 3 3" xfId="479" xr:uid="{EA76FD57-05BF-42D4-9327-767B17E44BD9}"/>
    <cellStyle name="Moneda 11 3 3 2" xfId="480" xr:uid="{63515302-D569-43E8-9558-8753F8FC3D26}"/>
    <cellStyle name="Moneda 11 3 3 2 2" xfId="481" xr:uid="{640EDBA8-56C8-43FC-9E44-0C2554FB181E}"/>
    <cellStyle name="Moneda 11 3 3 3" xfId="482" xr:uid="{25B85C54-025B-4720-9FD9-958AFDD7AD3E}"/>
    <cellStyle name="Moneda 11 3 3 3 2" xfId="483" xr:uid="{10E1BA72-BE3A-4204-87A5-5692C88187FE}"/>
    <cellStyle name="Moneda 11 3 3 4" xfId="484" xr:uid="{9B8D2B9C-3D5E-4F80-8EE9-DB17D4463803}"/>
    <cellStyle name="Moneda 11 3 3 4 2" xfId="485" xr:uid="{58EBC61D-0A51-4400-AA5E-92BF797F7DCB}"/>
    <cellStyle name="Moneda 11 3 3 5" xfId="486" xr:uid="{732762A9-EC75-4517-92A0-C37AC27F10E9}"/>
    <cellStyle name="Moneda 11 3 4" xfId="487" xr:uid="{848BC78C-EB9A-4A2B-8E73-7E5823C35B60}"/>
    <cellStyle name="Moneda 11 3 4 2" xfId="488" xr:uid="{D277F939-EAF9-4ECC-9790-549893AA4368}"/>
    <cellStyle name="Moneda 11 3 5" xfId="489" xr:uid="{71B4CC1F-3495-49E9-A469-50DAF258D5E8}"/>
    <cellStyle name="Moneda 11 3 5 2" xfId="490" xr:uid="{8FAD251A-BB23-4CEB-AC9A-53ABCC22F1A1}"/>
    <cellStyle name="Moneda 11 3 6" xfId="491" xr:uid="{03D1684C-6545-4D9C-8A77-FAFA173C26DE}"/>
    <cellStyle name="Moneda 11 3 6 2" xfId="492" xr:uid="{677A40ED-CDE5-4C00-A570-7DA1C913B7F1}"/>
    <cellStyle name="Moneda 11 3 7" xfId="493" xr:uid="{6AF59AA3-0D99-406C-996E-2123E3458372}"/>
    <cellStyle name="Moneda 11 4" xfId="494" xr:uid="{554C0654-5E4C-4F87-AB1E-F335FB535364}"/>
    <cellStyle name="Moneda 11 4 2" xfId="495" xr:uid="{A3A25356-52F6-4D29-AD7C-A6E2DDB25F66}"/>
    <cellStyle name="Moneda 11 4 2 2" xfId="496" xr:uid="{8393D224-3880-4813-9BE6-9059078C4FEF}"/>
    <cellStyle name="Moneda 11 4 2 2 2" xfId="497" xr:uid="{A0B88307-D295-4B49-BAD6-413D0A36AAB5}"/>
    <cellStyle name="Moneda 11 4 2 2 2 2" xfId="498" xr:uid="{21225E62-4A8B-49EA-9976-2AD7EB4FB005}"/>
    <cellStyle name="Moneda 11 4 2 2 3" xfId="499" xr:uid="{9936F8D5-5289-4E39-B6BB-A90FC4D409CC}"/>
    <cellStyle name="Moneda 11 4 2 2 3 2" xfId="500" xr:uid="{398C6E12-F1FF-44A9-BF62-BF34FC8DEB19}"/>
    <cellStyle name="Moneda 11 4 2 2 4" xfId="501" xr:uid="{CC34EB09-143E-443A-A79B-AB4A0CA8DB85}"/>
    <cellStyle name="Moneda 11 4 2 2 4 2" xfId="502" xr:uid="{28F7956A-30BF-4143-A254-C0D5D915CA38}"/>
    <cellStyle name="Moneda 11 4 2 2 5" xfId="503" xr:uid="{4C6FAB67-3544-42A4-8A8D-7910E7407B4F}"/>
    <cellStyle name="Moneda 11 4 2 3" xfId="504" xr:uid="{19E60DAA-E080-4CB9-AB1A-DC65439D28B9}"/>
    <cellStyle name="Moneda 11 4 2 3 2" xfId="505" xr:uid="{699841EC-7883-4E86-A221-F5FB84020D4F}"/>
    <cellStyle name="Moneda 11 4 2 4" xfId="506" xr:uid="{059B2201-6436-415E-8D27-85492894C83D}"/>
    <cellStyle name="Moneda 11 4 2 4 2" xfId="507" xr:uid="{B261B24F-755C-495E-8928-19AD156F2A7A}"/>
    <cellStyle name="Moneda 11 4 2 5" xfId="508" xr:uid="{F53B2521-C3FA-45CE-8DEE-F5CA1240AB5D}"/>
    <cellStyle name="Moneda 11 4 2 5 2" xfId="509" xr:uid="{74E78A60-8907-4F7C-B274-F86123684324}"/>
    <cellStyle name="Moneda 11 4 2 6" xfId="510" xr:uid="{9EC4B69C-0309-449C-AA59-D43E862A1B71}"/>
    <cellStyle name="Moneda 11 4 3" xfId="511" xr:uid="{9DECDBAF-A04B-408C-BB64-A8CC18AA5AD4}"/>
    <cellStyle name="Moneda 11 4 3 2" xfId="512" xr:uid="{8F1FCA90-3FA1-450D-8EB5-E770A3B300EE}"/>
    <cellStyle name="Moneda 11 4 3 2 2" xfId="513" xr:uid="{C350ACBA-E3B3-44FF-B181-D6A455DD2ACC}"/>
    <cellStyle name="Moneda 11 4 3 3" xfId="514" xr:uid="{85FF53A7-09D0-4480-B990-32DEF1CE3FB4}"/>
    <cellStyle name="Moneda 11 4 3 3 2" xfId="515" xr:uid="{9877E832-BAF1-4EB6-9396-E5EE8A0AC309}"/>
    <cellStyle name="Moneda 11 4 3 4" xfId="516" xr:uid="{24BA5C07-6B73-44FE-9BFD-A77F178DD645}"/>
    <cellStyle name="Moneda 11 4 3 4 2" xfId="517" xr:uid="{DC02C4CF-965B-4B07-8AE2-1135DC6CDC93}"/>
    <cellStyle name="Moneda 11 4 3 5" xfId="518" xr:uid="{841A7FF3-13DE-430B-BDF6-8E9721C2C269}"/>
    <cellStyle name="Moneda 11 4 4" xfId="519" xr:uid="{534CA793-59DE-47C8-8A21-AB9C8C79D9BC}"/>
    <cellStyle name="Moneda 11 4 4 2" xfId="520" xr:uid="{7AFC2FFE-D4BE-438F-9ABA-F2643D80BE3B}"/>
    <cellStyle name="Moneda 11 4 5" xfId="521" xr:uid="{2E17BC6B-FA89-42FF-B209-508CB06226D9}"/>
    <cellStyle name="Moneda 11 4 5 2" xfId="522" xr:uid="{E4713CBD-65E4-4A8D-A167-6F6E0D6B9E28}"/>
    <cellStyle name="Moneda 11 4 6" xfId="523" xr:uid="{A5B56C69-A192-4D0B-9928-6DC10E9AFA6B}"/>
    <cellStyle name="Moneda 11 4 6 2" xfId="524" xr:uid="{B90C13E2-633E-47FC-9A0E-B12AFCD0DA13}"/>
    <cellStyle name="Moneda 11 4 7" xfId="525" xr:uid="{6069600E-CCD9-444C-AAEA-1560761EFB80}"/>
    <cellStyle name="Moneda 11 5" xfId="526" xr:uid="{E8830B92-11C5-4480-9783-E35D3F94007A}"/>
    <cellStyle name="Moneda 11 5 2" xfId="527" xr:uid="{E0D7993A-7222-45EA-92AD-561B119D59D8}"/>
    <cellStyle name="Moneda 11 5 2 2" xfId="528" xr:uid="{C3B57843-B62F-4759-863B-968F254623EF}"/>
    <cellStyle name="Moneda 11 5 2 2 2" xfId="529" xr:uid="{4E97AD2C-A466-4232-810E-2E5A5B826714}"/>
    <cellStyle name="Moneda 11 5 2 3" xfId="530" xr:uid="{7D167C38-94A8-490C-AAF1-12C01965B287}"/>
    <cellStyle name="Moneda 11 5 2 3 2" xfId="531" xr:uid="{6CA4F5B9-233B-4888-A02A-A053A66A600B}"/>
    <cellStyle name="Moneda 11 5 2 4" xfId="532" xr:uid="{F86F50B6-B7F7-4EAC-8D93-4CF294B08096}"/>
    <cellStyle name="Moneda 11 5 2 4 2" xfId="533" xr:uid="{14DC717F-3FF6-490F-9537-E6D255601649}"/>
    <cellStyle name="Moneda 11 5 2 5" xfId="534" xr:uid="{B0F496C5-F7F0-4A3C-B329-FDD36CA16232}"/>
    <cellStyle name="Moneda 11 5 3" xfId="535" xr:uid="{9EECC9E8-3E1D-4D31-BE75-538E6874319D}"/>
    <cellStyle name="Moneda 11 5 3 2" xfId="536" xr:uid="{C5955B33-722F-44D7-9DCD-D69CC09C0A9F}"/>
    <cellStyle name="Moneda 11 5 4" xfId="537" xr:uid="{DA7E4E3D-E9AC-4FC9-AA57-4A7EA6A2B22A}"/>
    <cellStyle name="Moneda 11 5 4 2" xfId="538" xr:uid="{0166EAC6-57C8-43F8-9580-6EB1F67AB2A5}"/>
    <cellStyle name="Moneda 11 5 5" xfId="539" xr:uid="{854D5F08-94BB-4767-ABA7-84B3FAC71A6E}"/>
    <cellStyle name="Moneda 11 5 5 2" xfId="540" xr:uid="{4FEB49B4-C47A-4B0B-8A24-C7A1B27D4CF6}"/>
    <cellStyle name="Moneda 11 5 6" xfId="541" xr:uid="{FBB1F1BD-BEDB-4677-B401-ED361A05BE54}"/>
    <cellStyle name="Moneda 11 6" xfId="542" xr:uid="{ADDA7D03-664A-4FFB-B734-D5E850078985}"/>
    <cellStyle name="Moneda 11 6 2" xfId="543" xr:uid="{D8A5B144-B502-43B6-9322-15088381FEB7}"/>
    <cellStyle name="Moneda 11 6 2 2" xfId="544" xr:uid="{B8B4FD1E-BF51-4EA8-B2E0-5535C3D38C9C}"/>
    <cellStyle name="Moneda 11 6 3" xfId="545" xr:uid="{DC59FAF9-FB87-492D-AC34-77CE919FF9CA}"/>
    <cellStyle name="Moneda 11 6 3 2" xfId="546" xr:uid="{F91C5C27-0D27-4A0E-86D7-500A39FA62A4}"/>
    <cellStyle name="Moneda 11 6 4" xfId="547" xr:uid="{9CDDF293-B069-4A0F-B3C9-74ED19AA458F}"/>
    <cellStyle name="Moneda 11 6 4 2" xfId="548" xr:uid="{A422FA1F-37AE-4452-BB6D-F7D8D92368EF}"/>
    <cellStyle name="Moneda 11 6 5" xfId="549" xr:uid="{775F1E3E-46AC-41F4-A97B-98183C59E65A}"/>
    <cellStyle name="Moneda 11 7" xfId="550" xr:uid="{09A61FD9-EA17-4EEA-B20A-508040114D38}"/>
    <cellStyle name="Moneda 11 7 2" xfId="551" xr:uid="{FF07131E-CB77-4FA1-85A2-993847551AF9}"/>
    <cellStyle name="Moneda 11 8" xfId="552" xr:uid="{2538813A-7C59-4273-B7D8-7B474488F96B}"/>
    <cellStyle name="Moneda 11 8 2" xfId="553" xr:uid="{3D9977BC-CABA-4648-B684-80B55161606F}"/>
    <cellStyle name="Moneda 11 9" xfId="554" xr:uid="{FDC9F4B9-717B-4E07-89F5-21A5347D9525}"/>
    <cellStyle name="Moneda 11 9 2" xfId="555" xr:uid="{404272A2-E8C0-447E-B295-2863A347A891}"/>
    <cellStyle name="Moneda 12" xfId="556" xr:uid="{9CB22B42-40A8-4639-9E24-7BD4AE73ECDF}"/>
    <cellStyle name="Moneda 12 2" xfId="557" xr:uid="{7F5B24F3-FC2A-486E-914A-AAE1BA3D8759}"/>
    <cellStyle name="Moneda 12 2 2" xfId="558" xr:uid="{EB9CC52A-F6D8-41FA-AEF3-C250F684D595}"/>
    <cellStyle name="Moneda 12 2 2 2" xfId="559" xr:uid="{0CDFD6BE-E857-48F1-822A-4848B264485F}"/>
    <cellStyle name="Moneda 12 2 2 2 2" xfId="560" xr:uid="{7DC8234E-3059-4A2C-AB95-2CB0E66D6CB0}"/>
    <cellStyle name="Moneda 12 2 2 2 2 2" xfId="561" xr:uid="{6BD2C13A-CE8B-4D18-A4CB-1E1E4DC3F96B}"/>
    <cellStyle name="Moneda 12 2 2 2 3" xfId="562" xr:uid="{1260F2C7-8542-4F24-AEFE-F56593A3AC90}"/>
    <cellStyle name="Moneda 12 2 2 2 3 2" xfId="563" xr:uid="{3975E4C8-1A2F-45CB-8E7D-B99564482F8B}"/>
    <cellStyle name="Moneda 12 2 2 2 4" xfId="564" xr:uid="{730828C3-4270-4C11-800B-5DC06C1E71BE}"/>
    <cellStyle name="Moneda 12 2 2 2 4 2" xfId="565" xr:uid="{EE6A57D6-FF8D-4600-BDCA-7A6F22223C6C}"/>
    <cellStyle name="Moneda 12 2 2 2 5" xfId="566" xr:uid="{A5BE3409-CF0B-4890-817D-8B8A5E91DFC9}"/>
    <cellStyle name="Moneda 12 2 2 3" xfId="567" xr:uid="{C1AD33F7-6A8D-4313-B96D-9DE0016C4287}"/>
    <cellStyle name="Moneda 12 2 2 3 2" xfId="568" xr:uid="{657CE895-4012-4FB4-AA9E-D00F33FA565F}"/>
    <cellStyle name="Moneda 12 2 2 4" xfId="569" xr:uid="{0443BC53-5C95-4126-89E4-78AD6895A778}"/>
    <cellStyle name="Moneda 12 2 2 4 2" xfId="570" xr:uid="{28F36307-31B6-4958-B7A9-7C2A00EB2A62}"/>
    <cellStyle name="Moneda 12 2 2 5" xfId="571" xr:uid="{C35E48CE-5FFC-4BE5-966B-E4794F070B2C}"/>
    <cellStyle name="Moneda 12 2 2 5 2" xfId="572" xr:uid="{E3AC1BD8-4AA6-4934-B0F4-C6ECF014EA89}"/>
    <cellStyle name="Moneda 12 2 2 6" xfId="573" xr:uid="{7154B7B8-A216-4670-B499-03AF524F4077}"/>
    <cellStyle name="Moneda 12 2 3" xfId="574" xr:uid="{75657B89-1BB9-49FB-97E5-3E0D83D2E7DF}"/>
    <cellStyle name="Moneda 12 2 3 2" xfId="575" xr:uid="{F252023E-D2DE-41A2-AEF4-AEECC28EB02C}"/>
    <cellStyle name="Moneda 12 2 3 2 2" xfId="576" xr:uid="{9BAB5D22-A3D8-42A6-A4E6-37FDBD41F357}"/>
    <cellStyle name="Moneda 12 2 3 3" xfId="577" xr:uid="{8BF8984D-1CCC-4B85-92F6-ED38EE33013C}"/>
    <cellStyle name="Moneda 12 2 3 3 2" xfId="578" xr:uid="{032B0BEA-48C6-4E18-8BEB-92D0F2292F6A}"/>
    <cellStyle name="Moneda 12 2 3 4" xfId="579" xr:uid="{6806C3F2-7AD8-4A06-81EA-CE059E428DFE}"/>
    <cellStyle name="Moneda 12 2 3 4 2" xfId="580" xr:uid="{EBE5D312-8C60-4E1E-ABE5-00E0B3F12582}"/>
    <cellStyle name="Moneda 12 2 3 5" xfId="581" xr:uid="{D1F7623E-1143-4F36-899B-8F3E535F7970}"/>
    <cellStyle name="Moneda 12 2 4" xfId="582" xr:uid="{FC332BAC-D86D-46FB-9382-73791B64EF9F}"/>
    <cellStyle name="Moneda 12 2 4 2" xfId="583" xr:uid="{E97C7C7A-4C76-4E6A-A1CF-BF18AF0DB797}"/>
    <cellStyle name="Moneda 12 2 5" xfId="584" xr:uid="{83B2461E-79A9-478C-9CF0-84BE84D7B9B1}"/>
    <cellStyle name="Moneda 12 2 5 2" xfId="585" xr:uid="{A96F3571-02CB-4265-9786-89F3E218DF6F}"/>
    <cellStyle name="Moneda 12 2 6" xfId="586" xr:uid="{66BC2BB6-BCBA-4386-B54E-117A4779F71E}"/>
    <cellStyle name="Moneda 12 2 6 2" xfId="587" xr:uid="{F7E9F270-1581-4B06-AF22-20CCD8E606D2}"/>
    <cellStyle name="Moneda 12 2 7" xfId="588" xr:uid="{D936C46C-7064-44FB-9883-8879C9F720DF}"/>
    <cellStyle name="Moneda 12 2 8" xfId="589" xr:uid="{6DEEFC35-A030-42B7-B615-0DAF660F4AD9}"/>
    <cellStyle name="Moneda 12 3" xfId="590" xr:uid="{728BFF31-15C7-4B99-B640-B5398FD3B743}"/>
    <cellStyle name="Moneda 12 3 2" xfId="591" xr:uid="{401620BA-FAB4-4DCA-B2DB-8FE49AC5FCA1}"/>
    <cellStyle name="Moneda 12 3 2 2" xfId="592" xr:uid="{22BF5D72-6C01-4C7B-8FDE-7022AB08BF3E}"/>
    <cellStyle name="Moneda 12 3 2 2 2" xfId="593" xr:uid="{907C83BB-4863-4E2A-8296-25CC03BA7432}"/>
    <cellStyle name="Moneda 12 3 2 3" xfId="594" xr:uid="{04AE5260-E85E-4B3F-A72A-6699687DCD2D}"/>
    <cellStyle name="Moneda 12 3 2 3 2" xfId="595" xr:uid="{0ADBD464-1999-46C1-8FF8-42B481EDF9F4}"/>
    <cellStyle name="Moneda 12 3 2 4" xfId="596" xr:uid="{6CA7D362-5536-48A8-A5B0-8D177DD4FFB3}"/>
    <cellStyle name="Moneda 12 3 2 4 2" xfId="597" xr:uid="{A6A49B42-2AD3-4545-AA22-BB2DF19DC159}"/>
    <cellStyle name="Moneda 12 3 2 5" xfId="598" xr:uid="{2BBCDFC1-B30F-4A70-8477-1DD6B08B4A84}"/>
    <cellStyle name="Moneda 12 3 3" xfId="599" xr:uid="{858023B4-353F-4707-97F6-4F12E06268A9}"/>
    <cellStyle name="Moneda 12 3 3 2" xfId="600" xr:uid="{9906CEFE-C4E8-4B0F-93C3-75C48E5DCDA4}"/>
    <cellStyle name="Moneda 12 3 4" xfId="601" xr:uid="{113A867F-9481-4E6F-A607-004AC99CE620}"/>
    <cellStyle name="Moneda 12 3 4 2" xfId="602" xr:uid="{6D4CC8CE-C0AC-4A3C-9205-9F361581FFF1}"/>
    <cellStyle name="Moneda 12 3 5" xfId="603" xr:uid="{3F94A926-1DC5-496B-858C-C50FF1684538}"/>
    <cellStyle name="Moneda 12 3 5 2" xfId="604" xr:uid="{DD7EA6F7-A8C9-4B00-8EF9-804E284A9D98}"/>
    <cellStyle name="Moneda 12 3 6" xfId="605" xr:uid="{5BE001A5-6146-47A6-B497-EFDD55A181A4}"/>
    <cellStyle name="Moneda 12 4" xfId="606" xr:uid="{BE5A1034-B208-4DFC-8600-82B49DA8FAA1}"/>
    <cellStyle name="Moneda 12 4 2" xfId="607" xr:uid="{BAE30253-1D6A-4A42-B872-F5307836516E}"/>
    <cellStyle name="Moneda 12 4 2 2" xfId="608" xr:uid="{BDED4E39-5B83-4E4A-BCF4-8A53934851CC}"/>
    <cellStyle name="Moneda 12 4 3" xfId="609" xr:uid="{9F679308-D711-40FD-B54E-152F3AA54904}"/>
    <cellStyle name="Moneda 12 4 3 2" xfId="610" xr:uid="{2AF6350B-4FA8-43B1-B404-8A41D384823E}"/>
    <cellStyle name="Moneda 12 4 4" xfId="611" xr:uid="{4E057AB3-633E-435C-BCB9-AA797B584D59}"/>
    <cellStyle name="Moneda 12 4 4 2" xfId="612" xr:uid="{27BBFF60-675F-4CDC-B906-8DF33841376C}"/>
    <cellStyle name="Moneda 12 4 5" xfId="613" xr:uid="{67063804-81A7-41B8-84F1-416A49B25A4F}"/>
    <cellStyle name="Moneda 12 5" xfId="614" xr:uid="{C48CFA4C-A480-4A8D-A5BF-80CDB52AA992}"/>
    <cellStyle name="Moneda 12 5 2" xfId="615" xr:uid="{1F098B9E-C92C-4B87-B104-24BFFA2C8DC3}"/>
    <cellStyle name="Moneda 12 6" xfId="616" xr:uid="{B1B73B37-6242-4375-A8E6-425D4CF8AE4E}"/>
    <cellStyle name="Moneda 12 6 2" xfId="617" xr:uid="{F7F51847-27B1-4EC5-8E02-EB17EB77CDC4}"/>
    <cellStyle name="Moneda 12 7" xfId="618" xr:uid="{F8EC0B7C-AFD9-470B-8BE6-C202ED6F3F48}"/>
    <cellStyle name="Moneda 12 7 2" xfId="619" xr:uid="{DB8B64EC-9C00-491E-BDDD-60B046BE4B9D}"/>
    <cellStyle name="Moneda 12 8" xfId="620" xr:uid="{544A93D4-3A97-4B9C-B989-D079BF5A1F2A}"/>
    <cellStyle name="Moneda 12 9" xfId="621" xr:uid="{2838A546-834B-4B6B-904D-373B990ED258}"/>
    <cellStyle name="Moneda 13" xfId="622" xr:uid="{783C308B-FD11-47EE-A4D3-A303FE1832F7}"/>
    <cellStyle name="Moneda 13 10" xfId="623" xr:uid="{525542F4-1E32-47BD-9D6A-2A4023F380AE}"/>
    <cellStyle name="Moneda 13 2" xfId="624" xr:uid="{447A38C7-2330-407B-AB90-8FB9DCF272F1}"/>
    <cellStyle name="Moneda 13 2 2" xfId="625" xr:uid="{3991F98D-AFC6-4AE3-8166-CB88077970E0}"/>
    <cellStyle name="Moneda 13 2 2 2" xfId="626" xr:uid="{0317C0F0-38E2-4C94-9BE5-81EB3AF6EB98}"/>
    <cellStyle name="Moneda 13 2 2 2 2" xfId="627" xr:uid="{F4DEFD07-62F5-4ED1-9BA3-49202515F4FD}"/>
    <cellStyle name="Moneda 13 2 2 2 2 2" xfId="628" xr:uid="{298F0BD8-3D96-469C-8042-7C36C528F976}"/>
    <cellStyle name="Moneda 13 2 2 2 3" xfId="629" xr:uid="{2D3ADF18-6CDB-4043-9796-374FFE52B4EE}"/>
    <cellStyle name="Moneda 13 2 2 2 3 2" xfId="630" xr:uid="{0EDE437B-0C2D-4439-847A-AD5B5AA23814}"/>
    <cellStyle name="Moneda 13 2 2 2 4" xfId="631" xr:uid="{A552019B-480A-4896-8716-8D0F3AA41145}"/>
    <cellStyle name="Moneda 13 2 2 2 4 2" xfId="632" xr:uid="{39212D54-8810-4E34-A31B-8BC273306882}"/>
    <cellStyle name="Moneda 13 2 2 2 5" xfId="633" xr:uid="{AFAAF04C-A46C-498A-A9F9-6C9BB05DE172}"/>
    <cellStyle name="Moneda 13 2 2 3" xfId="634" xr:uid="{A2622C7F-C8DC-442F-9B72-3E5157C75251}"/>
    <cellStyle name="Moneda 13 2 2 3 2" xfId="635" xr:uid="{5210300B-5DF8-41CF-BA59-074D7289C65B}"/>
    <cellStyle name="Moneda 13 2 2 4" xfId="636" xr:uid="{AA323A11-4D2D-41B4-89C5-1CA77B819F2F}"/>
    <cellStyle name="Moneda 13 2 2 4 2" xfId="637" xr:uid="{FCF91DBD-B925-40C8-9EEA-699F493AD1C0}"/>
    <cellStyle name="Moneda 13 2 2 5" xfId="638" xr:uid="{4BA9D7D2-4056-44FE-90FD-EA2255B33CAA}"/>
    <cellStyle name="Moneda 13 2 2 5 2" xfId="639" xr:uid="{E7F955EE-3759-4513-AD65-9A0F2EC92FAF}"/>
    <cellStyle name="Moneda 13 2 2 6" xfId="640" xr:uid="{F25702DE-4357-4FF7-B81B-79C06B39EB9F}"/>
    <cellStyle name="Moneda 13 2 3" xfId="641" xr:uid="{F972296D-A4B4-4C0B-83D6-71E6A6D4CCD9}"/>
    <cellStyle name="Moneda 13 2 3 2" xfId="642" xr:uid="{F7764FCD-B00A-40C4-A52C-496CE3C70EA8}"/>
    <cellStyle name="Moneda 13 2 3 2 2" xfId="643" xr:uid="{EEAEEB39-7730-43D6-A437-8CF73F1E1AD8}"/>
    <cellStyle name="Moneda 13 2 3 3" xfId="644" xr:uid="{B864437F-50AF-45CB-ACE6-17F2CB4C60DD}"/>
    <cellStyle name="Moneda 13 2 3 3 2" xfId="645" xr:uid="{C089C3F0-1B3A-48A4-8533-3D8A510C5EE0}"/>
    <cellStyle name="Moneda 13 2 3 4" xfId="646" xr:uid="{6FCD3F29-4EB0-49A0-9A79-7EEB1060F9FD}"/>
    <cellStyle name="Moneda 13 2 3 4 2" xfId="647" xr:uid="{F397B266-66D1-4A9B-9972-7DFAA07B57B5}"/>
    <cellStyle name="Moneda 13 2 3 5" xfId="648" xr:uid="{E0A93B69-810E-42C4-84C1-C46FD08CC663}"/>
    <cellStyle name="Moneda 13 2 4" xfId="649" xr:uid="{E37B15B4-70D7-45E7-BDB0-136334964A0B}"/>
    <cellStyle name="Moneda 13 2 4 2" xfId="650" xr:uid="{3935062E-38F5-4FB3-BA0D-FCF1911A488A}"/>
    <cellStyle name="Moneda 13 2 5" xfId="651" xr:uid="{D1B5957D-C515-4C5B-9F28-36CEAEDAAC78}"/>
    <cellStyle name="Moneda 13 2 5 2" xfId="652" xr:uid="{F511BEB5-2DC5-4011-A193-32E82A4DBBFE}"/>
    <cellStyle name="Moneda 13 2 6" xfId="653" xr:uid="{888EDA9F-734E-46CF-ADBB-D429EF9DC6E3}"/>
    <cellStyle name="Moneda 13 2 6 2" xfId="654" xr:uid="{7AE5D329-D5B2-45DA-91BD-0F5F3AA50825}"/>
    <cellStyle name="Moneda 13 2 7" xfId="655" xr:uid="{5F8FA195-2C81-4A3A-A0E4-6A3A3ECD7103}"/>
    <cellStyle name="Moneda 13 2 8" xfId="656" xr:uid="{EF06AC62-D5F4-43C1-8B34-87D7F2B37723}"/>
    <cellStyle name="Moneda 13 3" xfId="657" xr:uid="{54B3EF70-F146-4088-97E2-E81D76AF5384}"/>
    <cellStyle name="Moneda 13 3 2" xfId="658" xr:uid="{B1A4AB76-E09E-4041-BF7D-FCBA56B23004}"/>
    <cellStyle name="Moneda 13 3 2 2" xfId="659" xr:uid="{DF01957E-C6D3-426D-9D5D-8D9D5EE91DA2}"/>
    <cellStyle name="Moneda 13 3 2 2 2" xfId="660" xr:uid="{F24406D1-8522-4713-9822-167E73889522}"/>
    <cellStyle name="Moneda 13 3 2 3" xfId="661" xr:uid="{8708BD8B-0131-4C42-8518-2215EFE33538}"/>
    <cellStyle name="Moneda 13 3 2 3 2" xfId="662" xr:uid="{4BF7DF33-2250-4016-A01F-66BD53B30279}"/>
    <cellStyle name="Moneda 13 3 2 4" xfId="663" xr:uid="{7F77E6E3-EFC8-462D-BBE5-0A431E14D4EA}"/>
    <cellStyle name="Moneda 13 3 2 4 2" xfId="664" xr:uid="{AFBE318E-9551-40E5-8A12-5ECE4F9C4AF9}"/>
    <cellStyle name="Moneda 13 3 2 5" xfId="665" xr:uid="{17498799-592B-45A7-A4C1-E1EC78AF61A4}"/>
    <cellStyle name="Moneda 13 3 3" xfId="666" xr:uid="{0FC3A5DC-E2A1-4C0C-8FC1-B5F584347E6E}"/>
    <cellStyle name="Moneda 13 3 3 2" xfId="667" xr:uid="{1A6E918B-925A-48A5-A51D-5C9D38CCCB40}"/>
    <cellStyle name="Moneda 13 3 4" xfId="668" xr:uid="{39A2CA07-196B-4371-BE2E-65BB0F61F978}"/>
    <cellStyle name="Moneda 13 3 4 2" xfId="669" xr:uid="{3F8EF7C7-9DBF-4625-B17C-E01223978F69}"/>
    <cellStyle name="Moneda 13 3 5" xfId="670" xr:uid="{C9FDD0F9-BDBC-4799-BD53-767267A47CE4}"/>
    <cellStyle name="Moneda 13 3 5 2" xfId="671" xr:uid="{FD4D5D3A-E82F-4CA7-BA80-32624B0BB263}"/>
    <cellStyle name="Moneda 13 3 6" xfId="672" xr:uid="{8BC16592-A8F9-42A8-8472-3AA140DC0EF9}"/>
    <cellStyle name="Moneda 13 4" xfId="673" xr:uid="{9D4FE778-03B7-4E1D-87C7-AFB2FCB9C31B}"/>
    <cellStyle name="Moneda 13 4 2" xfId="674" xr:uid="{4803D0BD-6B5E-4B02-BD71-808AF0B70AD2}"/>
    <cellStyle name="Moneda 13 4 2 2" xfId="675" xr:uid="{D68605F1-7F7D-48E1-8684-846518DA785F}"/>
    <cellStyle name="Moneda 13 4 3" xfId="676" xr:uid="{52C6C845-6778-46E4-AF61-5E8469BE6739}"/>
    <cellStyle name="Moneda 13 4 3 2" xfId="677" xr:uid="{B31087FA-4DD3-4D61-9E3F-43D13C49B908}"/>
    <cellStyle name="Moneda 13 4 4" xfId="678" xr:uid="{423F973E-98EA-45D4-88CA-F12B2B91A34B}"/>
    <cellStyle name="Moneda 13 4 4 2" xfId="679" xr:uid="{7CCA9E99-8DF0-49BF-8BE5-24846BD4715A}"/>
    <cellStyle name="Moneda 13 4 5" xfId="680" xr:uid="{0636CBBF-0C4F-4DC4-A655-E25491E87B62}"/>
    <cellStyle name="Moneda 13 5" xfId="681" xr:uid="{C29C9A2A-D84D-4D57-A277-D7A3F65A2CCC}"/>
    <cellStyle name="Moneda 13 5 2" xfId="682" xr:uid="{C84F83B4-7C38-4E96-9B11-1AC5F5E3CB2C}"/>
    <cellStyle name="Moneda 13 5 2 2" xfId="683" xr:uid="{C31A324B-570A-44BA-B85E-C00A90972EC8}"/>
    <cellStyle name="Moneda 13 5 3" xfId="684" xr:uid="{74A781E3-48BD-4975-8426-A2B4E266DC9D}"/>
    <cellStyle name="Moneda 13 5 3 2" xfId="685" xr:uid="{D1916E8E-579E-47A1-B368-550634C45CA7}"/>
    <cellStyle name="Moneda 13 5 4" xfId="686" xr:uid="{D9EFCA01-F250-480C-94BC-15F0CC8FA9D1}"/>
    <cellStyle name="Moneda 13 5 4 2" xfId="687" xr:uid="{B79A2060-9FA4-4329-9AD1-15E19348814C}"/>
    <cellStyle name="Moneda 13 5 5" xfId="688" xr:uid="{75B30101-7C12-497D-94BA-9A3BAC35E0E4}"/>
    <cellStyle name="Moneda 13 6" xfId="689" xr:uid="{015AEEBB-DBD7-431F-A955-28BE01278C81}"/>
    <cellStyle name="Moneda 13 6 2" xfId="690" xr:uid="{C5ED7230-7E63-45AD-A2EF-90437A72AE7F}"/>
    <cellStyle name="Moneda 13 7" xfId="691" xr:uid="{1176EB16-7681-41BC-BAC0-D2B6DFEEC882}"/>
    <cellStyle name="Moneda 13 7 2" xfId="692" xr:uid="{71121FE7-925F-477C-9A9F-93BCC284483D}"/>
    <cellStyle name="Moneda 13 8" xfId="693" xr:uid="{B3C26305-FE5A-4AD0-A37C-BF808DB471AE}"/>
    <cellStyle name="Moneda 13 8 2" xfId="694" xr:uid="{17B501B4-5598-45F4-BA93-29BB624E7BAC}"/>
    <cellStyle name="Moneda 13 9" xfId="695" xr:uid="{B351E882-B767-4D42-B5E7-64F408080D33}"/>
    <cellStyle name="Moneda 14" xfId="696" xr:uid="{55FAD351-C287-4FFC-884E-BB539D6D0F1B}"/>
    <cellStyle name="Moneda 14 2" xfId="697" xr:uid="{3126AD32-AC4F-4603-BD23-C3B2E9E70E2F}"/>
    <cellStyle name="Moneda 14 2 2" xfId="698" xr:uid="{4A66FDA1-16ED-4D0C-9C07-E83B4BAA2E6D}"/>
    <cellStyle name="Moneda 14 2 2 2" xfId="699" xr:uid="{82C37CD6-492D-4A5B-809A-C220D25789B7}"/>
    <cellStyle name="Moneda 14 2 2 2 2" xfId="700" xr:uid="{0BDC3B4A-8ABA-4753-B08A-A1A7D0947259}"/>
    <cellStyle name="Moneda 14 2 2 2 2 2" xfId="701" xr:uid="{BD0487E3-B353-4BE5-BF41-F0454A268FE4}"/>
    <cellStyle name="Moneda 14 2 2 2 3" xfId="702" xr:uid="{8C1638C7-C4B4-40AD-9B48-CE0517F59DA4}"/>
    <cellStyle name="Moneda 14 2 2 2 3 2" xfId="703" xr:uid="{C2659A69-6ED0-4102-8C65-735C227B7662}"/>
    <cellStyle name="Moneda 14 2 2 2 4" xfId="704" xr:uid="{2041D13E-D250-4ADB-82EA-7A06E146B528}"/>
    <cellStyle name="Moneda 14 2 2 2 4 2" xfId="705" xr:uid="{2CA3C5D5-19CE-45CD-AD5A-8F6AAB1E53B0}"/>
    <cellStyle name="Moneda 14 2 2 2 5" xfId="706" xr:uid="{6C67E348-44CD-48BD-9787-028818EDB743}"/>
    <cellStyle name="Moneda 14 2 2 3" xfId="707" xr:uid="{F4E894A8-8295-4C1B-91CE-414AAF567D33}"/>
    <cellStyle name="Moneda 14 2 2 3 2" xfId="708" xr:uid="{DB0E4D7C-7A69-4F87-8A41-87100601FF9F}"/>
    <cellStyle name="Moneda 14 2 2 4" xfId="709" xr:uid="{20879A20-87CC-4AF7-BE86-1FD2F562F502}"/>
    <cellStyle name="Moneda 14 2 2 4 2" xfId="710" xr:uid="{F9E37EAA-6C3D-4E21-9E29-CF6545D5CB46}"/>
    <cellStyle name="Moneda 14 2 2 5" xfId="711" xr:uid="{543818EA-57EB-4E46-8BFA-D733D68FB206}"/>
    <cellStyle name="Moneda 14 2 2 5 2" xfId="712" xr:uid="{EE5176AD-ED00-477E-AE70-F64CEF5AF853}"/>
    <cellStyle name="Moneda 14 2 2 6" xfId="713" xr:uid="{ED5F71B5-8132-4BFC-A00C-F56D2FC92094}"/>
    <cellStyle name="Moneda 14 2 3" xfId="714" xr:uid="{42D29013-C736-408E-9355-9D9613DCD214}"/>
    <cellStyle name="Moneda 14 2 3 2" xfId="715" xr:uid="{A5FC435E-0D81-4C93-8DCC-7C90CBCA4247}"/>
    <cellStyle name="Moneda 14 2 3 2 2" xfId="716" xr:uid="{32855AA9-9853-4311-9E9A-A72D651A18F9}"/>
    <cellStyle name="Moneda 14 2 3 3" xfId="717" xr:uid="{3659E5A7-0673-4E3C-B283-99E14C645969}"/>
    <cellStyle name="Moneda 14 2 3 3 2" xfId="718" xr:uid="{AD7F2DB4-50C4-4878-84E3-A583FE0BD534}"/>
    <cellStyle name="Moneda 14 2 3 4" xfId="719" xr:uid="{A43C81BE-7103-446F-ABF9-2C1F6DC1625C}"/>
    <cellStyle name="Moneda 14 2 3 4 2" xfId="720" xr:uid="{E6C69467-C3FF-4BD9-B142-ABD64550B8B9}"/>
    <cellStyle name="Moneda 14 2 3 5" xfId="721" xr:uid="{DF6E4DF5-09D3-4DF8-BD7E-11FC49A06EDB}"/>
    <cellStyle name="Moneda 14 2 4" xfId="722" xr:uid="{B9B40AAC-8C31-4C17-AAD8-578EF75D36B0}"/>
    <cellStyle name="Moneda 14 2 4 2" xfId="723" xr:uid="{1014B264-9662-48E8-9F13-5C10BB10750D}"/>
    <cellStyle name="Moneda 14 2 5" xfId="724" xr:uid="{84004CDC-C354-4D04-BA19-B67B83A96FFD}"/>
    <cellStyle name="Moneda 14 2 5 2" xfId="725" xr:uid="{723603A8-91A5-4C17-BCF1-945D8D58E712}"/>
    <cellStyle name="Moneda 14 2 6" xfId="726" xr:uid="{04D780AC-852A-450D-9751-4AE08A5A7E88}"/>
    <cellStyle name="Moneda 14 2 6 2" xfId="727" xr:uid="{FDE7F069-2B07-4523-B16A-9E18E537B53A}"/>
    <cellStyle name="Moneda 14 2 7" xfId="728" xr:uid="{5D5F3C08-615B-44CF-93AB-EF5EAAC31DEA}"/>
    <cellStyle name="Moneda 14 2 8" xfId="729" xr:uid="{19B7FD9B-E861-4B32-A548-BCC0274C4E59}"/>
    <cellStyle name="Moneda 14 3" xfId="730" xr:uid="{074D24D8-40F7-4CC0-827E-2CB61D221879}"/>
    <cellStyle name="Moneda 14 3 2" xfId="731" xr:uid="{FCCC6661-4240-4C0B-860B-B3048820D1F9}"/>
    <cellStyle name="Moneda 14 3 2 2" xfId="732" xr:uid="{72286568-8E6B-4BD9-8923-11E700573204}"/>
    <cellStyle name="Moneda 14 3 2 2 2" xfId="733" xr:uid="{DDEAD7B8-1532-4151-9B34-D1E904EDB820}"/>
    <cellStyle name="Moneda 14 3 2 3" xfId="734" xr:uid="{D798377F-1CEE-484F-937D-4A84341F797E}"/>
    <cellStyle name="Moneda 14 3 2 3 2" xfId="735" xr:uid="{F1B5EAD2-B34D-482A-9560-AE79297DE4B4}"/>
    <cellStyle name="Moneda 14 3 2 4" xfId="736" xr:uid="{0EAB63E7-D9B7-4F24-9CB3-40030B89D7B0}"/>
    <cellStyle name="Moneda 14 3 2 4 2" xfId="737" xr:uid="{EF5CBB07-AB86-440F-87A2-593348AADF8C}"/>
    <cellStyle name="Moneda 14 3 2 5" xfId="738" xr:uid="{E1F3BB20-50AB-490C-99C6-4454B1DBA9BF}"/>
    <cellStyle name="Moneda 14 3 3" xfId="739" xr:uid="{994F4DAE-FB3B-4F48-BA36-57DA5F63509E}"/>
    <cellStyle name="Moneda 14 3 3 2" xfId="740" xr:uid="{4CADDD66-8C27-43B8-A014-9AD0BEF57B73}"/>
    <cellStyle name="Moneda 14 3 4" xfId="741" xr:uid="{B169444E-237A-4008-B5C4-34C578C833DE}"/>
    <cellStyle name="Moneda 14 3 4 2" xfId="742" xr:uid="{26076F92-5894-4836-B73B-6DDEBC961127}"/>
    <cellStyle name="Moneda 14 3 5" xfId="743" xr:uid="{F77552FC-15E6-4C56-804A-8973FE7DA587}"/>
    <cellStyle name="Moneda 14 3 5 2" xfId="744" xr:uid="{C070A4DF-AA89-4BEB-9376-0ECE0089E69E}"/>
    <cellStyle name="Moneda 14 3 6" xfId="745" xr:uid="{F4FD9048-CC8C-4A92-9403-8D77CDBF8EAA}"/>
    <cellStyle name="Moneda 14 4" xfId="746" xr:uid="{C3ADDACA-378D-4CE5-A72F-EB61AB2447C7}"/>
    <cellStyle name="Moneda 14 4 2" xfId="747" xr:uid="{66A2BF92-279B-4158-A21E-42588D910FD1}"/>
    <cellStyle name="Moneda 14 4 2 2" xfId="748" xr:uid="{32A33F8F-3255-4C19-9FF9-50BAE114DEF7}"/>
    <cellStyle name="Moneda 14 4 3" xfId="749" xr:uid="{2CDCCA66-5EC2-4D1E-8AF8-3084A16B07A1}"/>
    <cellStyle name="Moneda 14 4 3 2" xfId="750" xr:uid="{AF49BE93-494F-47E0-A48D-F8B3BFE34084}"/>
    <cellStyle name="Moneda 14 4 4" xfId="751" xr:uid="{465E4B7F-4EB1-4DB8-8A9F-95DE117EE1BD}"/>
    <cellStyle name="Moneda 14 4 4 2" xfId="752" xr:uid="{4B385AD5-D53D-40DF-8616-3F5E2BEC1CA3}"/>
    <cellStyle name="Moneda 14 4 5" xfId="753" xr:uid="{BAF0DAAD-5B6D-4C60-85AB-F54D81996E77}"/>
    <cellStyle name="Moneda 14 5" xfId="754" xr:uid="{8870ADE8-3BA3-46D3-BB2B-AC2A58666ACE}"/>
    <cellStyle name="Moneda 14 5 2" xfId="755" xr:uid="{CE250404-2A25-41D7-8A8C-DB8AE54E03F3}"/>
    <cellStyle name="Moneda 14 6" xfId="756" xr:uid="{8703E930-821A-40E4-9D03-88A691D5E509}"/>
    <cellStyle name="Moneda 14 6 2" xfId="757" xr:uid="{5B836D6E-AA94-4AF8-BABF-B699F4B5DF81}"/>
    <cellStyle name="Moneda 14 7" xfId="758" xr:uid="{822EBC79-2ECE-4713-B4ED-C82597F2BB7C}"/>
    <cellStyle name="Moneda 14 7 2" xfId="759" xr:uid="{B4D950C6-98DD-4B29-8EEC-CF0CECC538E0}"/>
    <cellStyle name="Moneda 14 8" xfId="760" xr:uid="{4C8E524B-8A20-476D-932A-1522A3D1DBD6}"/>
    <cellStyle name="Moneda 14 9" xfId="761" xr:uid="{B3AF9736-F5FA-4FC8-B5C7-64F3A966F861}"/>
    <cellStyle name="Moneda 15" xfId="762" xr:uid="{635BE716-D9E1-4DD0-ACD5-9F9DD932B8FE}"/>
    <cellStyle name="Moneda 15 2" xfId="763" xr:uid="{B6452E30-8410-472B-A515-42810B11D9D1}"/>
    <cellStyle name="Moneda 15 2 2" xfId="764" xr:uid="{8E364006-3D36-499C-B415-F2C3C564A1AD}"/>
    <cellStyle name="Moneda 15 2 2 2" xfId="765" xr:uid="{FEE27B32-DFF5-4ECE-B0E0-E69513237FFA}"/>
    <cellStyle name="Moneda 15 2 2 2 2" xfId="766" xr:uid="{38C2F94E-410B-4786-82B8-6797F537B2A4}"/>
    <cellStyle name="Moneda 15 2 2 2 2 2" xfId="767" xr:uid="{82A47657-F384-4F4E-9D30-C4A873D82116}"/>
    <cellStyle name="Moneda 15 2 2 2 3" xfId="768" xr:uid="{B11F13FA-43EE-452A-BB50-B2F6C99DDA08}"/>
    <cellStyle name="Moneda 15 2 2 2 3 2" xfId="769" xr:uid="{C475D431-0654-4548-89F7-FEB11D289BB0}"/>
    <cellStyle name="Moneda 15 2 2 2 4" xfId="770" xr:uid="{59100CA5-F156-44D0-9775-3E5CBADE922A}"/>
    <cellStyle name="Moneda 15 2 2 2 4 2" xfId="771" xr:uid="{F5BCE405-2372-4508-839B-06AA017C785F}"/>
    <cellStyle name="Moneda 15 2 2 2 5" xfId="772" xr:uid="{544AD7B6-6469-453B-921B-C89492BF77AF}"/>
    <cellStyle name="Moneda 15 2 2 3" xfId="773" xr:uid="{D5C48577-0240-4B03-B2A7-E5E2EF14D1D6}"/>
    <cellStyle name="Moneda 15 2 2 3 2" xfId="774" xr:uid="{BE134B3C-1462-4712-B248-CECD00AD1C63}"/>
    <cellStyle name="Moneda 15 2 2 4" xfId="775" xr:uid="{FA5FB4AB-4D0F-4C6C-899F-23E2E99956A3}"/>
    <cellStyle name="Moneda 15 2 2 4 2" xfId="776" xr:uid="{FDBFA05E-CDC4-4BF8-A694-6E1EC96A33CA}"/>
    <cellStyle name="Moneda 15 2 2 5" xfId="777" xr:uid="{D5DCD806-D2BD-48D8-BE54-64BD764A3802}"/>
    <cellStyle name="Moneda 15 2 2 5 2" xfId="778" xr:uid="{754C95B3-A2C8-4386-825D-910FBFCEA4DD}"/>
    <cellStyle name="Moneda 15 2 2 6" xfId="779" xr:uid="{FA91465F-CD24-487D-814E-84060463EF93}"/>
    <cellStyle name="Moneda 15 2 3" xfId="780" xr:uid="{D1E9CE93-AC91-4B67-AF40-6E532E6F8996}"/>
    <cellStyle name="Moneda 15 2 3 2" xfId="781" xr:uid="{741F901F-6E7F-4C12-B9EF-7FC369AE2552}"/>
    <cellStyle name="Moneda 15 2 3 2 2" xfId="782" xr:uid="{AACB7589-08BE-4020-AD5B-603FB3C0CEB7}"/>
    <cellStyle name="Moneda 15 2 3 3" xfId="783" xr:uid="{F75B7BF3-7460-4CA2-BBA9-151188F09898}"/>
    <cellStyle name="Moneda 15 2 3 3 2" xfId="784" xr:uid="{AEA11BE6-B0D9-4D97-8841-754320065C60}"/>
    <cellStyle name="Moneda 15 2 3 4" xfId="785" xr:uid="{40BB6460-EA19-4459-AAB2-E68D7F3939F4}"/>
    <cellStyle name="Moneda 15 2 3 4 2" xfId="786" xr:uid="{052ECE2E-9313-4E37-89BB-F2C860BCD3C6}"/>
    <cellStyle name="Moneda 15 2 3 5" xfId="787" xr:uid="{883119B4-F73D-450A-A55D-64B072F88ACF}"/>
    <cellStyle name="Moneda 15 2 4" xfId="788" xr:uid="{426DF355-7E11-4B71-B778-74E351FA4BA3}"/>
    <cellStyle name="Moneda 15 2 4 2" xfId="789" xr:uid="{FDBF8D75-5E12-4463-BCC4-AFB87A7A1144}"/>
    <cellStyle name="Moneda 15 2 5" xfId="790" xr:uid="{7AA9CC45-218A-4443-9DE5-BF79BED07645}"/>
    <cellStyle name="Moneda 15 2 5 2" xfId="791" xr:uid="{707BDE68-F777-4744-AD28-2451A6178B13}"/>
    <cellStyle name="Moneda 15 2 6" xfId="792" xr:uid="{0FC795A4-7A08-4117-8359-98C9F1863525}"/>
    <cellStyle name="Moneda 15 2 6 2" xfId="793" xr:uid="{28C308BF-B497-4BB1-AA29-CE04A98310EB}"/>
    <cellStyle name="Moneda 15 2 7" xfId="794" xr:uid="{2ED99525-3058-492D-B207-EF535F052599}"/>
    <cellStyle name="Moneda 15 2 8" xfId="795" xr:uid="{47C68EE3-5F8E-40D1-A433-A80CF82C4C01}"/>
    <cellStyle name="Moneda 15 3" xfId="796" xr:uid="{5316B631-9DC2-40A8-8F41-0DC87BA2F1CA}"/>
    <cellStyle name="Moneda 15 3 2" xfId="797" xr:uid="{9328A1E1-C470-4D31-AE74-CB1CD79EE2E6}"/>
    <cellStyle name="Moneda 15 3 2 2" xfId="798" xr:uid="{9A5EF10A-CD96-4DCF-9F08-405EF1A43DB5}"/>
    <cellStyle name="Moneda 15 3 2 2 2" xfId="799" xr:uid="{42310598-0EB0-4E30-84AA-45D151705C14}"/>
    <cellStyle name="Moneda 15 3 2 3" xfId="800" xr:uid="{3031E77D-91E2-4AB1-A46F-806ABB230A2F}"/>
    <cellStyle name="Moneda 15 3 2 3 2" xfId="801" xr:uid="{B260A58A-164E-45A7-BEB7-AD484A1766F7}"/>
    <cellStyle name="Moneda 15 3 2 4" xfId="802" xr:uid="{895EA88C-82EE-4FCE-8A3B-E73E90D5D325}"/>
    <cellStyle name="Moneda 15 3 2 4 2" xfId="803" xr:uid="{BFEF7160-B762-48B7-A511-50FDD30C0A4E}"/>
    <cellStyle name="Moneda 15 3 2 5" xfId="804" xr:uid="{6BC85921-CCC9-494A-BF71-A73852384CA3}"/>
    <cellStyle name="Moneda 15 3 3" xfId="805" xr:uid="{AF99BD26-F1F6-4855-AD26-929F540B4FD1}"/>
    <cellStyle name="Moneda 15 3 3 2" xfId="806" xr:uid="{BD910F92-1803-413B-8DD6-B43A81F4D60D}"/>
    <cellStyle name="Moneda 15 3 4" xfId="807" xr:uid="{70F64B4A-6EBE-4D97-A32D-EA323B5C9E65}"/>
    <cellStyle name="Moneda 15 3 4 2" xfId="808" xr:uid="{25F14304-6A1D-44AD-B411-6B2AA7570913}"/>
    <cellStyle name="Moneda 15 3 5" xfId="809" xr:uid="{3AFD2CFE-2E1D-4FA5-A839-FB7059B6FED7}"/>
    <cellStyle name="Moneda 15 3 5 2" xfId="810" xr:uid="{BD0DE61E-57B6-4E88-8602-1FA911F25325}"/>
    <cellStyle name="Moneda 15 3 6" xfId="811" xr:uid="{9BD2838A-C283-4DA7-ADEA-F35C832A4496}"/>
    <cellStyle name="Moneda 15 4" xfId="812" xr:uid="{ADB5DF65-4F58-4CC5-BEBE-7AE5AB41F589}"/>
    <cellStyle name="Moneda 15 4 2" xfId="813" xr:uid="{34DE6FED-F252-4384-ADE6-A7C8490EF16E}"/>
    <cellStyle name="Moneda 15 4 2 2" xfId="814" xr:uid="{DC449091-347E-4DE5-9BEF-761E09951F55}"/>
    <cellStyle name="Moneda 15 4 3" xfId="815" xr:uid="{3FCC213E-380E-400B-B176-B0F241312E56}"/>
    <cellStyle name="Moneda 15 4 3 2" xfId="816" xr:uid="{61B1E4AD-3A9B-4C28-902C-87DB028F1967}"/>
    <cellStyle name="Moneda 15 4 4" xfId="817" xr:uid="{2F23E25E-377A-4903-AA2D-8B7C1719D0EF}"/>
    <cellStyle name="Moneda 15 4 4 2" xfId="818" xr:uid="{FDCB6AE7-A5EE-46F0-ACDC-A50D7B3BAC83}"/>
    <cellStyle name="Moneda 15 4 5" xfId="819" xr:uid="{51CB9EB0-578F-485B-A44A-6581426C88F0}"/>
    <cellStyle name="Moneda 15 5" xfId="820" xr:uid="{0D0999CF-12E1-4CCF-B476-54E751690D64}"/>
    <cellStyle name="Moneda 15 5 2" xfId="821" xr:uid="{EED4ACFD-EC90-4E58-A89F-685846A7E319}"/>
    <cellStyle name="Moneda 15 6" xfId="822" xr:uid="{5F724A22-D526-4717-B25F-F1F843706CC1}"/>
    <cellStyle name="Moneda 15 6 2" xfId="823" xr:uid="{EFC404C8-DF0C-4A43-810D-C365DFD8BF16}"/>
    <cellStyle name="Moneda 15 7" xfId="824" xr:uid="{4BA0747A-29E1-4883-99E9-E9A071612FE6}"/>
    <cellStyle name="Moneda 15 7 2" xfId="825" xr:uid="{78EAE2FA-0060-4128-B7F6-A711053C4A37}"/>
    <cellStyle name="Moneda 15 8" xfId="826" xr:uid="{0C1AA0D9-868B-423D-8E0F-E1CBE84BFEEB}"/>
    <cellStyle name="Moneda 15 9" xfId="827" xr:uid="{24F5B1F8-F652-4804-A0CA-A60A0C500025}"/>
    <cellStyle name="Moneda 16" xfId="828" xr:uid="{65057FEA-BF68-4B17-B0A9-0533BEDB8F9F}"/>
    <cellStyle name="Moneda 16 2" xfId="829" xr:uid="{F4FF63E4-2D6D-432E-A7EE-1228ADE321CD}"/>
    <cellStyle name="Moneda 16 2 2" xfId="830" xr:uid="{9BB328F2-B83B-4756-83B0-801C19A1D02F}"/>
    <cellStyle name="Moneda 16 2 2 2" xfId="831" xr:uid="{6072FB46-5FD9-4650-8DD8-F43F1B9E8316}"/>
    <cellStyle name="Moneda 16 2 2 2 2" xfId="832" xr:uid="{1BA4ED3B-6AFE-40F1-945E-9E01819EAE53}"/>
    <cellStyle name="Moneda 16 2 2 3" xfId="833" xr:uid="{DF4AAC21-A595-4239-9AB1-54CCD9E9A9D1}"/>
    <cellStyle name="Moneda 16 2 2 3 2" xfId="834" xr:uid="{B2C6DD6E-5797-4BCE-810E-877290A41B0B}"/>
    <cellStyle name="Moneda 16 2 2 4" xfId="835" xr:uid="{6BFB0E29-A0D5-4AF5-8860-CBECE2AA7271}"/>
    <cellStyle name="Moneda 16 2 2 4 2" xfId="836" xr:uid="{BAC4CB14-97EA-4C4F-B642-8BDB6DFCBDC3}"/>
    <cellStyle name="Moneda 16 2 2 5" xfId="837" xr:uid="{008F45C3-A72E-4E87-B482-E43AB55E77C6}"/>
    <cellStyle name="Moneda 16 2 3" xfId="838" xr:uid="{FEB60DD6-BF58-4786-BBD8-C232AC0191E2}"/>
    <cellStyle name="Moneda 16 2 3 2" xfId="839" xr:uid="{76BFDE3A-460F-4ED7-9379-11B1EC2D5782}"/>
    <cellStyle name="Moneda 16 2 4" xfId="840" xr:uid="{7903A1CC-ADAA-4B86-AD61-4ACF37B92875}"/>
    <cellStyle name="Moneda 16 2 4 2" xfId="841" xr:uid="{DAE1A7FC-0169-4344-B5E4-C9D787C0CF73}"/>
    <cellStyle name="Moneda 16 2 5" xfId="842" xr:uid="{07C1CEAA-3D69-44CB-B171-BC9D7F15483F}"/>
    <cellStyle name="Moneda 16 2 5 2" xfId="843" xr:uid="{2F9965C8-A083-420D-B92C-62AADAF69B66}"/>
    <cellStyle name="Moneda 16 2 6" xfId="844" xr:uid="{55ECEC0F-AB83-4A84-9C3B-743236E388AF}"/>
    <cellStyle name="Moneda 16 2 7" xfId="845" xr:uid="{5FF3EB19-5007-48D5-AB0A-8C561B9A618A}"/>
    <cellStyle name="Moneda 16 3" xfId="846" xr:uid="{51A16509-F998-45B4-AD83-0B62E7CDF3A0}"/>
    <cellStyle name="Moneda 16 3 2" xfId="847" xr:uid="{E4ACAE80-732A-4AEE-92E0-8403AF70A30D}"/>
    <cellStyle name="Moneda 16 3 2 2" xfId="848" xr:uid="{97E04F50-7DF7-4D34-A200-631F76962FFF}"/>
    <cellStyle name="Moneda 16 3 3" xfId="849" xr:uid="{28D76975-4E98-4DE1-80C0-722F35A682A7}"/>
    <cellStyle name="Moneda 16 3 3 2" xfId="850" xr:uid="{AECD23C9-54FC-4ABD-A639-1B40F78D7024}"/>
    <cellStyle name="Moneda 16 3 4" xfId="851" xr:uid="{AFE449AA-DD7D-4A9F-A2E2-003EEA5EFD90}"/>
    <cellStyle name="Moneda 16 3 4 2" xfId="852" xr:uid="{9AF8BD38-D0D6-49CD-9D26-A93AC4059445}"/>
    <cellStyle name="Moneda 16 3 5" xfId="853" xr:uid="{F139931A-25F1-4CB6-BBAC-9DD38362CD8C}"/>
    <cellStyle name="Moneda 16 4" xfId="854" xr:uid="{023E41BD-E624-4BC8-8307-30423C016F8D}"/>
    <cellStyle name="Moneda 16 4 2" xfId="855" xr:uid="{DAE70D74-2F58-4D19-9F9A-6DD09384F710}"/>
    <cellStyle name="Moneda 16 5" xfId="856" xr:uid="{5BF60CE2-A419-42A6-B7F1-7169040C806F}"/>
    <cellStyle name="Moneda 16 5 2" xfId="857" xr:uid="{C5215A3F-FFB7-4137-9C04-55AA9CB84966}"/>
    <cellStyle name="Moneda 16 6" xfId="858" xr:uid="{D1874D80-4D09-49F8-B694-29CF75B1A269}"/>
    <cellStyle name="Moneda 16 6 2" xfId="859" xr:uid="{8BADAADE-7CFB-4ED4-8E63-40F97422F117}"/>
    <cellStyle name="Moneda 16 7" xfId="860" xr:uid="{16DCE8BF-9526-4735-AD92-D09FFFFB3DCC}"/>
    <cellStyle name="Moneda 16 8" xfId="861" xr:uid="{6D92285B-3973-43CB-B732-EB80F32D4A43}"/>
    <cellStyle name="Moneda 17" xfId="862" xr:uid="{38D6CFD4-BCEB-4BE5-9FC2-05751F19E961}"/>
    <cellStyle name="Moneda 17 2" xfId="863" xr:uid="{738424BB-7847-466B-B0FA-62753F68FD19}"/>
    <cellStyle name="Moneda 17 2 2" xfId="864" xr:uid="{67479409-DC7D-4D07-860F-6DC9752DD9E6}"/>
    <cellStyle name="Moneda 17 2 2 2" xfId="865" xr:uid="{D4A62619-A3EA-4004-B39B-FEAB1B1EF27C}"/>
    <cellStyle name="Moneda 17 2 2 2 2" xfId="866" xr:uid="{B0DE6F76-6C8E-4423-94B1-E6F52589C77E}"/>
    <cellStyle name="Moneda 17 2 2 3" xfId="867" xr:uid="{B1E3F9CD-54FA-4BA3-8B90-9BD07649687E}"/>
    <cellStyle name="Moneda 17 2 2 3 2" xfId="868" xr:uid="{B0A4A9C1-CEDC-4F55-B8CE-D9750DA3844F}"/>
    <cellStyle name="Moneda 17 2 2 4" xfId="869" xr:uid="{A5074A7C-B861-4A20-8BFC-D13B98E73903}"/>
    <cellStyle name="Moneda 17 2 2 4 2" xfId="870" xr:uid="{7F65A251-DD67-4C36-9FD2-ADD30154F232}"/>
    <cellStyle name="Moneda 17 2 2 5" xfId="871" xr:uid="{33AD8662-047D-4368-9EC2-9C94722DEE89}"/>
    <cellStyle name="Moneda 17 2 3" xfId="872" xr:uid="{3EFA63D7-6C20-4C6D-A90F-58C4309567EF}"/>
    <cellStyle name="Moneda 17 2 3 2" xfId="873" xr:uid="{31ACCEF0-4C8E-4F7E-93C0-D3FCC19A3A00}"/>
    <cellStyle name="Moneda 17 2 4" xfId="874" xr:uid="{EFF7D707-CBC7-4525-9CF4-43CDF48233A5}"/>
    <cellStyle name="Moneda 17 2 4 2" xfId="875" xr:uid="{53FBD14E-A7A2-4A2C-9237-24AE2DA1461D}"/>
    <cellStyle name="Moneda 17 2 5" xfId="876" xr:uid="{1303821A-3F21-4E04-9D4C-7CAB480FA1D7}"/>
    <cellStyle name="Moneda 17 2 5 2" xfId="877" xr:uid="{690DB67C-952E-4A10-9BE4-CAD10208EE9D}"/>
    <cellStyle name="Moneda 17 2 6" xfId="878" xr:uid="{D3518242-6292-4527-A64C-CBB3C9F853D3}"/>
    <cellStyle name="Moneda 17 2 7" xfId="879" xr:uid="{DB3EC9C4-742B-4290-A1C7-209BB5F8474D}"/>
    <cellStyle name="Moneda 17 3" xfId="880" xr:uid="{F83A1C25-AFC8-44C2-8965-D8926DCC01BE}"/>
    <cellStyle name="Moneda 17 3 2" xfId="881" xr:uid="{07C5566A-78AB-4557-9F47-09A87B8010D0}"/>
    <cellStyle name="Moneda 17 3 2 2" xfId="882" xr:uid="{C41DF165-795E-4280-B63F-BC9E7A2577DF}"/>
    <cellStyle name="Moneda 17 3 3" xfId="883" xr:uid="{983B0FF8-43CF-4D1B-8199-3B7AFB0B1464}"/>
    <cellStyle name="Moneda 17 3 3 2" xfId="884" xr:uid="{FC87CB36-1236-4AFE-9B5D-0DFC26BA18B6}"/>
    <cellStyle name="Moneda 17 3 4" xfId="885" xr:uid="{98C6D731-28A0-4DB5-A774-243FF534D44E}"/>
    <cellStyle name="Moneda 17 3 4 2" xfId="886" xr:uid="{F29ED2A4-3756-4BEC-81CC-360BE3551694}"/>
    <cellStyle name="Moneda 17 3 5" xfId="887" xr:uid="{759120DC-5088-47C4-99F0-EC3011F22BC5}"/>
    <cellStyle name="Moneda 17 4" xfId="888" xr:uid="{011D79C4-599C-4D80-857B-C038E7159331}"/>
    <cellStyle name="Moneda 17 4 2" xfId="889" xr:uid="{DC793B3A-48F9-4A8B-9FA4-CAE22991E9E0}"/>
    <cellStyle name="Moneda 17 5" xfId="890" xr:uid="{5D548D90-CCA9-4E1D-AA9F-2A4D76087D09}"/>
    <cellStyle name="Moneda 17 5 2" xfId="891" xr:uid="{FD884733-8A71-4400-A9ED-8F0618759FA6}"/>
    <cellStyle name="Moneda 17 6" xfId="892" xr:uid="{7B1CBE1F-3E5C-405C-BB13-5A268CBDF56C}"/>
    <cellStyle name="Moneda 17 6 2" xfId="893" xr:uid="{93330931-56B5-4096-8F49-1C76DB5B8DE2}"/>
    <cellStyle name="Moneda 17 7" xfId="894" xr:uid="{E6E4C32D-C03F-458D-8E49-0143E2B7C62F}"/>
    <cellStyle name="Moneda 17 8" xfId="895" xr:uid="{ACFBB2B8-748D-45C5-B36F-B40F852AB866}"/>
    <cellStyle name="Moneda 18" xfId="896" xr:uid="{B60C1AA9-9D10-4BCA-88B0-556898730A2B}"/>
    <cellStyle name="Moneda 18 2" xfId="897" xr:uid="{5DB9FF42-46B7-4E37-BEC3-EAE44B82758D}"/>
    <cellStyle name="Moneda 18 2 2" xfId="898" xr:uid="{05371057-6CFA-40DD-BECA-2DEC7A4537D2}"/>
    <cellStyle name="Moneda 18 2 2 2" xfId="899" xr:uid="{AEE5FC67-DF24-4C14-88CE-804E71564B18}"/>
    <cellStyle name="Moneda 18 2 2 2 2" xfId="900" xr:uid="{399BF7ED-2468-41FF-BC51-7A7C7EDBF48A}"/>
    <cellStyle name="Moneda 18 2 2 3" xfId="901" xr:uid="{53D48056-7331-4C53-B46B-23D9D27AE1A0}"/>
    <cellStyle name="Moneda 18 2 2 3 2" xfId="902" xr:uid="{1FDED395-7D88-4575-BD3C-005120A9F0A6}"/>
    <cellStyle name="Moneda 18 2 2 4" xfId="903" xr:uid="{B643C3D1-8591-490C-BBA4-EB1DF75B8913}"/>
    <cellStyle name="Moneda 18 2 2 4 2" xfId="904" xr:uid="{315C38DD-6AE7-4D26-A100-D6449596F467}"/>
    <cellStyle name="Moneda 18 2 2 5" xfId="905" xr:uid="{FA19306C-F87E-419D-9EA2-25F81E083A06}"/>
    <cellStyle name="Moneda 18 2 3" xfId="906" xr:uid="{955A72ED-25D0-43C4-AEFE-B524A22BB010}"/>
    <cellStyle name="Moneda 18 2 3 2" xfId="907" xr:uid="{3F9EBB49-BA9C-447D-BA29-4F20B4F14097}"/>
    <cellStyle name="Moneda 18 2 4" xfId="908" xr:uid="{F9D9470F-CB4D-4FDF-9008-02DAEFB7699E}"/>
    <cellStyle name="Moneda 18 2 4 2" xfId="909" xr:uid="{7D8DDC2B-E8EB-4F24-AFDB-3C1DF168DF14}"/>
    <cellStyle name="Moneda 18 2 5" xfId="910" xr:uid="{ACB2905D-DF60-47E6-A5DD-09D38E3DFBCF}"/>
    <cellStyle name="Moneda 18 2 5 2" xfId="911" xr:uid="{591D4199-9FCC-40EE-B78E-A3B7C5EBB44A}"/>
    <cellStyle name="Moneda 18 2 6" xfId="912" xr:uid="{8B31AFD2-0889-4966-A7C4-7400AD563F52}"/>
    <cellStyle name="Moneda 18 2 7" xfId="913" xr:uid="{1E907225-78CB-4D4F-9EB5-161046A793FA}"/>
    <cellStyle name="Moneda 18 3" xfId="914" xr:uid="{7D0F4DE6-B44A-40DA-873E-1A0CEA9A1502}"/>
    <cellStyle name="Moneda 18 3 2" xfId="915" xr:uid="{5202E6E5-3FF9-42F1-9CAD-A0398A785759}"/>
    <cellStyle name="Moneda 18 3 2 2" xfId="916" xr:uid="{67F1513F-A490-43C8-828D-D47A676F970D}"/>
    <cellStyle name="Moneda 18 3 3" xfId="917" xr:uid="{73A41DC1-EB67-4217-A6FB-C8621136229C}"/>
    <cellStyle name="Moneda 18 3 3 2" xfId="918" xr:uid="{C897CF8B-7FBB-46DA-8BF4-68F2ABB8DC0B}"/>
    <cellStyle name="Moneda 18 3 4" xfId="919" xr:uid="{9DB62409-EFEB-4C73-AB4C-F691048ED2CE}"/>
    <cellStyle name="Moneda 18 3 4 2" xfId="920" xr:uid="{BBBAA3B7-4269-420A-9B1C-4D11CF36179B}"/>
    <cellStyle name="Moneda 18 3 5" xfId="921" xr:uid="{A4B99835-C48A-4FE7-8A12-D2A81BCE9D61}"/>
    <cellStyle name="Moneda 18 4" xfId="922" xr:uid="{3C1BC5D7-78A2-4B24-B1DB-B00F1CC2DBA0}"/>
    <cellStyle name="Moneda 18 4 2" xfId="923" xr:uid="{8AF48009-6CAD-43BB-927F-D500C805B35B}"/>
    <cellStyle name="Moneda 18 5" xfId="924" xr:uid="{9CE8FFD2-8541-44CC-9546-409FD8C626D1}"/>
    <cellStyle name="Moneda 18 5 2" xfId="925" xr:uid="{3D33B6E0-CCBD-47A1-A049-EDE22B79F28F}"/>
    <cellStyle name="Moneda 18 6" xfId="926" xr:uid="{8A7C713D-A919-404E-A3DF-B8050819B254}"/>
    <cellStyle name="Moneda 18 6 2" xfId="927" xr:uid="{12C66647-808D-4C9A-92CC-8D0512C19CE1}"/>
    <cellStyle name="Moneda 18 7" xfId="928" xr:uid="{9072B95D-4A4A-41EA-B3DC-92BBAC1371EA}"/>
    <cellStyle name="Moneda 18 8" xfId="929" xr:uid="{BD304288-4324-482E-BFD0-C5FEF11E12E0}"/>
    <cellStyle name="Moneda 19" xfId="930" xr:uid="{271516EB-BB5A-49B5-A9A7-6689743EC7E7}"/>
    <cellStyle name="Moneda 19 2" xfId="931" xr:uid="{597956EC-7607-427D-B66B-D5A03BC505A3}"/>
    <cellStyle name="Moneda 19 2 2" xfId="932" xr:uid="{65A697F6-6569-4B62-8BC1-45EFBBA04678}"/>
    <cellStyle name="Moneda 19 2 2 2" xfId="933" xr:uid="{EC58FD7E-D360-4322-B8BE-5F7FFC84D30B}"/>
    <cellStyle name="Moneda 19 2 2 2 2" xfId="934" xr:uid="{59B8DACE-5183-4DDE-B151-535F1F1A9945}"/>
    <cellStyle name="Moneda 19 2 2 3" xfId="935" xr:uid="{89CC2216-2BB0-4BDB-8185-854A8B9FE665}"/>
    <cellStyle name="Moneda 19 2 2 3 2" xfId="936" xr:uid="{40D16856-B3D5-43E1-9318-24E85197D61B}"/>
    <cellStyle name="Moneda 19 2 2 4" xfId="937" xr:uid="{B4D1BE8D-7434-44BE-8475-90616CB0470D}"/>
    <cellStyle name="Moneda 19 2 2 4 2" xfId="938" xr:uid="{262D8857-0FF8-4026-8543-AE010900DB31}"/>
    <cellStyle name="Moneda 19 2 2 5" xfId="939" xr:uid="{84D2FEF2-BF66-478A-98B2-6CDD90841AF0}"/>
    <cellStyle name="Moneda 19 2 3" xfId="940" xr:uid="{005E3347-53C0-47BD-AB00-253B2928C955}"/>
    <cellStyle name="Moneda 19 2 3 2" xfId="941" xr:uid="{BBAC71D7-F89A-48CC-8CD8-B563D257F7A0}"/>
    <cellStyle name="Moneda 19 2 4" xfId="942" xr:uid="{C0893F97-F1ED-4A84-AD3F-88D5F8247A29}"/>
    <cellStyle name="Moneda 19 2 4 2" xfId="943" xr:uid="{9062D87D-B8E0-414F-89D7-C55D6E62A0F8}"/>
    <cellStyle name="Moneda 19 2 5" xfId="944" xr:uid="{244172C1-E023-4400-A7DE-6165AF1D5587}"/>
    <cellStyle name="Moneda 19 2 5 2" xfId="945" xr:uid="{34CC4BAA-A282-47F7-A5E6-D834594C5827}"/>
    <cellStyle name="Moneda 19 2 6" xfId="946" xr:uid="{8EC49934-FA34-47D0-896A-72B1E4DE4FC5}"/>
    <cellStyle name="Moneda 19 2 7" xfId="947" xr:uid="{33A60A7D-9827-4032-A20F-B010DC9BCA32}"/>
    <cellStyle name="Moneda 19 3" xfId="948" xr:uid="{31C4D84F-2A47-4D0A-A292-2AC09068F425}"/>
    <cellStyle name="Moneda 19 3 2" xfId="949" xr:uid="{590B1444-F568-41D4-8328-CB825F9FBD0D}"/>
    <cellStyle name="Moneda 19 3 2 2" xfId="950" xr:uid="{B1568AEE-E862-4E0A-9772-5A38B75CFB14}"/>
    <cellStyle name="Moneda 19 3 3" xfId="951" xr:uid="{C787BE18-5564-41F5-8EF2-8A155364F75A}"/>
    <cellStyle name="Moneda 19 3 3 2" xfId="952" xr:uid="{F7A9BA38-A48B-4583-8720-017F2D492A51}"/>
    <cellStyle name="Moneda 19 3 4" xfId="953" xr:uid="{53A9338E-45F6-46D5-9C1A-DA328E7BD794}"/>
    <cellStyle name="Moneda 19 3 4 2" xfId="954" xr:uid="{A9763F35-F593-431B-B42D-3B90F9BAB546}"/>
    <cellStyle name="Moneda 19 3 5" xfId="955" xr:uid="{6F0A869E-D7AB-4B7F-83CE-5D93FD971B8A}"/>
    <cellStyle name="Moneda 19 4" xfId="956" xr:uid="{03FF0475-6C85-4B00-8979-FB6A56D1C298}"/>
    <cellStyle name="Moneda 19 4 2" xfId="957" xr:uid="{ACF2CF9E-C709-4377-8B74-EEDA35A3D99F}"/>
    <cellStyle name="Moneda 19 5" xfId="958" xr:uid="{BF4CD4D0-CED8-4328-942A-AFC40AD73868}"/>
    <cellStyle name="Moneda 19 5 2" xfId="959" xr:uid="{25D02374-6743-4074-81D6-FA9FBB73CC4C}"/>
    <cellStyle name="Moneda 19 6" xfId="960" xr:uid="{43FD07C3-6134-4EA6-9063-3055CD8AC60C}"/>
    <cellStyle name="Moneda 19 6 2" xfId="961" xr:uid="{10A9DB29-16FA-4213-AEED-9D9F27E24856}"/>
    <cellStyle name="Moneda 19 7" xfId="962" xr:uid="{55D53619-1938-4F17-A237-01A475171F10}"/>
    <cellStyle name="Moneda 19 8" xfId="963" xr:uid="{E6352010-9E92-4AA9-AC6E-99F1E23471D2}"/>
    <cellStyle name="Moneda 2" xfId="13" xr:uid="{EE8E8497-BC2C-47BA-835F-69F7D2DFAA84}"/>
    <cellStyle name="Moneda 2 2" xfId="14" xr:uid="{AA161FB3-0994-4023-AC46-FA34E1A8A8E7}"/>
    <cellStyle name="Moneda 2 2 2" xfId="15" xr:uid="{A002BB30-BC13-4764-8ADD-F64E1D5E4CC9}"/>
    <cellStyle name="Moneda 2 2 3" xfId="964" xr:uid="{4ED56D39-0808-4554-8956-58A25967EA20}"/>
    <cellStyle name="Moneda 2 2 3 2" xfId="965" xr:uid="{7A631359-2944-4431-A7DB-9293680AE595}"/>
    <cellStyle name="Moneda 2 3" xfId="16" xr:uid="{347B8E21-53F8-4372-BF94-4CFED9354629}"/>
    <cellStyle name="Moneda 2 3 10" xfId="966" xr:uid="{51A2501D-8D9C-41F8-A566-AF31E46C28BA}"/>
    <cellStyle name="Moneda 2 3 10 2" xfId="967" xr:uid="{07342B74-C679-4917-849B-D5D20D5E0DE3}"/>
    <cellStyle name="Moneda 2 3 10 2 2" xfId="968" xr:uid="{1280276A-30D1-4224-B1D9-707E32199AC1}"/>
    <cellStyle name="Moneda 2 3 10 3" xfId="969" xr:uid="{63B71CF3-B270-4754-BB7F-A354ABC14937}"/>
    <cellStyle name="Moneda 2 3 11" xfId="970" xr:uid="{A3F2B5E7-4990-4444-9456-F319AF678478}"/>
    <cellStyle name="Moneda 2 3 11 2" xfId="971" xr:uid="{703DE4D6-C778-4170-B654-97E9B8837D0C}"/>
    <cellStyle name="Moneda 2 3 11 3" xfId="972" xr:uid="{17733A21-694D-4673-B17E-15786616AD5B}"/>
    <cellStyle name="Moneda 2 3 12" xfId="973" xr:uid="{451D8BE0-FE61-407D-AC94-2B04B36BAA87}"/>
    <cellStyle name="Moneda 2 3 2" xfId="974" xr:uid="{CEEB969B-6819-4CEE-A5B1-CF437E45A7C7}"/>
    <cellStyle name="Moneda 2 3 2 10" xfId="975" xr:uid="{CB8AEBB0-A6DE-422A-85E4-486E6C1BD670}"/>
    <cellStyle name="Moneda 2 3 2 11" xfId="976" xr:uid="{FAC242AB-268D-405B-9DAD-20EB82876423}"/>
    <cellStyle name="Moneda 2 3 2 2" xfId="977" xr:uid="{486ED57C-4284-4C03-A19A-6319382BFBD7}"/>
    <cellStyle name="Moneda 2 3 2 2 2" xfId="978" xr:uid="{7716E192-6D95-4A08-8399-1B8413E653CF}"/>
    <cellStyle name="Moneda 2 3 2 2 2 2" xfId="979" xr:uid="{BA2AE201-2544-400C-B381-40EEF9665BB8}"/>
    <cellStyle name="Moneda 2 3 2 2 2 2 2" xfId="980" xr:uid="{E3A59F19-B306-40E9-9B4F-F3177504A134}"/>
    <cellStyle name="Moneda 2 3 2 2 2 2 2 2" xfId="981" xr:uid="{4E1A6034-8EBE-408D-B2E3-D9EBBB75C4A8}"/>
    <cellStyle name="Moneda 2 3 2 2 2 2 2 2 2" xfId="982" xr:uid="{711B4956-5A4B-47FF-86BE-050084703542}"/>
    <cellStyle name="Moneda 2 3 2 2 2 2 2 3" xfId="983" xr:uid="{395A74E1-5B56-42EF-9E0F-1AF4486EBC02}"/>
    <cellStyle name="Moneda 2 3 2 2 2 2 3" xfId="984" xr:uid="{C1DD5A7A-7BEE-4DFB-A372-FE1749336CED}"/>
    <cellStyle name="Moneda 2 3 2 2 2 2 3 2" xfId="985" xr:uid="{970424EA-3769-4F9F-8EA7-01A2BC0C6C30}"/>
    <cellStyle name="Moneda 2 3 2 2 2 2 3 3" xfId="986" xr:uid="{13976723-E5B8-4301-90BD-A43B9F08F4FF}"/>
    <cellStyle name="Moneda 2 3 2 2 2 2 4" xfId="987" xr:uid="{8EF7A4CB-9FCA-4CA0-B7B5-8177B1483B86}"/>
    <cellStyle name="Moneda 2 3 2 2 2 2 4 2" xfId="988" xr:uid="{2BA75985-ACEA-4FE0-82A3-EE217091746A}"/>
    <cellStyle name="Moneda 2 3 2 2 2 2 5" xfId="989" xr:uid="{F44DBEF7-E5A1-452C-9464-B2D3BA93B440}"/>
    <cellStyle name="Moneda 2 3 2 2 2 2 6" xfId="990" xr:uid="{7378C1A4-7F61-4E3E-9D37-8614FC3E6197}"/>
    <cellStyle name="Moneda 2 3 2 2 2 3" xfId="991" xr:uid="{8366D28C-FB8B-48B6-98E0-6A7BA9D89617}"/>
    <cellStyle name="Moneda 2 3 2 2 2 3 2" xfId="992" xr:uid="{7C1C21E7-D3C2-4269-85A1-247AB9BD185B}"/>
    <cellStyle name="Moneda 2 3 2 2 2 3 2 2" xfId="993" xr:uid="{FEDB5ACC-6A15-4FF7-A8DE-39534BC77F45}"/>
    <cellStyle name="Moneda 2 3 2 2 2 3 3" xfId="994" xr:uid="{12E3B227-5ADD-41EB-A532-BC875AA0A511}"/>
    <cellStyle name="Moneda 2 3 2 2 2 4" xfId="995" xr:uid="{0F59463E-62F8-4CB3-9BC0-623C18D05BFA}"/>
    <cellStyle name="Moneda 2 3 2 2 2 4 2" xfId="996" xr:uid="{AE350D1B-DF9E-4004-AF73-2F5D3020D7E4}"/>
    <cellStyle name="Moneda 2 3 2 2 2 4 3" xfId="997" xr:uid="{31D0CF2C-701F-46E7-84E5-36F8DBAEB701}"/>
    <cellStyle name="Moneda 2 3 2 2 2 5" xfId="998" xr:uid="{ABAB9648-23AC-45BA-8FF2-02331D3801DE}"/>
    <cellStyle name="Moneda 2 3 2 2 2 5 2" xfId="999" xr:uid="{793D5872-07F1-4CC3-B185-041B0525DC8D}"/>
    <cellStyle name="Moneda 2 3 2 2 2 6" xfId="1000" xr:uid="{D7202490-F9A1-41E0-AF53-590FE34D63E1}"/>
    <cellStyle name="Moneda 2 3 2 2 2 7" xfId="1001" xr:uid="{3238B630-C98A-4598-AA63-D6E501B306D2}"/>
    <cellStyle name="Moneda 2 3 2 2 3" xfId="1002" xr:uid="{851A0D77-2221-4B4E-818E-0F9958DDBDEE}"/>
    <cellStyle name="Moneda 2 3 2 2 3 2" xfId="1003" xr:uid="{257B62FB-9D54-471E-815A-C6731A8A54E7}"/>
    <cellStyle name="Moneda 2 3 2 2 3 2 2" xfId="1004" xr:uid="{0C0CF138-DB55-47A5-A9CA-ED4D5F682E15}"/>
    <cellStyle name="Moneda 2 3 2 2 3 2 2 2" xfId="1005" xr:uid="{D48320C5-86A2-436D-A17F-D5D0F37792A8}"/>
    <cellStyle name="Moneda 2 3 2 2 3 2 2 3" xfId="1006" xr:uid="{9FF64B6D-9A8D-4150-8B8C-723FFF5242FA}"/>
    <cellStyle name="Moneda 2 3 2 2 3 2 3" xfId="1007" xr:uid="{65EC0875-7905-4969-9C9B-0F93FD2A1D94}"/>
    <cellStyle name="Moneda 2 3 2 2 3 2 4" xfId="1008" xr:uid="{CE978617-E8F3-4197-BC21-1DD5338B2850}"/>
    <cellStyle name="Moneda 2 3 2 2 3 3" xfId="1009" xr:uid="{22E18843-FCBD-47A1-82BA-9C49983423C9}"/>
    <cellStyle name="Moneda 2 3 2 2 3 3 2" xfId="1010" xr:uid="{3363D0DF-2C50-42D0-BC6E-5467F004FDD6}"/>
    <cellStyle name="Moneda 2 3 2 2 3 3 2 2" xfId="1011" xr:uid="{B472CD8B-FF52-4AA1-8537-E6A1BED3591F}"/>
    <cellStyle name="Moneda 2 3 2 2 3 3 3" xfId="1012" xr:uid="{A38FF30A-5F40-4CE6-84DA-927151C65973}"/>
    <cellStyle name="Moneda 2 3 2 2 3 4" xfId="1013" xr:uid="{086C52B4-0F7E-4B59-9B4C-29CFC188600C}"/>
    <cellStyle name="Moneda 2 3 2 2 3 4 2" xfId="1014" xr:uid="{AD5AC7C3-8E99-488F-9ED0-B4A372ED7849}"/>
    <cellStyle name="Moneda 2 3 2 2 3 4 3" xfId="1015" xr:uid="{4F26C925-840D-4917-9BEA-774C1A939D6D}"/>
    <cellStyle name="Moneda 2 3 2 2 3 5" xfId="1016" xr:uid="{67215AF9-3D02-4288-B69A-9C03D26C76CE}"/>
    <cellStyle name="Moneda 2 3 2 2 3 6" xfId="1017" xr:uid="{F1436648-F99C-494A-AE36-38ED321BFF08}"/>
    <cellStyle name="Moneda 2 3 2 2 4" xfId="1018" xr:uid="{B32860E6-502C-4E4E-B487-A0FF8B8EA55D}"/>
    <cellStyle name="Moneda 2 3 2 2 4 2" xfId="1019" xr:uid="{FB0B6B74-4D56-4716-9714-341B807CAD0C}"/>
    <cellStyle name="Moneda 2 3 2 2 4 2 2" xfId="1020" xr:uid="{A72D8572-B675-49CC-8061-61ED2FB2BA48}"/>
    <cellStyle name="Moneda 2 3 2 2 4 2 2 2" xfId="1021" xr:uid="{3A538B2A-6AC4-4502-A380-73E26C0C371C}"/>
    <cellStyle name="Moneda 2 3 2 2 4 2 3" xfId="1022" xr:uid="{1CC05E9C-6930-43FA-903E-8715731C07B7}"/>
    <cellStyle name="Moneda 2 3 2 2 4 2 4" xfId="1023" xr:uid="{E0DC8580-260A-47BA-919C-D9C5622C2D4C}"/>
    <cellStyle name="Moneda 2 3 2 2 4 3" xfId="1024" xr:uid="{F8ACA1DA-B5A1-41AA-B08B-44EC144017D8}"/>
    <cellStyle name="Moneda 2 3 2 2 4 3 2" xfId="1025" xr:uid="{05D6360F-06D2-40EF-9C59-5967F9DA05B8}"/>
    <cellStyle name="Moneda 2 3 2 2 4 4" xfId="1026" xr:uid="{26AC5C4D-209A-4A5E-A3A7-62D2D75D4A39}"/>
    <cellStyle name="Moneda 2 3 2 2 4 5" xfId="1027" xr:uid="{A670B4D4-2E8C-4DEB-8988-ADCAD0A6E597}"/>
    <cellStyle name="Moneda 2 3 2 2 5" xfId="1028" xr:uid="{71D1D450-9784-469B-8F3A-8FCED4876900}"/>
    <cellStyle name="Moneda 2 3 2 2 5 2" xfId="1029" xr:uid="{C72B09A1-A6EF-47B0-81BC-5217767636F3}"/>
    <cellStyle name="Moneda 2 3 2 2 5 2 2" xfId="1030" xr:uid="{9F48EB51-8F66-4654-9215-1CA4C2D8BB88}"/>
    <cellStyle name="Moneda 2 3 2 2 5 2 3" xfId="1031" xr:uid="{3BDE0029-51AD-40D9-9499-DF928BAFFB65}"/>
    <cellStyle name="Moneda 2 3 2 2 5 3" xfId="1032" xr:uid="{E60B7CB1-6664-4944-B142-6EBD8D4FE086}"/>
    <cellStyle name="Moneda 2 3 2 2 5 4" xfId="1033" xr:uid="{39503E1D-8EA0-4193-B9C1-E27E44ACD525}"/>
    <cellStyle name="Moneda 2 3 2 2 6" xfId="1034" xr:uid="{94DB6D3B-0DE4-47B0-9B77-2B8D55DEA7E5}"/>
    <cellStyle name="Moneda 2 3 2 2 6 2" xfId="1035" xr:uid="{59EA1173-E534-4543-A856-E45E7C030102}"/>
    <cellStyle name="Moneda 2 3 2 2 6 2 2" xfId="1036" xr:uid="{52D63932-4550-4799-876C-9C5708D62DAE}"/>
    <cellStyle name="Moneda 2 3 2 2 6 3" xfId="1037" xr:uid="{DED15426-29D9-4902-B881-27F0B5A0E4CA}"/>
    <cellStyle name="Moneda 2 3 2 2 7" xfId="1038" xr:uid="{8019EB06-A7BA-418B-B6DA-62D229FBB3C3}"/>
    <cellStyle name="Moneda 2 3 2 2 7 2" xfId="1039" xr:uid="{AA50A12A-6017-4C49-8017-D02B456D17AC}"/>
    <cellStyle name="Moneda 2 3 2 2 8" xfId="1040" xr:uid="{C75D8174-C190-4973-89E5-A26FBD1434DB}"/>
    <cellStyle name="Moneda 2 3 2 3" xfId="1041" xr:uid="{C6BB44DE-C2E1-4942-9A85-1D561EBE3A34}"/>
    <cellStyle name="Moneda 2 3 2 3 2" xfId="1042" xr:uid="{317510C3-7C1F-4BC5-B19F-EAA463A45AD3}"/>
    <cellStyle name="Moneda 2 3 2 3 2 2" xfId="1043" xr:uid="{8D38D24F-E697-4FBF-AE8C-F9ECC5F046BB}"/>
    <cellStyle name="Moneda 2 3 2 3 2 2 2" xfId="1044" xr:uid="{3864A60A-917E-4425-A763-211C55C81B6B}"/>
    <cellStyle name="Moneda 2 3 2 3 2 2 2 2" xfId="1045" xr:uid="{2A15E4BD-BB0C-4C62-B115-A2B61044E540}"/>
    <cellStyle name="Moneda 2 3 2 3 2 2 2 3" xfId="1046" xr:uid="{2C0CF281-03FD-454C-A44C-353D58BD1A47}"/>
    <cellStyle name="Moneda 2 3 2 3 2 2 3" xfId="1047" xr:uid="{74BF4286-B4FF-4E3C-9910-2D33F76E2610}"/>
    <cellStyle name="Moneda 2 3 2 3 2 2 3 2" xfId="1048" xr:uid="{EA093A54-5C5E-4CB4-9A36-30DE454BC9F2}"/>
    <cellStyle name="Moneda 2 3 2 3 2 2 4" xfId="1049" xr:uid="{160A3059-C610-4D6E-82FF-9EA32A6FC37C}"/>
    <cellStyle name="Moneda 2 3 2 3 2 2 4 2" xfId="1050" xr:uid="{80364881-4187-4A34-AC53-534929F6F714}"/>
    <cellStyle name="Moneda 2 3 2 3 2 2 5" xfId="1051" xr:uid="{A98FAFA4-488E-4D8C-8A43-7585C4F6E734}"/>
    <cellStyle name="Moneda 2 3 2 3 2 2 6" xfId="1052" xr:uid="{205B864C-06FE-4F4B-AB04-2AB5F18A7606}"/>
    <cellStyle name="Moneda 2 3 2 3 2 3" xfId="1053" xr:uid="{C0C55846-0278-4935-914B-0A3265A3D207}"/>
    <cellStyle name="Moneda 2 3 2 3 2 3 2" xfId="1054" xr:uid="{52E27700-7141-4F25-9D85-DE266F791B02}"/>
    <cellStyle name="Moneda 2 3 2 3 2 3 3" xfId="1055" xr:uid="{BF4F7AA7-7BCC-4C74-AD9D-508B064EBC36}"/>
    <cellStyle name="Moneda 2 3 2 3 2 4" xfId="1056" xr:uid="{9DC75D70-500F-4C59-9101-1482C0CA4506}"/>
    <cellStyle name="Moneda 2 3 2 3 2 4 2" xfId="1057" xr:uid="{BD86FFEB-A16B-4489-85D0-CAD89D524A3E}"/>
    <cellStyle name="Moneda 2 3 2 3 2 5" xfId="1058" xr:uid="{C6E77DAD-43E9-4FFE-9CAF-999A5F0AD55C}"/>
    <cellStyle name="Moneda 2 3 2 3 2 5 2" xfId="1059" xr:uid="{0A6194DA-D8F4-4056-A94E-1C1069694DA5}"/>
    <cellStyle name="Moneda 2 3 2 3 2 6" xfId="1060" xr:uid="{46182F12-034A-4353-B2A4-C43F3DD430F9}"/>
    <cellStyle name="Moneda 2 3 2 3 2 7" xfId="1061" xr:uid="{54EE003D-8BDF-4A7D-98C1-E8BFD6B874A9}"/>
    <cellStyle name="Moneda 2 3 2 3 3" xfId="1062" xr:uid="{D3502CA1-9C4F-4327-895E-09DA3C1B19E4}"/>
    <cellStyle name="Moneda 2 3 2 3 3 2" xfId="1063" xr:uid="{BDC096ED-0740-441B-A445-B1D923132550}"/>
    <cellStyle name="Moneda 2 3 2 3 3 2 2" xfId="1064" xr:uid="{9A8163AF-F99E-4062-9E79-47EA88FF2E89}"/>
    <cellStyle name="Moneda 2 3 2 3 3 2 3" xfId="1065" xr:uid="{A7E56457-976E-47B1-B232-7CC06A8E2632}"/>
    <cellStyle name="Moneda 2 3 2 3 3 3" xfId="1066" xr:uid="{17032373-2086-4D55-8A91-E733E6ACE270}"/>
    <cellStyle name="Moneda 2 3 2 3 3 3 2" xfId="1067" xr:uid="{2B15DF60-BDCD-46F6-B78B-3B4987100A17}"/>
    <cellStyle name="Moneda 2 3 2 3 3 4" xfId="1068" xr:uid="{2382D73F-0443-47BD-81ED-9ECE33BA7DB0}"/>
    <cellStyle name="Moneda 2 3 2 3 3 4 2" xfId="1069" xr:uid="{8D66E4B8-4079-42D8-B3AF-580CD4DCFB80}"/>
    <cellStyle name="Moneda 2 3 2 3 3 5" xfId="1070" xr:uid="{5030A3ED-F1E8-415A-919C-718CF07B0E72}"/>
    <cellStyle name="Moneda 2 3 2 3 3 6" xfId="1071" xr:uid="{F80769B0-4DD7-480E-B807-8365B8417289}"/>
    <cellStyle name="Moneda 2 3 2 3 4" xfId="1072" xr:uid="{BE6C9B87-CBC7-470B-9C42-3A548175EFFD}"/>
    <cellStyle name="Moneda 2 3 2 3 4 2" xfId="1073" xr:uid="{BD04E197-52BA-4992-83B0-D99059349A85}"/>
    <cellStyle name="Moneda 2 3 2 3 4 3" xfId="1074" xr:uid="{DC36AE59-BE77-4FAE-85B9-98838FD706FB}"/>
    <cellStyle name="Moneda 2 3 2 3 5" xfId="1075" xr:uid="{06742FAB-6D36-422F-B3C5-2C2D987F8878}"/>
    <cellStyle name="Moneda 2 3 2 3 5 2" xfId="1076" xr:uid="{96E54A6F-FE91-4C3F-8A8D-ED8DC06F3016}"/>
    <cellStyle name="Moneda 2 3 2 3 6" xfId="1077" xr:uid="{6402DA19-0112-47E5-A50B-3314C7CFC17C}"/>
    <cellStyle name="Moneda 2 3 2 3 6 2" xfId="1078" xr:uid="{796F4647-67AD-4F17-98EB-764339CD831F}"/>
    <cellStyle name="Moneda 2 3 2 3 7" xfId="1079" xr:uid="{AA3DA758-A273-49A2-91E9-E47380937FD0}"/>
    <cellStyle name="Moneda 2 3 2 3 8" xfId="1080" xr:uid="{0E03473B-E2B0-4450-A6DC-B7D394511211}"/>
    <cellStyle name="Moneda 2 3 2 4" xfId="1081" xr:uid="{D1A61743-C02E-441B-AC37-F826D4DBA096}"/>
    <cellStyle name="Moneda 2 3 2 4 2" xfId="1082" xr:uid="{C83433BD-4960-42D2-B100-D6D1EEBE4355}"/>
    <cellStyle name="Moneda 2 3 2 4 2 2" xfId="1083" xr:uid="{0C192ABB-1BE9-485E-979F-4835638530E2}"/>
    <cellStyle name="Moneda 2 3 2 4 2 2 2" xfId="1084" xr:uid="{7A1BF3F7-A1BA-4225-B8F1-3EF74F93AB17}"/>
    <cellStyle name="Moneda 2 3 2 4 2 2 2 2" xfId="1085" xr:uid="{8B46BE17-5B6F-4AB4-B282-5934D171FAB8}"/>
    <cellStyle name="Moneda 2 3 2 4 2 2 2 3" xfId="1086" xr:uid="{9BE27DDC-720A-47E4-AF78-77E6C5DADBF6}"/>
    <cellStyle name="Moneda 2 3 2 4 2 2 3" xfId="1087" xr:uid="{379116AA-DD8C-4D50-947E-D20F40255A13}"/>
    <cellStyle name="Moneda 2 3 2 4 2 2 3 2" xfId="1088" xr:uid="{D0DB815E-2D3B-47C7-B79E-A22F3049E927}"/>
    <cellStyle name="Moneda 2 3 2 4 2 2 4" xfId="1089" xr:uid="{F8C1EF02-E2F1-4F9A-A9B8-4723FF85F601}"/>
    <cellStyle name="Moneda 2 3 2 4 2 2 4 2" xfId="1090" xr:uid="{52E51CBD-60FB-4273-B62B-EE0EEAF20C8F}"/>
    <cellStyle name="Moneda 2 3 2 4 2 2 5" xfId="1091" xr:uid="{FE0AA57F-F5C8-43A7-B343-6DD888D1D278}"/>
    <cellStyle name="Moneda 2 3 2 4 2 2 6" xfId="1092" xr:uid="{4FE26962-FB2C-4723-86D8-68877A789C60}"/>
    <cellStyle name="Moneda 2 3 2 4 2 3" xfId="1093" xr:uid="{9AC3F8F6-9653-4D0F-8295-8B8D38E1B7E5}"/>
    <cellStyle name="Moneda 2 3 2 4 2 3 2" xfId="1094" xr:uid="{FF93564A-98BA-4303-92FF-C98DCD285EEB}"/>
    <cellStyle name="Moneda 2 3 2 4 2 3 3" xfId="1095" xr:uid="{954D86A8-3362-452E-8109-6549A0F41AE9}"/>
    <cellStyle name="Moneda 2 3 2 4 2 4" xfId="1096" xr:uid="{2D54B285-1023-411A-8A76-9218172FF8C2}"/>
    <cellStyle name="Moneda 2 3 2 4 2 4 2" xfId="1097" xr:uid="{705B341C-9C6E-4F7B-8E98-55A01C89C139}"/>
    <cellStyle name="Moneda 2 3 2 4 2 5" xfId="1098" xr:uid="{6E71182F-CBAA-49C3-A9E9-81C5F2907CC9}"/>
    <cellStyle name="Moneda 2 3 2 4 2 5 2" xfId="1099" xr:uid="{D5E72129-991E-4381-814A-2B649B058556}"/>
    <cellStyle name="Moneda 2 3 2 4 2 6" xfId="1100" xr:uid="{03A934F9-79E6-4BCE-823A-980D9745D5AA}"/>
    <cellStyle name="Moneda 2 3 2 4 2 7" xfId="1101" xr:uid="{C410DF2E-D212-4BBE-9027-D0D328856FCE}"/>
    <cellStyle name="Moneda 2 3 2 4 3" xfId="1102" xr:uid="{8B5A2202-DC22-4620-A83E-86FAE1CC1347}"/>
    <cellStyle name="Moneda 2 3 2 4 3 2" xfId="1103" xr:uid="{87AB786D-2328-440F-9766-833E1F6159D7}"/>
    <cellStyle name="Moneda 2 3 2 4 3 2 2" xfId="1104" xr:uid="{1C8FCB85-2F0A-439D-9E06-29FED868D514}"/>
    <cellStyle name="Moneda 2 3 2 4 3 2 3" xfId="1105" xr:uid="{5682BEF6-A57C-41B1-A95D-EEE03B9E8DDD}"/>
    <cellStyle name="Moneda 2 3 2 4 3 3" xfId="1106" xr:uid="{D29B46CA-BB65-403A-8CD5-54B126ED0977}"/>
    <cellStyle name="Moneda 2 3 2 4 3 3 2" xfId="1107" xr:uid="{0581CCE0-F246-4A57-B002-297795C40193}"/>
    <cellStyle name="Moneda 2 3 2 4 3 4" xfId="1108" xr:uid="{425AD6D9-DA9D-45EE-90BA-CED7E87133A1}"/>
    <cellStyle name="Moneda 2 3 2 4 3 4 2" xfId="1109" xr:uid="{224DFDC0-C2AB-4FAD-8D9E-BE590C2094FF}"/>
    <cellStyle name="Moneda 2 3 2 4 3 5" xfId="1110" xr:uid="{D93F9550-4647-4195-AEA0-5582402A264E}"/>
    <cellStyle name="Moneda 2 3 2 4 3 6" xfId="1111" xr:uid="{E4BC1C26-77D5-42C9-AA2A-03F33862B14E}"/>
    <cellStyle name="Moneda 2 3 2 4 4" xfId="1112" xr:uid="{A32EAED6-CDCA-4128-B86D-5CA75F10CFDF}"/>
    <cellStyle name="Moneda 2 3 2 4 4 2" xfId="1113" xr:uid="{36869E0C-1F49-4819-A390-F20398822F64}"/>
    <cellStyle name="Moneda 2 3 2 4 4 3" xfId="1114" xr:uid="{BE53BA74-0FB5-448C-AFA6-7AA2B54BF49B}"/>
    <cellStyle name="Moneda 2 3 2 4 5" xfId="1115" xr:uid="{CAAFEADC-DE0E-4F43-8E68-1FE8EBD55626}"/>
    <cellStyle name="Moneda 2 3 2 4 5 2" xfId="1116" xr:uid="{40CD0FF4-CE96-466F-9267-4F9D1F354684}"/>
    <cellStyle name="Moneda 2 3 2 4 6" xfId="1117" xr:uid="{054666DA-E53E-478C-AE96-B9E21D27A55F}"/>
    <cellStyle name="Moneda 2 3 2 4 6 2" xfId="1118" xr:uid="{9BEB24A8-3E21-4623-9853-1CD2E26B2B0B}"/>
    <cellStyle name="Moneda 2 3 2 4 7" xfId="1119" xr:uid="{C05AF783-78BC-4426-93FD-AFD695C496E6}"/>
    <cellStyle name="Moneda 2 3 2 4 8" xfId="1120" xr:uid="{B0432CA8-C621-4B1C-8150-7C0F851BA3CD}"/>
    <cellStyle name="Moneda 2 3 2 5" xfId="1121" xr:uid="{14FF9883-6CA1-4A9C-819B-A8A7B33C8DA2}"/>
    <cellStyle name="Moneda 2 3 2 5 2" xfId="1122" xr:uid="{AB6B30EA-DD04-4CC7-9D7F-AB630B4DC7D2}"/>
    <cellStyle name="Moneda 2 3 2 5 2 2" xfId="1123" xr:uid="{1E920B65-A3A3-4CEF-B632-87EF73080D29}"/>
    <cellStyle name="Moneda 2 3 2 5 2 2 2" xfId="1124" xr:uid="{CE66226D-7928-4E68-82EB-23F3D2B3B258}"/>
    <cellStyle name="Moneda 2 3 2 5 2 2 2 2" xfId="1125" xr:uid="{450C364B-6D42-49EB-974C-F3B59EEDD85A}"/>
    <cellStyle name="Moneda 2 3 2 5 2 2 3" xfId="1126" xr:uid="{3F17BD31-FDD2-4812-930C-73B04FBE7D15}"/>
    <cellStyle name="Moneda 2 3 2 5 2 3" xfId="1127" xr:uid="{0D6E91F8-052E-4FAB-87CD-0ADEFC021791}"/>
    <cellStyle name="Moneda 2 3 2 5 2 3 2" xfId="1128" xr:uid="{BA09D6BF-3FD0-4455-A3E0-CBA23AAD68EA}"/>
    <cellStyle name="Moneda 2 3 2 5 2 3 3" xfId="1129" xr:uid="{886224D0-DAF1-45C5-B660-87503880A7A8}"/>
    <cellStyle name="Moneda 2 3 2 5 2 4" xfId="1130" xr:uid="{DC54AA6B-340E-469C-A291-AA4A89DDE058}"/>
    <cellStyle name="Moneda 2 3 2 5 2 4 2" xfId="1131" xr:uid="{262FBB06-7F14-4AFB-B01F-8589BD05B427}"/>
    <cellStyle name="Moneda 2 3 2 5 2 5" xfId="1132" xr:uid="{48F37FAF-1593-4837-A3A1-FE73AC06926C}"/>
    <cellStyle name="Moneda 2 3 2 5 2 6" xfId="1133" xr:uid="{D67F1088-9369-4045-BC92-274BA6CCDF06}"/>
    <cellStyle name="Moneda 2 3 2 5 3" xfId="1134" xr:uid="{CBF351F4-636B-46DC-9964-B1DDC29106D8}"/>
    <cellStyle name="Moneda 2 3 2 5 3 2" xfId="1135" xr:uid="{3A84167B-ED0B-4DEB-B3B4-A61F8DD1B92C}"/>
    <cellStyle name="Moneda 2 3 2 5 3 2 2" xfId="1136" xr:uid="{D3EDCEEB-4A94-4DC4-88D6-A8CDAE799D52}"/>
    <cellStyle name="Moneda 2 3 2 5 3 3" xfId="1137" xr:uid="{DAEE10F8-C097-4203-9E17-8C2F01A6528A}"/>
    <cellStyle name="Moneda 2 3 2 5 4" xfId="1138" xr:uid="{167BD148-CDFD-408B-A874-3FFDE9880B35}"/>
    <cellStyle name="Moneda 2 3 2 5 4 2" xfId="1139" xr:uid="{B2162E38-C14B-40CE-B01E-8075F1E4EB0F}"/>
    <cellStyle name="Moneda 2 3 2 5 4 3" xfId="1140" xr:uid="{00DA8BCE-2F46-4925-8931-656F5793CC0E}"/>
    <cellStyle name="Moneda 2 3 2 5 5" xfId="1141" xr:uid="{68277F78-F74E-4D9A-918F-59D07E9F6D24}"/>
    <cellStyle name="Moneda 2 3 2 5 5 2" xfId="1142" xr:uid="{79C5D913-E77F-4ED4-8B98-CA625F71AA69}"/>
    <cellStyle name="Moneda 2 3 2 5 6" xfId="1143" xr:uid="{A6FDBED4-1E29-4B83-8CEC-1ABCDB444288}"/>
    <cellStyle name="Moneda 2 3 2 5 7" xfId="1144" xr:uid="{9BD74F6A-C0C2-4E7F-90DB-8B635B9EB03A}"/>
    <cellStyle name="Moneda 2 3 2 6" xfId="1145" xr:uid="{3833B34B-0B10-40F8-996B-3F959EB187C4}"/>
    <cellStyle name="Moneda 2 3 2 6 2" xfId="1146" xr:uid="{948B2D3C-1731-4F40-AC03-F14B9B0FA676}"/>
    <cellStyle name="Moneda 2 3 2 6 2 2" xfId="1147" xr:uid="{A3CB2F3B-FCAC-4BC7-8DE1-C9B1A8C0C70F}"/>
    <cellStyle name="Moneda 2 3 2 6 2 2 2" xfId="1148" xr:uid="{E6B35945-2A23-4FD8-8639-79D796FA7BEB}"/>
    <cellStyle name="Moneda 2 3 2 6 2 3" xfId="1149" xr:uid="{843820AF-3AA3-47B8-BE93-77AC74819ADA}"/>
    <cellStyle name="Moneda 2 3 2 6 3" xfId="1150" xr:uid="{21951ED1-B4B6-4E87-BABF-A379BBEFC4E2}"/>
    <cellStyle name="Moneda 2 3 2 6 3 2" xfId="1151" xr:uid="{F070A72C-7B5A-455F-9A3A-96D63057D80F}"/>
    <cellStyle name="Moneda 2 3 2 6 3 3" xfId="1152" xr:uid="{30094D71-8802-4F13-975C-24C76A1056BC}"/>
    <cellStyle name="Moneda 2 3 2 6 4" xfId="1153" xr:uid="{D4AFD790-779D-4FD7-9AEA-A1B1C56F0FE9}"/>
    <cellStyle name="Moneda 2 3 2 6 4 2" xfId="1154" xr:uid="{E0FE2221-A058-41AE-AB4A-F84CE487747D}"/>
    <cellStyle name="Moneda 2 3 2 6 5" xfId="1155" xr:uid="{4C36907D-1B59-406E-B19A-9B2190DCA5FA}"/>
    <cellStyle name="Moneda 2 3 2 6 6" xfId="1156" xr:uid="{C7A60B33-5AED-474E-90C2-B38213703162}"/>
    <cellStyle name="Moneda 2 3 2 7" xfId="1157" xr:uid="{42A7A1F0-F186-4E2E-BCF8-CECE03232731}"/>
    <cellStyle name="Moneda 2 3 2 7 2" xfId="1158" xr:uid="{667AF30B-5B0B-4A4D-AD3E-46A4E79F831A}"/>
    <cellStyle name="Moneda 2 3 2 7 2 2" xfId="1159" xr:uid="{60A28FDC-93F2-4589-B50B-20C2ED22BC48}"/>
    <cellStyle name="Moneda 2 3 2 7 3" xfId="1160" xr:uid="{7F5EBD88-9C94-4A1D-A7F9-5247899F350B}"/>
    <cellStyle name="Moneda 2 3 2 8" xfId="1161" xr:uid="{386E81BE-5142-4E76-B601-1C23E6C90D33}"/>
    <cellStyle name="Moneda 2 3 2 8 2" xfId="1162" xr:uid="{2B7DF438-2BF8-470E-97C7-D7FB541169D5}"/>
    <cellStyle name="Moneda 2 3 2 8 3" xfId="1163" xr:uid="{DF3F925C-A428-4A2C-A609-A40034ACB6D3}"/>
    <cellStyle name="Moneda 2 3 2 9" xfId="1164" xr:uid="{CC64248D-728F-423B-905A-8CF965EFF3C1}"/>
    <cellStyle name="Moneda 2 3 2 9 2" xfId="1165" xr:uid="{5FE94F03-0291-43A9-B28B-8D85F71707DC}"/>
    <cellStyle name="Moneda 2 3 3" xfId="1166" xr:uid="{F485CAE1-0351-4713-A666-EF41AE614D04}"/>
    <cellStyle name="Moneda 2 3 3 2" xfId="1167" xr:uid="{F725BAC2-8C2B-41FC-939A-3D86A30715A6}"/>
    <cellStyle name="Moneda 2 3 3 2 2" xfId="1168" xr:uid="{6DA61084-FC68-433A-9824-2AEA60853AE3}"/>
    <cellStyle name="Moneda 2 3 3 2 2 2" xfId="1169" xr:uid="{D7EC10A3-CD02-4027-980F-B6DF4F6746F7}"/>
    <cellStyle name="Moneda 2 3 3 2 2 2 2" xfId="1170" xr:uid="{585979FD-B10E-408D-A2D8-1DC2C4837710}"/>
    <cellStyle name="Moneda 2 3 3 2 2 2 2 2" xfId="1171" xr:uid="{6D456ADE-B365-4D48-9E26-F5F8948B0F56}"/>
    <cellStyle name="Moneda 2 3 3 2 2 2 3" xfId="1172" xr:uid="{78C0904F-5760-4334-92BE-521C535E9E2A}"/>
    <cellStyle name="Moneda 2 3 3 2 2 3" xfId="1173" xr:uid="{CA520DEF-55E1-436B-91A5-4DD7ECA1176A}"/>
    <cellStyle name="Moneda 2 3 3 2 2 3 2" xfId="1174" xr:uid="{52591573-162B-48F3-A840-7878A4E04E8E}"/>
    <cellStyle name="Moneda 2 3 3 2 2 3 3" xfId="1175" xr:uid="{36D29BF2-E79C-46DE-A284-55C9CEEB52EB}"/>
    <cellStyle name="Moneda 2 3 3 2 2 4" xfId="1176" xr:uid="{E77CA5E0-E8F2-4273-AE17-D0B3FA613D84}"/>
    <cellStyle name="Moneda 2 3 3 2 2 4 2" xfId="1177" xr:uid="{48412D79-F894-4D2A-982A-FA42630BA3F5}"/>
    <cellStyle name="Moneda 2 3 3 2 2 5" xfId="1178" xr:uid="{66BD444D-7123-4DAA-880B-B71733A185B7}"/>
    <cellStyle name="Moneda 2 3 3 2 2 6" xfId="1179" xr:uid="{BB637BE3-6EDD-4595-90C5-5D44262568D5}"/>
    <cellStyle name="Moneda 2 3 3 2 3" xfId="1180" xr:uid="{C7837E40-5782-4371-B327-58E1182BAB2C}"/>
    <cellStyle name="Moneda 2 3 3 2 3 2" xfId="1181" xr:uid="{6E53FC4D-555B-4265-991A-C7015D592924}"/>
    <cellStyle name="Moneda 2 3 3 2 3 2 2" xfId="1182" xr:uid="{0A872515-F5F9-4D92-A537-ADF77DDE5938}"/>
    <cellStyle name="Moneda 2 3 3 2 3 3" xfId="1183" xr:uid="{31ADC3A4-EDCA-4604-BB82-DF70AFEB6AF5}"/>
    <cellStyle name="Moneda 2 3 3 2 4" xfId="1184" xr:uid="{086D6BE2-3A89-4D26-A0DD-A6DB8A4B9C79}"/>
    <cellStyle name="Moneda 2 3 3 2 4 2" xfId="1185" xr:uid="{6E3B74FA-A49B-4C4C-B518-F6CC3CD02829}"/>
    <cellStyle name="Moneda 2 3 3 2 4 3" xfId="1186" xr:uid="{D1A5CC19-FD7B-48AD-835D-BCD913BC306E}"/>
    <cellStyle name="Moneda 2 3 3 2 5" xfId="1187" xr:uid="{E21D8A8E-971E-4548-9E03-8CEFBD2DFD22}"/>
    <cellStyle name="Moneda 2 3 3 2 5 2" xfId="1188" xr:uid="{F38A4761-2C3C-4C74-B8A2-B009D57B321D}"/>
    <cellStyle name="Moneda 2 3 3 2 6" xfId="1189" xr:uid="{2813EE63-C79F-46CA-B6A6-2447F9787ABF}"/>
    <cellStyle name="Moneda 2 3 3 2 7" xfId="1190" xr:uid="{E2C8DCF1-1D37-4543-8B84-BBE56ECC6BF0}"/>
    <cellStyle name="Moneda 2 3 3 3" xfId="1191" xr:uid="{952CCF6C-D757-4A02-A179-49534900F4E9}"/>
    <cellStyle name="Moneda 2 3 3 3 2" xfId="1192" xr:uid="{ECAA286D-BF05-401C-9E9E-107974C0BD4D}"/>
    <cellStyle name="Moneda 2 3 3 3 2 2" xfId="1193" xr:uid="{9F0BF31A-B604-4C85-81FE-915C26C19373}"/>
    <cellStyle name="Moneda 2 3 3 3 2 2 2" xfId="1194" xr:uid="{797AEA31-7577-4D1A-9DE5-67640019BD53}"/>
    <cellStyle name="Moneda 2 3 3 3 2 2 3" xfId="1195" xr:uid="{3DE7868A-14AA-489A-B1C3-CA180F8AD392}"/>
    <cellStyle name="Moneda 2 3 3 3 2 3" xfId="1196" xr:uid="{8BD747A1-4638-4DBC-B8A2-879E31371CE9}"/>
    <cellStyle name="Moneda 2 3 3 3 2 4" xfId="1197" xr:uid="{B39834CE-D825-4CBD-90CC-3D1C91B79DC2}"/>
    <cellStyle name="Moneda 2 3 3 3 3" xfId="1198" xr:uid="{5F0EC7E7-C18D-4A99-9300-59CA02E241A3}"/>
    <cellStyle name="Moneda 2 3 3 3 3 2" xfId="1199" xr:uid="{8FE318F9-1D21-487B-BF4A-6EFA605E86B3}"/>
    <cellStyle name="Moneda 2 3 3 3 3 2 2" xfId="1200" xr:uid="{F8C246E5-ED48-4040-8C34-0B3E42EDCF11}"/>
    <cellStyle name="Moneda 2 3 3 3 3 3" xfId="1201" xr:uid="{FC1DB9C6-6E4C-47D0-867F-2C1F2CCC4592}"/>
    <cellStyle name="Moneda 2 3 3 3 4" xfId="1202" xr:uid="{2249E669-5E19-4FB7-A451-127B8B5D4ACF}"/>
    <cellStyle name="Moneda 2 3 3 3 4 2" xfId="1203" xr:uid="{54E0CE5F-9E9B-451D-8E96-02838EEDC33F}"/>
    <cellStyle name="Moneda 2 3 3 3 4 3" xfId="1204" xr:uid="{80EBF7A0-71DF-49F4-8D42-8145DEF77853}"/>
    <cellStyle name="Moneda 2 3 3 3 5" xfId="1205" xr:uid="{320D4A27-5DDA-4A35-9731-71AD1DD5133D}"/>
    <cellStyle name="Moneda 2 3 3 3 6" xfId="1206" xr:uid="{C3C768AE-BEEA-4DCE-9F08-217A18ACA5F7}"/>
    <cellStyle name="Moneda 2 3 3 4" xfId="1207" xr:uid="{7A002321-E24A-452C-A600-5B923CF84FFD}"/>
    <cellStyle name="Moneda 2 3 3 4 2" xfId="1208" xr:uid="{C49FC9CF-C50F-486B-BDC6-486D71F656A8}"/>
    <cellStyle name="Moneda 2 3 3 4 2 2" xfId="1209" xr:uid="{BFA4691B-6661-4E79-8ECB-4DBCDB4063D8}"/>
    <cellStyle name="Moneda 2 3 3 4 2 2 2" xfId="1210" xr:uid="{5AB2FE3D-77F4-4D09-9520-4BC91A1A72A0}"/>
    <cellStyle name="Moneda 2 3 3 4 2 3" xfId="1211" xr:uid="{DD296883-E551-4E55-9CDD-00911623608F}"/>
    <cellStyle name="Moneda 2 3 3 4 2 4" xfId="1212" xr:uid="{BEE0A569-BF8A-42D8-8288-DA9A22C4C5BF}"/>
    <cellStyle name="Moneda 2 3 3 4 3" xfId="1213" xr:uid="{E7430B95-5662-4AA8-9CB2-22F4196BC101}"/>
    <cellStyle name="Moneda 2 3 3 4 3 2" xfId="1214" xr:uid="{D9C90A5A-53C8-4F32-A450-1B0F6EDDDD00}"/>
    <cellStyle name="Moneda 2 3 3 4 4" xfId="1215" xr:uid="{792C9DCC-B265-4AA0-86EB-C58836F3C243}"/>
    <cellStyle name="Moneda 2 3 3 4 5" xfId="1216" xr:uid="{7D10158B-FF8A-4F3A-9304-0EBAA6D39230}"/>
    <cellStyle name="Moneda 2 3 3 5" xfId="1217" xr:uid="{58628278-92C7-4F0E-A1CF-3379C14DCA4E}"/>
    <cellStyle name="Moneda 2 3 3 5 2" xfId="1218" xr:uid="{02E1DA5F-7CE2-4556-80CD-FDC2B82F2EAE}"/>
    <cellStyle name="Moneda 2 3 3 5 2 2" xfId="1219" xr:uid="{357BCEAB-88FC-4D45-ACBE-327DFB08E084}"/>
    <cellStyle name="Moneda 2 3 3 5 2 3" xfId="1220" xr:uid="{2A7BEAA5-5A9F-4CAF-B9A1-67F40640BC78}"/>
    <cellStyle name="Moneda 2 3 3 5 3" xfId="1221" xr:uid="{F0EB2D3B-E3BF-42BA-95ED-A9755AAAA850}"/>
    <cellStyle name="Moneda 2 3 3 5 4" xfId="1222" xr:uid="{AB6F5A58-55EF-4366-9A63-17239EA74302}"/>
    <cellStyle name="Moneda 2 3 3 6" xfId="1223" xr:uid="{7CFBA87D-81F9-4A14-93A4-7E136EE5A9CD}"/>
    <cellStyle name="Moneda 2 3 3 6 2" xfId="1224" xr:uid="{D289A4F2-A0DB-495F-A681-867C45C88ADD}"/>
    <cellStyle name="Moneda 2 3 3 6 2 2" xfId="1225" xr:uid="{F5EA1077-3F92-48AA-9FC1-A93AD97F06C3}"/>
    <cellStyle name="Moneda 2 3 3 6 3" xfId="1226" xr:uid="{86E9A87F-626A-4E92-BDCF-FC7609A41FB0}"/>
    <cellStyle name="Moneda 2 3 3 7" xfId="1227" xr:uid="{C30C0AF7-E52D-49F9-AF62-AAC70BF5CC4C}"/>
    <cellStyle name="Moneda 2 3 3 7 2" xfId="1228" xr:uid="{B7FE5068-D89A-4DB9-A977-9AAF262913D6}"/>
    <cellStyle name="Moneda 2 3 3 8" xfId="1229" xr:uid="{A4CD3A69-FEC9-4206-87C6-E65189006E8B}"/>
    <cellStyle name="Moneda 2 3 4" xfId="1230" xr:uid="{0E3CD5C2-71DE-456C-94D6-C08C7ADF02BB}"/>
    <cellStyle name="Moneda 2 3 4 2" xfId="1231" xr:uid="{C358735D-FB1B-4A79-B9D9-97EB078FE10A}"/>
    <cellStyle name="Moneda 2 3 4 2 2" xfId="1232" xr:uid="{9712B164-BD03-4D99-A4A2-20A954C250B9}"/>
    <cellStyle name="Moneda 2 3 4 2 2 2" xfId="1233" xr:uid="{583B4859-4B54-49C6-8D95-34EB57C72196}"/>
    <cellStyle name="Moneda 2 3 4 2 2 2 2" xfId="1234" xr:uid="{CC284589-8B2F-4E79-AE42-8CB33CF3C00E}"/>
    <cellStyle name="Moneda 2 3 4 2 2 2 2 2" xfId="1235" xr:uid="{6EB723FE-048C-483B-8EB9-51872B323EEC}"/>
    <cellStyle name="Moneda 2 3 4 2 2 2 3" xfId="1236" xr:uid="{77D84E8C-16C2-4DDF-8888-99C9CE18565E}"/>
    <cellStyle name="Moneda 2 3 4 2 2 3" xfId="1237" xr:uid="{777C0A16-BB99-4B14-B953-3EE0F96B544A}"/>
    <cellStyle name="Moneda 2 3 4 2 2 3 2" xfId="1238" xr:uid="{74B959DA-E474-45D6-BA4C-1A6E792C7083}"/>
    <cellStyle name="Moneda 2 3 4 2 2 3 3" xfId="1239" xr:uid="{BC9F3779-55DB-434D-85AA-6F0B5E05D430}"/>
    <cellStyle name="Moneda 2 3 4 2 2 4" xfId="1240" xr:uid="{0D3A07F3-C702-4E60-A5AC-0E7DC371C6EF}"/>
    <cellStyle name="Moneda 2 3 4 2 2 4 2" xfId="1241" xr:uid="{BDB90C3E-8DAB-47BE-932B-0443730DAFC7}"/>
    <cellStyle name="Moneda 2 3 4 2 2 5" xfId="1242" xr:uid="{2EC907B4-522D-4BA4-9A54-EEE8D00BAC62}"/>
    <cellStyle name="Moneda 2 3 4 2 2 6" xfId="1243" xr:uid="{DD964D03-423C-40FF-BA51-BD8EF7E2E254}"/>
    <cellStyle name="Moneda 2 3 4 2 3" xfId="1244" xr:uid="{872A98C1-5CF6-4D14-8A6D-ECEE53928E5C}"/>
    <cellStyle name="Moneda 2 3 4 2 3 2" xfId="1245" xr:uid="{B9CD2C25-09A1-4168-A208-C6C568DE1692}"/>
    <cellStyle name="Moneda 2 3 4 2 3 2 2" xfId="1246" xr:uid="{F0D40030-0510-411D-BBF1-1116D929A481}"/>
    <cellStyle name="Moneda 2 3 4 2 3 3" xfId="1247" xr:uid="{7CBEACF1-7975-4437-9740-118432374AFA}"/>
    <cellStyle name="Moneda 2 3 4 2 4" xfId="1248" xr:uid="{21D6B36F-937D-4A6D-A1E4-C895EE2C6CEE}"/>
    <cellStyle name="Moneda 2 3 4 2 4 2" xfId="1249" xr:uid="{0465755A-B62E-4F8B-A29A-DAC0FA683593}"/>
    <cellStyle name="Moneda 2 3 4 2 4 3" xfId="1250" xr:uid="{5A2081A6-F7F6-45AB-AF2E-492A867BF736}"/>
    <cellStyle name="Moneda 2 3 4 2 5" xfId="1251" xr:uid="{B11C06EE-DA74-409F-A4D8-74366DDFED26}"/>
    <cellStyle name="Moneda 2 3 4 2 5 2" xfId="1252" xr:uid="{98E6C8A3-05B2-42E8-9FE4-C0A9D30B43B7}"/>
    <cellStyle name="Moneda 2 3 4 2 6" xfId="1253" xr:uid="{0A86FC39-D482-4B90-B0A1-19591C662E16}"/>
    <cellStyle name="Moneda 2 3 4 2 7" xfId="1254" xr:uid="{BBE3C7FC-7163-4EBF-B210-A09175740855}"/>
    <cellStyle name="Moneda 2 3 4 3" xfId="1255" xr:uid="{BB6DE40D-FF3B-4C93-AC81-E5294DCD7FBD}"/>
    <cellStyle name="Moneda 2 3 4 3 2" xfId="1256" xr:uid="{37A89CF9-856D-4A65-815F-DF35F7B86ED6}"/>
    <cellStyle name="Moneda 2 3 4 3 2 2" xfId="1257" xr:uid="{742063F4-269F-4C1B-951C-9C8FED0AC1AF}"/>
    <cellStyle name="Moneda 2 3 4 3 2 2 2" xfId="1258" xr:uid="{E1A19D97-AC68-406D-98D8-4B8B668390D5}"/>
    <cellStyle name="Moneda 2 3 4 3 2 2 3" xfId="1259" xr:uid="{32D8D739-84B6-4FBB-A628-5866478B6218}"/>
    <cellStyle name="Moneda 2 3 4 3 2 3" xfId="1260" xr:uid="{9D777968-62E7-4F53-B65B-43561074CE3A}"/>
    <cellStyle name="Moneda 2 3 4 3 2 4" xfId="1261" xr:uid="{A8588FD5-04CB-41A0-B988-FFF36B76506D}"/>
    <cellStyle name="Moneda 2 3 4 3 3" xfId="1262" xr:uid="{50B17F37-35B3-4169-B00F-8468D9917621}"/>
    <cellStyle name="Moneda 2 3 4 3 3 2" xfId="1263" xr:uid="{E4D5251F-3D7F-4402-B360-633DCF4DC6A5}"/>
    <cellStyle name="Moneda 2 3 4 3 3 2 2" xfId="1264" xr:uid="{68A5D8EF-5454-4CCC-A73C-35E0547498C5}"/>
    <cellStyle name="Moneda 2 3 4 3 3 3" xfId="1265" xr:uid="{59C9BF16-D581-4FDF-BD6A-9D4ED543073F}"/>
    <cellStyle name="Moneda 2 3 4 3 4" xfId="1266" xr:uid="{6B6C1133-549F-437C-AC27-946CF40D47F6}"/>
    <cellStyle name="Moneda 2 3 4 3 4 2" xfId="1267" xr:uid="{6081141A-8EB6-4DD9-AC4B-2929D681CDF9}"/>
    <cellStyle name="Moneda 2 3 4 3 4 3" xfId="1268" xr:uid="{1FC56085-9BDC-4670-BFEB-A088DEED3ED0}"/>
    <cellStyle name="Moneda 2 3 4 3 5" xfId="1269" xr:uid="{E178A9C1-365B-4626-8D42-B616C85E778C}"/>
    <cellStyle name="Moneda 2 3 4 3 6" xfId="1270" xr:uid="{A37BA0AE-5E06-4915-A0B0-E1B1613FEC52}"/>
    <cellStyle name="Moneda 2 3 4 4" xfId="1271" xr:uid="{3B515409-BB08-43C7-9BF5-BCE4349105D0}"/>
    <cellStyle name="Moneda 2 3 4 4 2" xfId="1272" xr:uid="{45B945D4-EB04-48B5-A7F1-D4EE64ABBD0A}"/>
    <cellStyle name="Moneda 2 3 4 4 2 2" xfId="1273" xr:uid="{C400780B-8FAA-447D-8B6C-DF6484161352}"/>
    <cellStyle name="Moneda 2 3 4 4 2 2 2" xfId="1274" xr:uid="{C21D5662-54EC-4AE1-A8CB-13E3AEB4D2F3}"/>
    <cellStyle name="Moneda 2 3 4 4 2 3" xfId="1275" xr:uid="{66ACC1DC-C884-4E5D-B0E1-A3BDE0764988}"/>
    <cellStyle name="Moneda 2 3 4 4 2 4" xfId="1276" xr:uid="{5D6509A7-6B58-4F23-9384-7679B8DE6FCB}"/>
    <cellStyle name="Moneda 2 3 4 4 3" xfId="1277" xr:uid="{417D4678-7A1B-41CC-B629-56495270B83B}"/>
    <cellStyle name="Moneda 2 3 4 4 3 2" xfId="1278" xr:uid="{72A0EC7C-E5A4-490F-9E38-ADEED7E1A7C7}"/>
    <cellStyle name="Moneda 2 3 4 4 4" xfId="1279" xr:uid="{801C1B95-7643-4EA8-8EF6-93A3FDE5ACDA}"/>
    <cellStyle name="Moneda 2 3 4 4 5" xfId="1280" xr:uid="{114304BB-CCC9-49ED-A27C-1863EFA9EAB8}"/>
    <cellStyle name="Moneda 2 3 4 5" xfId="1281" xr:uid="{1925616D-165A-473D-B10A-F42842015887}"/>
    <cellStyle name="Moneda 2 3 4 5 2" xfId="1282" xr:uid="{EC9EB0EE-70FA-45FE-A7BC-15907F000E9E}"/>
    <cellStyle name="Moneda 2 3 4 5 2 2" xfId="1283" xr:uid="{C0471A0C-DE55-4E1E-8A95-38B9A8E07B5D}"/>
    <cellStyle name="Moneda 2 3 4 5 2 3" xfId="1284" xr:uid="{3B752434-E70B-4B27-A086-3199CF0CE511}"/>
    <cellStyle name="Moneda 2 3 4 5 3" xfId="1285" xr:uid="{7FE5544C-CE39-466E-B5DC-A724956C947C}"/>
    <cellStyle name="Moneda 2 3 4 5 4" xfId="1286" xr:uid="{7CF0FFB3-9C50-47D3-BFD5-241F86350D00}"/>
    <cellStyle name="Moneda 2 3 4 6" xfId="1287" xr:uid="{2FAE7453-76B8-41CB-9ED2-41653136D95A}"/>
    <cellStyle name="Moneda 2 3 4 6 2" xfId="1288" xr:uid="{06FC2908-740F-4DE1-9734-20D930A0B780}"/>
    <cellStyle name="Moneda 2 3 4 6 2 2" xfId="1289" xr:uid="{771175DF-54AA-4684-BE03-F94854DAEABB}"/>
    <cellStyle name="Moneda 2 3 4 6 3" xfId="1290" xr:uid="{D91A7685-3A79-4494-AAA9-1D4E1C895169}"/>
    <cellStyle name="Moneda 2 3 4 7" xfId="1291" xr:uid="{B4E1E991-BCCC-4407-ADA6-2FAEB9102A46}"/>
    <cellStyle name="Moneda 2 3 4 7 2" xfId="1292" xr:uid="{D8C364F3-ADB9-44F5-845B-52E1D904374C}"/>
    <cellStyle name="Moneda 2 3 4 8" xfId="1293" xr:uid="{D0778CC3-FF3F-4A5C-8651-94CC891F2EE0}"/>
    <cellStyle name="Moneda 2 3 5" xfId="1294" xr:uid="{CBB8CE11-C8F6-4EFE-AC21-FC3E1E91EEDF}"/>
    <cellStyle name="Moneda 2 3 5 2" xfId="1295" xr:uid="{9123CEF3-A4F1-4550-85DC-95E1B249E0F8}"/>
    <cellStyle name="Moneda 2 3 5 2 2" xfId="1296" xr:uid="{487ED0D9-3676-4ECF-89A4-4BBB3FCA0A64}"/>
    <cellStyle name="Moneda 2 3 5 2 2 2" xfId="1297" xr:uid="{0EE89016-CA2E-4068-A951-C7E3E3FC60E6}"/>
    <cellStyle name="Moneda 2 3 5 2 2 2 2" xfId="1298" xr:uid="{F24DD761-72D7-4E45-B81F-0D8673F03D20}"/>
    <cellStyle name="Moneda 2 3 5 2 2 2 3" xfId="1299" xr:uid="{379246BA-8E28-4995-931C-4007AF74A636}"/>
    <cellStyle name="Moneda 2 3 5 2 2 3" xfId="1300" xr:uid="{282E0E8A-607A-43EE-8A29-3163CBBC1510}"/>
    <cellStyle name="Moneda 2 3 5 2 2 3 2" xfId="1301" xr:uid="{BCA98B8C-9F49-46CF-846A-72800A1DCAFD}"/>
    <cellStyle name="Moneda 2 3 5 2 2 4" xfId="1302" xr:uid="{37E342E3-7B3F-4656-911F-FA8744709F67}"/>
    <cellStyle name="Moneda 2 3 5 2 2 4 2" xfId="1303" xr:uid="{7CB5E75C-F43E-48AB-A571-F657ECF13E67}"/>
    <cellStyle name="Moneda 2 3 5 2 2 5" xfId="1304" xr:uid="{764C9CF8-817C-427F-8081-E6D97FA5723C}"/>
    <cellStyle name="Moneda 2 3 5 2 2 6" xfId="1305" xr:uid="{0FE6F2C7-9F98-4EF8-A4D0-995D8960B0FB}"/>
    <cellStyle name="Moneda 2 3 5 2 3" xfId="1306" xr:uid="{99A4DD30-8C0D-4A4B-9A40-0EC40259C4AD}"/>
    <cellStyle name="Moneda 2 3 5 2 3 2" xfId="1307" xr:uid="{81BFCC31-5512-4790-99F5-B887A73FB5E1}"/>
    <cellStyle name="Moneda 2 3 5 2 3 3" xfId="1308" xr:uid="{12FD44C1-54DD-407E-987C-0976AEF03E1F}"/>
    <cellStyle name="Moneda 2 3 5 2 4" xfId="1309" xr:uid="{A8DC69F2-C079-4C6C-BD8D-CF1F28D45A78}"/>
    <cellStyle name="Moneda 2 3 5 2 4 2" xfId="1310" xr:uid="{0840985B-1B87-417E-ABC1-EBDCD2682BA8}"/>
    <cellStyle name="Moneda 2 3 5 2 5" xfId="1311" xr:uid="{511F98FD-9271-4C9E-801C-B24CD5D4E586}"/>
    <cellStyle name="Moneda 2 3 5 2 5 2" xfId="1312" xr:uid="{152DD351-D70F-472E-AD18-BDDF8B296AD3}"/>
    <cellStyle name="Moneda 2 3 5 2 6" xfId="1313" xr:uid="{E026CF9D-E75E-4B9A-B062-C619E36A78F0}"/>
    <cellStyle name="Moneda 2 3 5 2 7" xfId="1314" xr:uid="{0C5B8303-6E09-448C-9CB2-A40BB825BB9E}"/>
    <cellStyle name="Moneda 2 3 5 3" xfId="1315" xr:uid="{5D5BF57B-3B8D-48F0-83C6-FFBE195B887B}"/>
    <cellStyle name="Moneda 2 3 5 3 2" xfId="1316" xr:uid="{B7C78BAD-876A-46CF-AE71-BB57C4E206FD}"/>
    <cellStyle name="Moneda 2 3 5 3 2 2" xfId="1317" xr:uid="{AC73ECB7-389F-410D-934C-DC719FA442F9}"/>
    <cellStyle name="Moneda 2 3 5 3 2 3" xfId="1318" xr:uid="{3EE98B95-896B-487D-9C65-8B60B024355C}"/>
    <cellStyle name="Moneda 2 3 5 3 3" xfId="1319" xr:uid="{40EDA52E-48AD-4454-8CD8-278A170683B7}"/>
    <cellStyle name="Moneda 2 3 5 3 3 2" xfId="1320" xr:uid="{0BC4FA83-4F89-43A1-A8CE-F83860111D0E}"/>
    <cellStyle name="Moneda 2 3 5 3 4" xfId="1321" xr:uid="{B97DF4CC-9882-40EA-82C0-0BE392A22C16}"/>
    <cellStyle name="Moneda 2 3 5 3 4 2" xfId="1322" xr:uid="{B44C61F4-9783-468F-A561-02B56FBBF750}"/>
    <cellStyle name="Moneda 2 3 5 3 5" xfId="1323" xr:uid="{673E0C26-7AFC-48CD-B45F-EE85381B05DB}"/>
    <cellStyle name="Moneda 2 3 5 3 6" xfId="1324" xr:uid="{09D98157-463C-4173-9B04-21E6703434FD}"/>
    <cellStyle name="Moneda 2 3 5 4" xfId="1325" xr:uid="{6EBC43D5-12C6-4026-B1E2-F4C861243E6A}"/>
    <cellStyle name="Moneda 2 3 5 4 2" xfId="1326" xr:uid="{1ADDDFEE-E172-4DF4-8CBF-F0D3E451BE4E}"/>
    <cellStyle name="Moneda 2 3 5 4 3" xfId="1327" xr:uid="{30798E66-E341-472B-8F29-FA21DE681483}"/>
    <cellStyle name="Moneda 2 3 5 5" xfId="1328" xr:uid="{94BD95F8-7605-4E36-B11C-87E0B8832A91}"/>
    <cellStyle name="Moneda 2 3 5 5 2" xfId="1329" xr:uid="{C8553B3C-8310-4D0C-B3E1-327F9391B0C0}"/>
    <cellStyle name="Moneda 2 3 5 6" xfId="1330" xr:uid="{18D0A281-1FD6-4713-BD38-580EF81FC00A}"/>
    <cellStyle name="Moneda 2 3 5 6 2" xfId="1331" xr:uid="{1BAE3C5E-7010-4D55-8214-5E8FE0B968F3}"/>
    <cellStyle name="Moneda 2 3 5 7" xfId="1332" xr:uid="{35D89A94-82AC-4C74-9911-AD2A9D44FE1E}"/>
    <cellStyle name="Moneda 2 3 5 8" xfId="1333" xr:uid="{2E4A4C38-F186-4B01-B621-FCBB01AA1712}"/>
    <cellStyle name="Moneda 2 3 6" xfId="1334" xr:uid="{D2277B1C-A258-48BD-9108-14FB46BEC4A2}"/>
    <cellStyle name="Moneda 2 3 6 2" xfId="1335" xr:uid="{85B8EE45-0911-4CAD-B535-C172EBCE8B75}"/>
    <cellStyle name="Moneda 2 3 6 2 2" xfId="1336" xr:uid="{EB22F3BF-C6E3-4E0A-A6FD-AC1D8A0ED726}"/>
    <cellStyle name="Moneda 2 3 6 2 2 2" xfId="1337" xr:uid="{7D9395B8-9A11-4187-A803-C9090EBC5351}"/>
    <cellStyle name="Moneda 2 3 6 2 2 2 2" xfId="1338" xr:uid="{0FC6BC81-66B4-4AB3-AB3A-054007153FEF}"/>
    <cellStyle name="Moneda 2 3 6 2 2 3" xfId="1339" xr:uid="{8E0C67AD-8FB1-407C-B09F-525D7E8E4DCE}"/>
    <cellStyle name="Moneda 2 3 6 2 3" xfId="1340" xr:uid="{05ABEFE1-C0F8-4D38-874F-62E080572037}"/>
    <cellStyle name="Moneda 2 3 6 2 3 2" xfId="1341" xr:uid="{DDF34981-2755-4BC3-8666-530136F2AAFE}"/>
    <cellStyle name="Moneda 2 3 6 2 3 3" xfId="1342" xr:uid="{9559058E-E660-4641-B6B2-3E33B2AFD306}"/>
    <cellStyle name="Moneda 2 3 6 2 4" xfId="1343" xr:uid="{6511E3D7-8DF6-409F-8147-6D0E5C5513C3}"/>
    <cellStyle name="Moneda 2 3 6 2 4 2" xfId="1344" xr:uid="{884B9D00-0AE1-4226-881B-7085E18E29AD}"/>
    <cellStyle name="Moneda 2 3 6 2 5" xfId="1345" xr:uid="{43B090CD-FEE3-4C45-BB36-0C282BE0D441}"/>
    <cellStyle name="Moneda 2 3 6 2 6" xfId="1346" xr:uid="{45106E82-4F14-4616-B03D-BDD80679122B}"/>
    <cellStyle name="Moneda 2 3 6 3" xfId="1347" xr:uid="{C8D89C31-D5A9-4D2C-9BC6-5F93D0164BAF}"/>
    <cellStyle name="Moneda 2 3 6 3 2" xfId="1348" xr:uid="{AAE8BCDA-3E93-4E66-9C75-21131065C3EA}"/>
    <cellStyle name="Moneda 2 3 6 3 2 2" xfId="1349" xr:uid="{0A0142F2-E505-4CC5-9D54-4211E6752CFA}"/>
    <cellStyle name="Moneda 2 3 6 3 3" xfId="1350" xr:uid="{9BE2ADC2-9274-4A56-ACF8-910E38879FD1}"/>
    <cellStyle name="Moneda 2 3 6 4" xfId="1351" xr:uid="{D22CFDFE-E393-4874-B8A9-3496D35A1DA1}"/>
    <cellStyle name="Moneda 2 3 6 4 2" xfId="1352" xr:uid="{8B2DD003-76BC-45A7-A04F-500BC28ED555}"/>
    <cellStyle name="Moneda 2 3 6 4 3" xfId="1353" xr:uid="{2B0FD331-69A3-4164-A76D-FA02C447BF5A}"/>
    <cellStyle name="Moneda 2 3 6 5" xfId="1354" xr:uid="{E5A8B9B9-5B13-4B57-834D-70A2305E0052}"/>
    <cellStyle name="Moneda 2 3 6 5 2" xfId="1355" xr:uid="{88DD80A7-CC64-47D3-AA34-E4F3A49EBE0F}"/>
    <cellStyle name="Moneda 2 3 6 6" xfId="1356" xr:uid="{977523C5-723C-4672-B07A-205B065F99E4}"/>
    <cellStyle name="Moneda 2 3 6 7" xfId="1357" xr:uid="{914B7588-6558-48A1-82C0-EDCA76982021}"/>
    <cellStyle name="Moneda 2 3 7" xfId="1358" xr:uid="{459A3B40-9F8B-4928-9F59-A3547AAF6624}"/>
    <cellStyle name="Moneda 2 3 7 2" xfId="1359" xr:uid="{595FD10F-0AE8-4E3C-A0AE-DA6D0F578241}"/>
    <cellStyle name="Moneda 2 3 7 2 2" xfId="1360" xr:uid="{8DD6FCA0-D5C9-4775-B636-1B2DB5A1154A}"/>
    <cellStyle name="Moneda 2 3 7 2 2 2" xfId="1361" xr:uid="{BF3A9C4C-5862-4EB7-B843-97F06183C6AC}"/>
    <cellStyle name="Moneda 2 3 7 2 2 3" xfId="1362" xr:uid="{04E2D7A8-2859-4657-A2CC-7CA3DE435432}"/>
    <cellStyle name="Moneda 2 3 7 2 3" xfId="1363" xr:uid="{B38F4A3A-F659-4C24-8865-59CDF7CA45A8}"/>
    <cellStyle name="Moneda 2 3 7 2 4" xfId="1364" xr:uid="{69A8F0C9-BF3F-4B36-B48C-03F36744E051}"/>
    <cellStyle name="Moneda 2 3 7 3" xfId="1365" xr:uid="{ACF04ED5-1AF1-4A2E-A4EB-1674752AC9C9}"/>
    <cellStyle name="Moneda 2 3 7 3 2" xfId="1366" xr:uid="{E466E8B7-3B16-4F0A-902B-34C0C138C144}"/>
    <cellStyle name="Moneda 2 3 7 3 2 2" xfId="1367" xr:uid="{882ADB49-22DA-4E2D-B278-3F52E6A90F96}"/>
    <cellStyle name="Moneda 2 3 7 3 3" xfId="1368" xr:uid="{40287758-7582-41CE-B13E-881B7BA069ED}"/>
    <cellStyle name="Moneda 2 3 7 4" xfId="1369" xr:uid="{622715F4-F999-448D-A0D2-5C3A39F3C310}"/>
    <cellStyle name="Moneda 2 3 7 4 2" xfId="1370" xr:uid="{F1382791-A38A-46D2-9F51-80B85AFCB311}"/>
    <cellStyle name="Moneda 2 3 7 4 3" xfId="1371" xr:uid="{AF10D752-FCA3-4B1A-BE11-E17F604E8584}"/>
    <cellStyle name="Moneda 2 3 7 5" xfId="1372" xr:uid="{60A110B8-D9D0-4982-98BC-E0C1B4AC25CB}"/>
    <cellStyle name="Moneda 2 3 7 6" xfId="1373" xr:uid="{153313CF-3FE7-4CF9-8562-43AC60B330C0}"/>
    <cellStyle name="Moneda 2 3 8" xfId="1374" xr:uid="{1D637A75-404B-423B-A02E-E532206EDF07}"/>
    <cellStyle name="Moneda 2 3 8 2" xfId="1375" xr:uid="{665F2365-8BE6-47F4-AA02-BFB46140B025}"/>
    <cellStyle name="Moneda 2 3 8 2 2" xfId="1376" xr:uid="{81529570-67D5-4858-BC1F-7DDA87EB1F78}"/>
    <cellStyle name="Moneda 2 3 8 2 3" xfId="1377" xr:uid="{D19C5DE4-D711-43F6-9A48-F0D1B666E20E}"/>
    <cellStyle name="Moneda 2 3 8 3" xfId="1378" xr:uid="{85706602-42A9-4976-8C98-785F0C062696}"/>
    <cellStyle name="Moneda 2 3 8 4" xfId="1379" xr:uid="{66B0DCC5-0E02-4009-A4FD-F0941822B6CF}"/>
    <cellStyle name="Moneda 2 3 9" xfId="1380" xr:uid="{31DDA95D-9B06-4C87-B026-8961D2947009}"/>
    <cellStyle name="Moneda 2 3 9 2" xfId="1381" xr:uid="{52040B4B-BC88-40D3-8E58-6FE9CD8102CA}"/>
    <cellStyle name="Moneda 2 3 9 2 2" xfId="1382" xr:uid="{90406EE5-FACC-4359-B822-5EF22B26F8C3}"/>
    <cellStyle name="Moneda 2 3 9 3" xfId="1383" xr:uid="{F9956D3A-AB24-4159-8568-354E5B6B47FF}"/>
    <cellStyle name="Moneda 2 4" xfId="1384" xr:uid="{40FD1DCC-B2F8-46CA-A272-72E29A3A9E5D}"/>
    <cellStyle name="Moneda 2 4 2" xfId="1385" xr:uid="{5AE3C309-57AA-4F4C-9BF1-A45353738CE4}"/>
    <cellStyle name="Moneda 2 5" xfId="1386" xr:uid="{A5CA12A8-45A8-4E1D-BEEB-13FD21BD6D0E}"/>
    <cellStyle name="Moneda 2 5 2" xfId="1387" xr:uid="{EC5085FF-313F-4F28-9B5A-D3AEAE11A091}"/>
    <cellStyle name="Moneda 2 5 2 2" xfId="1388" xr:uid="{E0C7C6E3-70F6-4974-A23B-3BB2ABC0D62E}"/>
    <cellStyle name="Moneda 2 5 3" xfId="1389" xr:uid="{C6305ECF-7DBD-4B6C-B4CC-8B2814994C76}"/>
    <cellStyle name="Moneda 2 5 3 2" xfId="1390" xr:uid="{567C12BC-259F-40BD-AEF3-BF22670AF8EB}"/>
    <cellStyle name="Moneda 2 5 4" xfId="1391" xr:uid="{A26D2456-2C34-4773-8E8A-4CE7775FEACD}"/>
    <cellStyle name="Moneda 2 5 4 2" xfId="1392" xr:uid="{CC51387C-C58F-4D7B-A5ED-6F6485EB6F67}"/>
    <cellStyle name="Moneda 2 5 5" xfId="1393" xr:uid="{1F1E885E-4DF0-4FC0-9620-CE9B9EE0A597}"/>
    <cellStyle name="Moneda 2 6" xfId="1394" xr:uid="{17FFAEFA-6E00-431B-BE33-F481E0ECCA7C}"/>
    <cellStyle name="Moneda 20" xfId="1395" xr:uid="{5DB99203-E23A-4E61-8A64-6032117B0985}"/>
    <cellStyle name="Moneda 20 2" xfId="1396" xr:uid="{5605E692-2736-4252-BCA5-178127898BE8}"/>
    <cellStyle name="Moneda 20 2 2" xfId="1397" xr:uid="{35982D04-2359-42E6-954F-4AE6ECBB651E}"/>
    <cellStyle name="Moneda 20 2 2 2" xfId="1398" xr:uid="{46569F59-E9DE-4AA0-BF22-ACA6AF905DBE}"/>
    <cellStyle name="Moneda 20 2 2 2 2" xfId="1399" xr:uid="{67F5E53A-6A7B-4F21-83AF-881CF4317D57}"/>
    <cellStyle name="Moneda 20 2 2 3" xfId="1400" xr:uid="{CFBE53A2-C997-4A13-B9AB-A484D7EF1427}"/>
    <cellStyle name="Moneda 20 2 2 3 2" xfId="1401" xr:uid="{E21205EA-1D20-4085-BE0C-29A8B8473CA8}"/>
    <cellStyle name="Moneda 20 2 2 4" xfId="1402" xr:uid="{A0B86C5A-04C6-4612-93C6-FDBD8DEEEEB4}"/>
    <cellStyle name="Moneda 20 2 2 4 2" xfId="1403" xr:uid="{2A267BFD-9937-4270-B8DF-3776A08FEF08}"/>
    <cellStyle name="Moneda 20 2 2 5" xfId="1404" xr:uid="{40F3111F-3958-4A83-BBA9-71777DF4A7B0}"/>
    <cellStyle name="Moneda 20 2 3" xfId="1405" xr:uid="{87FD5B50-1305-41BF-9F20-E7A18B726891}"/>
    <cellStyle name="Moneda 20 2 3 2" xfId="1406" xr:uid="{9D522583-3DB9-494F-AB0C-1C3150CC3CAA}"/>
    <cellStyle name="Moneda 20 2 4" xfId="1407" xr:uid="{FFC407F8-3437-4D68-8AF3-05B7737CC226}"/>
    <cellStyle name="Moneda 20 2 4 2" xfId="1408" xr:uid="{7F5EBA9D-1FA1-4794-9E82-41F266435C0C}"/>
    <cellStyle name="Moneda 20 2 5" xfId="1409" xr:uid="{A8EF6533-E08C-4D14-9422-DF0606D52EB5}"/>
    <cellStyle name="Moneda 20 2 5 2" xfId="1410" xr:uid="{AAD2F6B8-79B9-42CB-BCC8-B03D3C8E218E}"/>
    <cellStyle name="Moneda 20 2 6" xfId="1411" xr:uid="{0CDFD544-1A90-4300-9FFE-7B0BCAC94F3B}"/>
    <cellStyle name="Moneda 20 2 7" xfId="1412" xr:uid="{C4663B50-94BB-4835-8C08-82D4B6E29FB1}"/>
    <cellStyle name="Moneda 20 3" xfId="1413" xr:uid="{2934ED6B-5DEF-4DE8-B174-2F415F69E05A}"/>
    <cellStyle name="Moneda 20 3 2" xfId="1414" xr:uid="{25137D9D-6421-4103-8E5A-225C382CB613}"/>
    <cellStyle name="Moneda 20 3 2 2" xfId="1415" xr:uid="{E9CA9151-2C52-4BA3-A824-F5F8213E291E}"/>
    <cellStyle name="Moneda 20 3 3" xfId="1416" xr:uid="{6EA441B5-5FBF-4BB2-98C9-40C2F615069E}"/>
    <cellStyle name="Moneda 20 3 3 2" xfId="1417" xr:uid="{1A43B8FA-B90F-413E-95D1-1370C857877B}"/>
    <cellStyle name="Moneda 20 3 4" xfId="1418" xr:uid="{6B6C6E36-51FD-43A6-AC4F-43928A852F18}"/>
    <cellStyle name="Moneda 20 3 4 2" xfId="1419" xr:uid="{9220B883-BD5D-443A-AD84-7337876713AF}"/>
    <cellStyle name="Moneda 20 3 5" xfId="1420" xr:uid="{F7EB4E73-164B-497E-8A30-995E0560E60F}"/>
    <cellStyle name="Moneda 20 4" xfId="1421" xr:uid="{EE5C158D-FF1B-47A4-9A0B-289FAEB35133}"/>
    <cellStyle name="Moneda 20 4 2" xfId="1422" xr:uid="{063F750C-F8BD-4467-8723-221E01E3E6F9}"/>
    <cellStyle name="Moneda 20 5" xfId="1423" xr:uid="{2C1A5637-CC61-448B-A61F-8ABC276C776B}"/>
    <cellStyle name="Moneda 20 5 2" xfId="1424" xr:uid="{71D1E80F-1652-4460-994F-DA7108831B44}"/>
    <cellStyle name="Moneda 20 6" xfId="1425" xr:uid="{0BB06519-5F42-4C73-AD96-74BF550F492D}"/>
    <cellStyle name="Moneda 20 6 2" xfId="1426" xr:uid="{931C96B3-5FF4-4312-94EE-4C45C64078F4}"/>
    <cellStyle name="Moneda 20 7" xfId="1427" xr:uid="{1A6BF79D-F8C8-4AC8-813C-4C558385D269}"/>
    <cellStyle name="Moneda 20 8" xfId="1428" xr:uid="{C04294EC-DF52-4EEF-B0AD-D44B39CFE2BB}"/>
    <cellStyle name="Moneda 21" xfId="1429" xr:uid="{E74EFA72-1E91-4377-A5EE-DB64EAB8C073}"/>
    <cellStyle name="Moneda 21 2" xfId="1430" xr:uid="{02D927A2-DC25-4DFF-8DBF-0D8528A5928D}"/>
    <cellStyle name="Moneda 21 2 2" xfId="1431" xr:uid="{F2529DC3-CF86-4BCB-AD7B-63C7B7CC331F}"/>
    <cellStyle name="Moneda 21 2 2 2" xfId="1432" xr:uid="{03182BEB-5889-4515-A9E5-11A167FD1BC4}"/>
    <cellStyle name="Moneda 21 2 2 2 2" xfId="1433" xr:uid="{3BFDD9E2-0FA0-43E9-850D-D96703E6E73C}"/>
    <cellStyle name="Moneda 21 2 2 3" xfId="1434" xr:uid="{2F1C2220-883D-43CA-ACB4-D2EBA2041B15}"/>
    <cellStyle name="Moneda 21 2 2 3 2" xfId="1435" xr:uid="{1772F3B6-A19E-4EE6-95C0-9A79D184FA59}"/>
    <cellStyle name="Moneda 21 2 2 4" xfId="1436" xr:uid="{DDB67676-92DB-433A-8676-809153EF4179}"/>
    <cellStyle name="Moneda 21 2 2 4 2" xfId="1437" xr:uid="{0047E1B9-D695-4F93-991A-44C823929A23}"/>
    <cellStyle name="Moneda 21 2 2 5" xfId="1438" xr:uid="{6802A6A9-9A06-4884-951E-E727FA40284E}"/>
    <cellStyle name="Moneda 21 2 3" xfId="1439" xr:uid="{8B6661B1-AD2F-4C04-87F7-2C58CD233EB3}"/>
    <cellStyle name="Moneda 21 2 3 2" xfId="1440" xr:uid="{84983594-32C2-45A0-A01B-7CFB5AE56167}"/>
    <cellStyle name="Moneda 21 2 4" xfId="1441" xr:uid="{703EDD62-90B2-43E1-B19C-09EA1B0FFCC0}"/>
    <cellStyle name="Moneda 21 2 4 2" xfId="1442" xr:uid="{02961B59-6B8F-4F89-8C28-820C232C8FF8}"/>
    <cellStyle name="Moneda 21 2 5" xfId="1443" xr:uid="{5C992AE4-7A05-4432-8DED-7A0C2838F13E}"/>
    <cellStyle name="Moneda 21 2 5 2" xfId="1444" xr:uid="{5D10B67B-2DEA-4808-B6C4-2E1D726580C7}"/>
    <cellStyle name="Moneda 21 2 6" xfId="1445" xr:uid="{00AAD37B-39FF-42FB-A333-89FE35C42CB2}"/>
    <cellStyle name="Moneda 21 2 7" xfId="1446" xr:uid="{4517EF86-8F62-4F20-8669-D261A00E8881}"/>
    <cellStyle name="Moneda 21 3" xfId="1447" xr:uid="{5723989E-4EDE-440C-962C-D8DAECEA47B0}"/>
    <cellStyle name="Moneda 21 3 2" xfId="1448" xr:uid="{50729E7A-9211-46CF-9BF4-BD102C6B3BCC}"/>
    <cellStyle name="Moneda 21 3 2 2" xfId="1449" xr:uid="{2E252CF0-BE76-4DCB-A2A1-79CC8818D908}"/>
    <cellStyle name="Moneda 21 3 3" xfId="1450" xr:uid="{ECDD4A1C-C0FD-4EFC-BE18-567C38E1C258}"/>
    <cellStyle name="Moneda 21 3 3 2" xfId="1451" xr:uid="{1EF12A1A-2F87-4BB2-B23B-7F4AF9882E10}"/>
    <cellStyle name="Moneda 21 3 4" xfId="1452" xr:uid="{069308A9-FF69-412A-831F-8728D35FED55}"/>
    <cellStyle name="Moneda 21 3 4 2" xfId="1453" xr:uid="{BB9D9CB3-3379-4678-A789-D0D420ED0F2C}"/>
    <cellStyle name="Moneda 21 3 5" xfId="1454" xr:uid="{5CFD6AA8-4659-4873-8B63-9AD432A49E6F}"/>
    <cellStyle name="Moneda 21 4" xfId="1455" xr:uid="{DD967ED3-EA0D-488D-8073-241285FB5009}"/>
    <cellStyle name="Moneda 21 4 2" xfId="1456" xr:uid="{04EF0AE2-B4A3-4362-8392-8F28CDEEF7B0}"/>
    <cellStyle name="Moneda 21 5" xfId="1457" xr:uid="{320316D8-040A-45EA-9B3C-D3B4ECB62C80}"/>
    <cellStyle name="Moneda 21 5 2" xfId="1458" xr:uid="{702D0716-6FF9-41FB-B6C6-EF22444E150B}"/>
    <cellStyle name="Moneda 21 6" xfId="1459" xr:uid="{081C46B2-1CE3-4D27-959F-5EB0EEBDEC34}"/>
    <cellStyle name="Moneda 21 6 2" xfId="1460" xr:uid="{9B4C2DF9-E2BA-4BAC-A4D4-DD81AADA5660}"/>
    <cellStyle name="Moneda 21 7" xfId="1461" xr:uid="{12322F25-B927-4828-A06E-A3F61148AAA5}"/>
    <cellStyle name="Moneda 21 8" xfId="1462" xr:uid="{BBF1895B-C821-404F-AE11-8A1AE67E70E6}"/>
    <cellStyle name="Moneda 22" xfId="1463" xr:uid="{D0811E25-DB5A-4D9D-A082-12ECF59C62FC}"/>
    <cellStyle name="Moneda 22 2" xfId="1464" xr:uid="{756E5492-707E-4812-BCFE-05EE803F1500}"/>
    <cellStyle name="Moneda 22 2 2" xfId="1465" xr:uid="{465A4881-6856-45B8-9A9B-5000BB78F1EC}"/>
    <cellStyle name="Moneda 22 2 2 2" xfId="1466" xr:uid="{B5FA3723-32C2-4EA5-9ACB-9DA31D5A434E}"/>
    <cellStyle name="Moneda 22 2 2 2 2" xfId="1467" xr:uid="{2DD84EB4-8417-4597-9338-4E8F09CC5313}"/>
    <cellStyle name="Moneda 22 2 2 3" xfId="1468" xr:uid="{5E68630D-0271-47DD-A70D-52380D941EB1}"/>
    <cellStyle name="Moneda 22 2 2 3 2" xfId="1469" xr:uid="{DF8E7A3D-78F8-4681-94A2-F05615846C69}"/>
    <cellStyle name="Moneda 22 2 2 4" xfId="1470" xr:uid="{45130BEF-67B9-4E21-BF7E-C9AC71FF3C8D}"/>
    <cellStyle name="Moneda 22 2 2 4 2" xfId="1471" xr:uid="{0F115B39-E41C-4243-B24A-34B02C425B4E}"/>
    <cellStyle name="Moneda 22 2 2 5" xfId="1472" xr:uid="{0796201D-DA96-4908-AF03-71C11685FE2C}"/>
    <cellStyle name="Moneda 22 2 3" xfId="1473" xr:uid="{DAA65205-6044-45EB-9C9E-48930BEA7107}"/>
    <cellStyle name="Moneda 22 2 3 2" xfId="1474" xr:uid="{5CF8ED2E-7D56-4058-93FE-FAA07FB57BF2}"/>
    <cellStyle name="Moneda 22 2 4" xfId="1475" xr:uid="{3AE63B5A-29D5-4720-ABD1-5E48DA19A7FC}"/>
    <cellStyle name="Moneda 22 2 4 2" xfId="1476" xr:uid="{746450A6-8D2F-4C2F-AED9-A144A69AAE7D}"/>
    <cellStyle name="Moneda 22 2 5" xfId="1477" xr:uid="{A4F8D54C-33DE-44BF-B158-6D41BFA89707}"/>
    <cellStyle name="Moneda 22 2 5 2" xfId="1478" xr:uid="{11091C18-4C2C-4339-85E5-7F02DAAA3B8C}"/>
    <cellStyle name="Moneda 22 2 6" xfId="1479" xr:uid="{29BBAB5C-210E-4FEF-B231-9C37D7FEA99A}"/>
    <cellStyle name="Moneda 22 3" xfId="1480" xr:uid="{8A47D4A1-A939-4FE5-BD66-0337403FD65D}"/>
    <cellStyle name="Moneda 22 3 2" xfId="1481" xr:uid="{3574F81B-9824-4C6A-BA72-9766C8DB6E4D}"/>
    <cellStyle name="Moneda 22 3 2 2" xfId="1482" xr:uid="{DD870314-DAA4-4782-B868-8035FBDFC54B}"/>
    <cellStyle name="Moneda 22 3 3" xfId="1483" xr:uid="{9BD5F4BA-2A0B-4777-A2B9-FCB4201F1766}"/>
    <cellStyle name="Moneda 22 3 3 2" xfId="1484" xr:uid="{A8F59903-4DF2-4D96-A28C-EE4F9576F087}"/>
    <cellStyle name="Moneda 22 3 4" xfId="1485" xr:uid="{49817AAA-3A58-4FD9-B3AC-EFA427DB80EB}"/>
    <cellStyle name="Moneda 22 3 4 2" xfId="1486" xr:uid="{13F71696-B5D0-4B38-8F49-09CCC9416F49}"/>
    <cellStyle name="Moneda 22 3 5" xfId="1487" xr:uid="{9D3CE167-BAA2-45D2-A159-DF32C2499E14}"/>
    <cellStyle name="Moneda 22 4" xfId="1488" xr:uid="{DA613EFF-5896-47DC-96FA-3A8A74D63CAE}"/>
    <cellStyle name="Moneda 22 4 2" xfId="1489" xr:uid="{1E85E4C5-B132-4DEC-986E-07AEDF58D292}"/>
    <cellStyle name="Moneda 22 5" xfId="1490" xr:uid="{5981F86B-6ADF-4601-AFF2-F1F61553D1A0}"/>
    <cellStyle name="Moneda 22 5 2" xfId="1491" xr:uid="{5CA0A829-4222-4E56-A375-CEC741139854}"/>
    <cellStyle name="Moneda 22 6" xfId="1492" xr:uid="{F7015FA9-0705-4904-A3C3-9EDBEDB70558}"/>
    <cellStyle name="Moneda 22 6 2" xfId="1493" xr:uid="{345185C4-C61B-4890-A3EE-05237ABCC788}"/>
    <cellStyle name="Moneda 22 7" xfId="1494" xr:uid="{0DBA6F50-A725-46D7-A76A-F8F57C91663D}"/>
    <cellStyle name="Moneda 22 8" xfId="1495" xr:uid="{52766F99-C4F8-47CE-9DA6-4CF85A629D15}"/>
    <cellStyle name="Moneda 23" xfId="1496" xr:uid="{C5F6E05B-BBE6-47E0-AA18-637B77EE951A}"/>
    <cellStyle name="Moneda 23 2" xfId="1497" xr:uid="{45E57E75-20B0-4B64-A6E3-A2781F4C0D18}"/>
    <cellStyle name="Moneda 23 2 2" xfId="1498" xr:uid="{255F0FA9-ECAE-4865-97FB-211EB4D240C1}"/>
    <cellStyle name="Moneda 23 2 2 2" xfId="1499" xr:uid="{BEBBB5A9-E54C-40AE-901D-7946608C2C4C}"/>
    <cellStyle name="Moneda 23 2 3" xfId="1500" xr:uid="{0A74141B-A4EB-4DCE-AAC3-A457DB0CFA95}"/>
    <cellStyle name="Moneda 23 2 3 2" xfId="1501" xr:uid="{E80594A3-D931-45CB-B484-8A1ECB815AEF}"/>
    <cellStyle name="Moneda 23 2 4" xfId="1502" xr:uid="{4B1DA821-6EFB-4A5F-ADA6-4B93D1D10F85}"/>
    <cellStyle name="Moneda 23 2 4 2" xfId="1503" xr:uid="{8BF9A829-773E-494B-93D2-853E50B7D36C}"/>
    <cellStyle name="Moneda 23 2 5" xfId="1504" xr:uid="{2B67D771-E98B-44A3-A07F-CBD9E83F2C24}"/>
    <cellStyle name="Moneda 23 3" xfId="1505" xr:uid="{4A35E3EC-6E0B-4B9F-AA8E-B18693B18628}"/>
    <cellStyle name="Moneda 23 3 2" xfId="1506" xr:uid="{8F98D022-13DB-4685-8A6F-B95F5CB96660}"/>
    <cellStyle name="Moneda 23 4" xfId="1507" xr:uid="{368AC96A-7C08-4EDE-8E6F-EE2F81D58C9F}"/>
    <cellStyle name="Moneda 23 4 2" xfId="1508" xr:uid="{605E6D1B-D908-4FBE-9F38-F6049183B28C}"/>
    <cellStyle name="Moneda 23 5" xfId="1509" xr:uid="{AA8EC2D1-875D-47F5-9332-1922A555AB90}"/>
    <cellStyle name="Moneda 23 5 2" xfId="1510" xr:uid="{A49A2F16-90B0-495A-AA07-02C95DB262A3}"/>
    <cellStyle name="Moneda 23 6" xfId="1511" xr:uid="{F783A916-E71E-41C2-861B-C8D190476242}"/>
    <cellStyle name="Moneda 23 7" xfId="1512" xr:uid="{4B8CA6F8-5346-41E9-AEA3-E1238B1D7818}"/>
    <cellStyle name="Moneda 24" xfId="1513" xr:uid="{98D73C2B-B01D-4CB5-903B-9B53AA43BE3D}"/>
    <cellStyle name="Moneda 24 2" xfId="1514" xr:uid="{88437B31-353F-44B0-B48E-9ED4B541CB48}"/>
    <cellStyle name="Moneda 24 2 2" xfId="1515" xr:uid="{ADF92A71-F208-4EAB-A73A-B0167F5E9060}"/>
    <cellStyle name="Moneda 24 2 2 2" xfId="1516" xr:uid="{ACB4EC93-C082-4582-B5D2-CACD6E0FBB58}"/>
    <cellStyle name="Moneda 24 2 3" xfId="1517" xr:uid="{EE77B976-2DBF-471E-A19D-0ED7106C127A}"/>
    <cellStyle name="Moneda 24 2 3 2" xfId="1518" xr:uid="{78FD1BBB-4C15-4B19-AB73-1C22793D8BD5}"/>
    <cellStyle name="Moneda 24 2 4" xfId="1519" xr:uid="{0F75158D-DEF2-4FCB-8968-901F24485091}"/>
    <cellStyle name="Moneda 24 2 4 2" xfId="1520" xr:uid="{13D706D2-29B8-4707-902A-FBF2B45B9E7A}"/>
    <cellStyle name="Moneda 24 2 5" xfId="1521" xr:uid="{EF44FEC1-2A38-4F81-9B22-9AC20979BC0B}"/>
    <cellStyle name="Moneda 24 3" xfId="1522" xr:uid="{741BDBBF-18D1-42C5-9351-1BC2EACD2929}"/>
    <cellStyle name="Moneda 24 3 2" xfId="1523" xr:uid="{AB2F0B93-6877-4174-B183-AC7D0066F141}"/>
    <cellStyle name="Moneda 24 4" xfId="1524" xr:uid="{2958FB9F-9200-4CFC-B942-CC7848880626}"/>
    <cellStyle name="Moneda 24 4 2" xfId="1525" xr:uid="{18424AFE-C09E-410A-9401-40C3C6E7DE48}"/>
    <cellStyle name="Moneda 24 5" xfId="1526" xr:uid="{6E28B710-ACFE-4DB5-ABB3-C24CBE922D51}"/>
    <cellStyle name="Moneda 24 5 2" xfId="1527" xr:uid="{320F40C0-5BAB-479A-BC95-03D43E40834F}"/>
    <cellStyle name="Moneda 24 6" xfId="1528" xr:uid="{FD77A6A2-0E56-46EB-A347-DB5BD2B4EB39}"/>
    <cellStyle name="Moneda 24 7" xfId="1529" xr:uid="{3E1C0779-FA44-49F0-BC77-F91E69BCFBAF}"/>
    <cellStyle name="Moneda 25" xfId="1530" xr:uid="{924A8EC7-1215-4A79-9F37-8FE56159FE9D}"/>
    <cellStyle name="Moneda 25 2" xfId="1531" xr:uid="{CBE7BE58-61E5-44BD-9748-92842332BDA8}"/>
    <cellStyle name="Moneda 25 2 2" xfId="1532" xr:uid="{2387DD23-C25D-4A0F-B44F-B87E270A5DD4}"/>
    <cellStyle name="Moneda 25 3" xfId="1533" xr:uid="{02119F44-2ACC-47EE-9D7F-FA374158C92E}"/>
    <cellStyle name="Moneda 25 3 2" xfId="1534" xr:uid="{CA485F67-23D6-4719-803A-B3939258BADD}"/>
    <cellStyle name="Moneda 25 4" xfId="1535" xr:uid="{4B6B3CB8-EA82-4815-BAFF-1C285A8AE6B7}"/>
    <cellStyle name="Moneda 25 4 2" xfId="1536" xr:uid="{592BB667-A60E-4297-B02E-6BFAFD40B2EA}"/>
    <cellStyle name="Moneda 25 5" xfId="1537" xr:uid="{0BB039DF-B778-4069-A0D1-16307A4E76B9}"/>
    <cellStyle name="Moneda 26" xfId="1538" xr:uid="{510F5EB8-0158-4E46-BA8E-4C0E5924DC49}"/>
    <cellStyle name="Moneda 26 2" xfId="1539" xr:uid="{D025F1D9-37CC-4641-8FA5-E77A635DC494}"/>
    <cellStyle name="Moneda 26 2 2" xfId="1540" xr:uid="{E5EB2EE5-EB29-4F37-9D4F-2A02879CD392}"/>
    <cellStyle name="Moneda 26 3" xfId="1541" xr:uid="{A612D981-6360-4540-9335-C9863D86A333}"/>
    <cellStyle name="Moneda 26 3 2" xfId="1542" xr:uid="{B82A2AF5-1DEB-4475-9010-6408AF196C1C}"/>
    <cellStyle name="Moneda 26 4" xfId="1543" xr:uid="{7179916F-E514-4C43-909C-83EEBAFAA69A}"/>
    <cellStyle name="Moneda 26 4 2" xfId="1544" xr:uid="{515FA855-437D-4362-9055-853A90C4378A}"/>
    <cellStyle name="Moneda 26 5" xfId="1545" xr:uid="{AAB43390-1270-4FAF-AA3F-375D78695DFD}"/>
    <cellStyle name="Moneda 27" xfId="1546" xr:uid="{0A73570D-A8C8-4233-8E6C-C7946AFF7E5E}"/>
    <cellStyle name="Moneda 27 2" xfId="1547" xr:uid="{2FFFBFD4-D9C5-4CE4-B07D-473C47C9C430}"/>
    <cellStyle name="Moneda 27 2 2" xfId="1548" xr:uid="{85F986C5-556D-488F-B1E2-13FF4FE58549}"/>
    <cellStyle name="Moneda 27 3" xfId="1549" xr:uid="{8A6FD56E-89EB-4148-A99D-A28BB4B9F157}"/>
    <cellStyle name="Moneda 27 3 2" xfId="1550" xr:uid="{5CF6F5EE-95FB-45C7-A305-99B9F06B09A7}"/>
    <cellStyle name="Moneda 27 4" xfId="1551" xr:uid="{4D5F6EE6-5654-46E5-9BB5-AF0402A183FA}"/>
    <cellStyle name="Moneda 27 4 2" xfId="1552" xr:uid="{38EC33B5-5610-429D-A753-B9DA4C74DBE4}"/>
    <cellStyle name="Moneda 27 5" xfId="1553" xr:uid="{C02BFC04-8224-4215-8DAE-5FBAA64E0CD1}"/>
    <cellStyle name="Moneda 28" xfId="1554" xr:uid="{A254C158-4DFE-490A-ADED-D40B0C74A946}"/>
    <cellStyle name="Moneda 28 2" xfId="1555" xr:uid="{5E8DEE9F-84ED-4E1A-84C1-A21223306A58}"/>
    <cellStyle name="Moneda 28 2 2" xfId="1556" xr:uid="{97609369-992B-48F9-8957-72C09BBD4339}"/>
    <cellStyle name="Moneda 28 3" xfId="1557" xr:uid="{5823CBF1-912B-424B-AFBF-F116F3F1C3DF}"/>
    <cellStyle name="Moneda 28 3 2" xfId="1558" xr:uid="{F2DB94A1-B84D-422A-97CC-292F6C9EEA88}"/>
    <cellStyle name="Moneda 28 4" xfId="1559" xr:uid="{8946931A-5136-4F36-A978-0BAF44A13F80}"/>
    <cellStyle name="Moneda 28 4 2" xfId="1560" xr:uid="{F6C33B41-4A16-4F31-9552-C8272F124EAD}"/>
    <cellStyle name="Moneda 28 5" xfId="1561" xr:uid="{861F34A9-B5BA-4523-A73B-F46A68A889A5}"/>
    <cellStyle name="Moneda 29" xfId="1562" xr:uid="{E66D6247-7AB6-4832-AB7E-F0D7F3F2F47D}"/>
    <cellStyle name="Moneda 29 2" xfId="1563" xr:uid="{F22A4EBA-5B5D-4D45-A159-137840CCB23A}"/>
    <cellStyle name="Moneda 29 2 2" xfId="1564" xr:uid="{EFD42B61-D1B9-43C4-9EC4-24B18DBCF730}"/>
    <cellStyle name="Moneda 29 3" xfId="1565" xr:uid="{0CC08BC7-3921-4537-B663-9E56F41D94CC}"/>
    <cellStyle name="Moneda 29 3 2" xfId="1566" xr:uid="{933A9880-7399-4634-86B8-49D44B8DE394}"/>
    <cellStyle name="Moneda 29 4" xfId="1567" xr:uid="{E66D1482-41DF-4109-B481-3FEC6A36CE04}"/>
    <cellStyle name="Moneda 29 4 2" xfId="1568" xr:uid="{1A422BA1-D971-41CA-A9E7-A7B935B8043C}"/>
    <cellStyle name="Moneda 29 5" xfId="1569" xr:uid="{E1013799-DFBC-49E1-891F-991BB4BCA122}"/>
    <cellStyle name="Moneda 3" xfId="17" xr:uid="{5EBFF987-5BDF-4781-8762-18EF1D11C393}"/>
    <cellStyle name="Moneda 3 10" xfId="1570" xr:uid="{56B04FFD-7C7F-43FF-8B8B-7C302042B993}"/>
    <cellStyle name="Moneda 3 10 2" xfId="1571" xr:uid="{B9A86EC1-72F1-469A-A26E-6A43B3C087A0}"/>
    <cellStyle name="Moneda 3 10 2 2" xfId="1572" xr:uid="{218DF782-6E2D-45E0-96C7-B274A1A0631B}"/>
    <cellStyle name="Moneda 3 10 3" xfId="1573" xr:uid="{8F814441-8DB0-4091-9E4C-10874C1AD75E}"/>
    <cellStyle name="Moneda 3 10 3 2" xfId="1574" xr:uid="{9F09BEEB-DCF4-447F-9392-69207DB420D0}"/>
    <cellStyle name="Moneda 3 10 4" xfId="1575" xr:uid="{C46EACF5-17D5-475A-9A1E-7A72DC78B88B}"/>
    <cellStyle name="Moneda 3 10 4 2" xfId="1576" xr:uid="{D0471941-AEBD-488D-B4FF-D1A7AFFB9350}"/>
    <cellStyle name="Moneda 3 10 5" xfId="1577" xr:uid="{82F7EC7D-A6E2-4300-854C-F10C1F20D3B6}"/>
    <cellStyle name="Moneda 3 11" xfId="1578" xr:uid="{39EA1F08-88CE-428C-87AB-896B8C4C85BB}"/>
    <cellStyle name="Moneda 3 11 2" xfId="1579" xr:uid="{239CE5BC-C9EA-49AF-942F-66D83956E110}"/>
    <cellStyle name="Moneda 3 12" xfId="1580" xr:uid="{42A70BC1-6449-4AC5-94B2-E5E58FE2139D}"/>
    <cellStyle name="Moneda 3 12 2" xfId="1581" xr:uid="{A42BB123-E9FB-4FF7-9F81-BFB388940216}"/>
    <cellStyle name="Moneda 3 13" xfId="1582" xr:uid="{79AE62B6-2FB3-460E-9B9F-1B9BFDC069CA}"/>
    <cellStyle name="Moneda 3 13 2" xfId="1583" xr:uid="{8A9FB8ED-E035-4D79-B605-BD20A6758D29}"/>
    <cellStyle name="Moneda 3 14" xfId="1584" xr:uid="{7866CB37-7782-44D9-AD88-3AEEC9799C3C}"/>
    <cellStyle name="Moneda 3 14 2" xfId="1585" xr:uid="{6564F90F-7E60-432A-A53E-27C1E0C1CC29}"/>
    <cellStyle name="Moneda 3 15" xfId="1586" xr:uid="{DD101FE3-F86F-4B74-A45B-FA74B3D8B59B}"/>
    <cellStyle name="Moneda 3 15 2" xfId="1587" xr:uid="{B6B51D36-C990-4C57-98FD-6D8C919B625F}"/>
    <cellStyle name="Moneda 3 15 3" xfId="1588" xr:uid="{25C4F150-5904-40F3-A804-34010DE0BC0D}"/>
    <cellStyle name="Moneda 3 15_GESTIÓN" xfId="2880" xr:uid="{F5852EC9-D705-4963-BB0F-245BBE2E859C}"/>
    <cellStyle name="Moneda 3 16" xfId="1589" xr:uid="{7782DF2D-72DD-48C7-A6A7-8BC2F29EEC1D}"/>
    <cellStyle name="Moneda 3 2" xfId="1590" xr:uid="{05FC8EFC-80A4-42F2-8C87-BB0F3770CED7}"/>
    <cellStyle name="Moneda 3 2 10" xfId="1591" xr:uid="{2AA47435-FA87-4643-940D-A13C6B9ABD0D}"/>
    <cellStyle name="Moneda 3 2 10 2" xfId="1592" xr:uid="{4E8842C0-9F23-4D09-B9DF-9FB704460740}"/>
    <cellStyle name="Moneda 3 2 11" xfId="1593" xr:uid="{696F127A-47A1-48AA-8E99-2DE52862BCD1}"/>
    <cellStyle name="Moneda 3 2 2" xfId="1594" xr:uid="{370CAC0C-76C2-40CB-99EE-5844471A0FAA}"/>
    <cellStyle name="Moneda 3 2 2 2" xfId="1595" xr:uid="{A55BAB0D-1D44-4AD1-B998-464D728BB6E9}"/>
    <cellStyle name="Moneda 3 2 2 2 2" xfId="1596" xr:uid="{C4452012-3BD0-4503-9211-79B8A1A59C63}"/>
    <cellStyle name="Moneda 3 2 2 2 2 2" xfId="1597" xr:uid="{40F6987C-089F-4D04-A5CF-8871A0118FFA}"/>
    <cellStyle name="Moneda 3 2 2 2 2 2 2" xfId="1598" xr:uid="{C8756C6F-4F8B-4310-9DC4-8160994E12AC}"/>
    <cellStyle name="Moneda 3 2 2 2 2 3" xfId="1599" xr:uid="{6D58BB6E-FDE4-4075-B895-7C90D9CF7351}"/>
    <cellStyle name="Moneda 3 2 2 2 2 3 2" xfId="1600" xr:uid="{F00622E8-3F6D-4605-8A90-A9CD106E5787}"/>
    <cellStyle name="Moneda 3 2 2 2 2 4" xfId="1601" xr:uid="{4DCF2DEC-E5FE-41A5-95FA-2004F0A7EC68}"/>
    <cellStyle name="Moneda 3 2 2 2 2 4 2" xfId="1602" xr:uid="{141AA69A-A345-4ECA-B257-EC6AC27FDF81}"/>
    <cellStyle name="Moneda 3 2 2 2 2 5" xfId="1603" xr:uid="{C66862D2-D725-4E44-BBE4-34C3306C2CBC}"/>
    <cellStyle name="Moneda 3 2 2 2 3" xfId="1604" xr:uid="{DC7FBC54-30FB-4235-86A5-EB2F409E0EA2}"/>
    <cellStyle name="Moneda 3 2 2 2 3 2" xfId="1605" xr:uid="{F01B4D88-9BED-41BE-AB3B-615628142DEB}"/>
    <cellStyle name="Moneda 3 2 2 2 4" xfId="1606" xr:uid="{DC2C3A64-8592-446B-9F23-BDFE890AB758}"/>
    <cellStyle name="Moneda 3 2 2 2 4 2" xfId="1607" xr:uid="{C6D4272B-9FCD-41A3-8368-0385693D13DC}"/>
    <cellStyle name="Moneda 3 2 2 2 5" xfId="1608" xr:uid="{98E4B0AB-A23B-44EA-A459-668DA604DDB6}"/>
    <cellStyle name="Moneda 3 2 2 2 5 2" xfId="1609" xr:uid="{F595C945-0CBB-4D32-8A37-D07FB126D053}"/>
    <cellStyle name="Moneda 3 2 2 2 6" xfId="1610" xr:uid="{F2E23FCD-7170-4CF9-9368-CA00927948FB}"/>
    <cellStyle name="Moneda 3 2 2 3" xfId="1611" xr:uid="{FE977ACF-651F-4DC0-8918-1FDA1ACD9C6E}"/>
    <cellStyle name="Moneda 3 2 2 3 2" xfId="1612" xr:uid="{E2D0C7CE-5B01-4313-A1D3-CF51FD58B89B}"/>
    <cellStyle name="Moneda 3 2 2 3 2 2" xfId="1613" xr:uid="{AEE169FD-CD60-4784-9398-8584493E9F67}"/>
    <cellStyle name="Moneda 3 2 2 3 2 2 2" xfId="1614" xr:uid="{A16A3ACB-5E23-4CC2-BB78-0ABE5F7CDEB2}"/>
    <cellStyle name="Moneda 3 2 2 3 2 3" xfId="1615" xr:uid="{ED0F2FA6-D9B4-45E4-A59F-84BB66680071}"/>
    <cellStyle name="Moneda 3 2 2 3 3" xfId="1616" xr:uid="{DB4985D9-A12F-4A83-B348-5F616ECF571B}"/>
    <cellStyle name="Moneda 3 2 2 3 3 2" xfId="1617" xr:uid="{7D836360-E2D1-4E9B-B7EE-26120AB7D3E6}"/>
    <cellStyle name="Moneda 3 2 2 3 4" xfId="1618" xr:uid="{F0C9D5DC-6767-4222-9FA8-60A9AAEF8526}"/>
    <cellStyle name="Moneda 3 2 2 3 4 2" xfId="1619" xr:uid="{C70B4082-D78B-4518-A8BE-A7732A8998E9}"/>
    <cellStyle name="Moneda 3 2 2 3 5" xfId="1620" xr:uid="{D849F7C9-11B9-430C-8058-820031EE3C0A}"/>
    <cellStyle name="Moneda 3 2 2 4" xfId="1621" xr:uid="{603A72B0-C366-4297-B30B-36E78DE24698}"/>
    <cellStyle name="Moneda 3 2 2 4 2" xfId="1622" xr:uid="{629D247F-E6A6-4B60-9DE6-02619649D6F7}"/>
    <cellStyle name="Moneda 3 2 2 4 2 2" xfId="1623" xr:uid="{0203E67B-5D0B-4074-BA8A-7CDD3476A24B}"/>
    <cellStyle name="Moneda 3 2 2 4 2 2 2" xfId="1624" xr:uid="{9C729AA4-D4BF-43D8-BA5B-6E7253E27097}"/>
    <cellStyle name="Moneda 3 2 2 4 2 3" xfId="1625" xr:uid="{B910C260-767F-4D69-9F7C-02411BA4B67C}"/>
    <cellStyle name="Moneda 3 2 2 4 3" xfId="1626" xr:uid="{A47E453F-8C8C-4977-9D9B-5151D888DFBF}"/>
    <cellStyle name="Moneda 3 2 2 4 3 2" xfId="1627" xr:uid="{863DEB29-D150-47EC-95D5-671E383D33B2}"/>
    <cellStyle name="Moneda 3 2 2 4 4" xfId="1628" xr:uid="{32B968A2-3FF6-46D4-BC4C-2200492B6F90}"/>
    <cellStyle name="Moneda 3 2 2 5" xfId="1629" xr:uid="{CB9E4E7F-CA31-4184-AB4D-EE462B108E32}"/>
    <cellStyle name="Moneda 3 2 2 5 2" xfId="1630" xr:uid="{7D57806E-48B5-4910-99E5-941F684615E3}"/>
    <cellStyle name="Moneda 3 2 2 5 2 2" xfId="1631" xr:uid="{93229ACC-F634-4DD9-ACD3-799E7538E082}"/>
    <cellStyle name="Moneda 3 2 2 5 3" xfId="1632" xr:uid="{0677F24F-80F8-4408-A68F-72B1CA267326}"/>
    <cellStyle name="Moneda 3 2 2 6" xfId="1633" xr:uid="{07AB0723-2FAA-4298-8BE8-53A377F46139}"/>
    <cellStyle name="Moneda 3 2 2 6 2" xfId="1634" xr:uid="{CCAD5CC7-B5E2-4EBE-995F-58F542AA91BE}"/>
    <cellStyle name="Moneda 3 2 2 7" xfId="1635" xr:uid="{1B6C6639-AB1F-43E0-804E-5FCEEB61B92D}"/>
    <cellStyle name="Moneda 3 2 3" xfId="1636" xr:uid="{A283F58C-B312-45CF-90F1-1089AEA3E2C2}"/>
    <cellStyle name="Moneda 3 2 3 2" xfId="1637" xr:uid="{7272F30E-3D19-4B91-A7FC-ED6051C68DAE}"/>
    <cellStyle name="Moneda 3 2 3 2 2" xfId="1638" xr:uid="{ED822CDD-D630-4F90-ACD9-50C0E10E5365}"/>
    <cellStyle name="Moneda 3 2 3 2 2 2" xfId="1639" xr:uid="{D1EEA982-4A15-433B-81D2-657D0B265EFC}"/>
    <cellStyle name="Moneda 3 2 3 2 2 2 2" xfId="1640" xr:uid="{7F401AB1-D00D-447B-99BC-155128BBE153}"/>
    <cellStyle name="Moneda 3 2 3 2 2 3" xfId="1641" xr:uid="{2A99C4CA-5034-4B45-AF10-247F34E0F776}"/>
    <cellStyle name="Moneda 3 2 3 2 2 3 2" xfId="1642" xr:uid="{C4597F6E-0A06-4CBD-AB65-BF0E2BA2CDCB}"/>
    <cellStyle name="Moneda 3 2 3 2 2 4" xfId="1643" xr:uid="{31595A7E-1CB8-478A-9123-5A39F92A745F}"/>
    <cellStyle name="Moneda 3 2 3 2 2 4 2" xfId="1644" xr:uid="{275C6A82-525D-4DE5-B744-9733A991A160}"/>
    <cellStyle name="Moneda 3 2 3 2 2 5" xfId="1645" xr:uid="{56BD6F1C-E5AE-481E-B180-9C1E0D3EBFF7}"/>
    <cellStyle name="Moneda 3 2 3 2 3" xfId="1646" xr:uid="{1BDE3785-D4DA-4232-A9F2-BE6BBAAD3B63}"/>
    <cellStyle name="Moneda 3 2 3 2 3 2" xfId="1647" xr:uid="{9262EC90-D7A8-4F02-8841-C9ACB7B213FF}"/>
    <cellStyle name="Moneda 3 2 3 2 4" xfId="1648" xr:uid="{988FA3A8-C313-46AB-8F48-74B66E414556}"/>
    <cellStyle name="Moneda 3 2 3 2 4 2" xfId="1649" xr:uid="{A5C762BF-FD8F-4E47-8612-F303CB6AAB88}"/>
    <cellStyle name="Moneda 3 2 3 2 5" xfId="1650" xr:uid="{7A8D11DF-EFE3-436B-AA00-C0C5BEAFB58C}"/>
    <cellStyle name="Moneda 3 2 3 2 5 2" xfId="1651" xr:uid="{1F5843EA-5169-469F-B18F-183E294FC453}"/>
    <cellStyle name="Moneda 3 2 3 2 6" xfId="1652" xr:uid="{92F40D73-0EAF-46BF-BFC5-FA8B872B4DE4}"/>
    <cellStyle name="Moneda 3 2 3 3" xfId="1653" xr:uid="{77CE5BA8-BAAF-44EA-AC1B-905D73C4ADDE}"/>
    <cellStyle name="Moneda 3 2 3 3 2" xfId="1654" xr:uid="{638E2A18-EF97-4F29-B345-5D7295C88D61}"/>
    <cellStyle name="Moneda 3 2 3 3 2 2" xfId="1655" xr:uid="{FBD0DAEC-EF2F-4FCA-A623-7975F612476E}"/>
    <cellStyle name="Moneda 3 2 3 3 3" xfId="1656" xr:uid="{8C6FD37A-1EB4-496F-BC0C-82202B989BD1}"/>
    <cellStyle name="Moneda 3 2 3 3 3 2" xfId="1657" xr:uid="{164A01B6-6836-4A00-A749-42B3B9CA8D66}"/>
    <cellStyle name="Moneda 3 2 3 3 4" xfId="1658" xr:uid="{A6F2437A-DD74-4F56-9756-7E746C499B35}"/>
    <cellStyle name="Moneda 3 2 3 3 4 2" xfId="1659" xr:uid="{29D0D5F2-B489-4C35-B746-31FB03176713}"/>
    <cellStyle name="Moneda 3 2 3 3 5" xfId="1660" xr:uid="{8DDEA506-4864-4141-8D53-C91EACD79BC1}"/>
    <cellStyle name="Moneda 3 2 3 4" xfId="1661" xr:uid="{F8CB27AC-6F0A-4B68-B8F9-942AE36B11A6}"/>
    <cellStyle name="Moneda 3 2 3 4 2" xfId="1662" xr:uid="{B32D1452-7DFF-4735-BE95-F3A95E5212F0}"/>
    <cellStyle name="Moneda 3 2 3 5" xfId="1663" xr:uid="{00CE6370-A031-47CB-BE8E-DB6050D7E794}"/>
    <cellStyle name="Moneda 3 2 3 5 2" xfId="1664" xr:uid="{90F832AE-6BD4-494B-9275-B3639F5F513A}"/>
    <cellStyle name="Moneda 3 2 3 6" xfId="1665" xr:uid="{ABE6231B-F013-4506-A809-F89339861DE8}"/>
    <cellStyle name="Moneda 3 2 3 6 2" xfId="1666" xr:uid="{6D6AD677-C86A-4A1B-B5AF-E455CF0F6C13}"/>
    <cellStyle name="Moneda 3 2 3 7" xfId="1667" xr:uid="{C7C5C53A-7765-4F2A-9591-659E6F4C2090}"/>
    <cellStyle name="Moneda 3 2 4" xfId="1668" xr:uid="{F07A8567-6C0E-4DA2-B157-1C5C7294307D}"/>
    <cellStyle name="Moneda 3 2 4 2" xfId="1669" xr:uid="{352805D3-B70E-424A-AB19-47074E6D91A8}"/>
    <cellStyle name="Moneda 3 2 4 2 2" xfId="1670" xr:uid="{D8BFDA85-F28D-45EA-8886-85C73A59CD60}"/>
    <cellStyle name="Moneda 3 2 4 2 2 2" xfId="1671" xr:uid="{DDF996AB-3FCA-4BDF-A3CB-B025A19F1DE2}"/>
    <cellStyle name="Moneda 3 2 4 2 2 2 2" xfId="1672" xr:uid="{91FBEA28-0599-4A70-B4D0-40BEA41FD93B}"/>
    <cellStyle name="Moneda 3 2 4 2 2 3" xfId="1673" xr:uid="{6DCEC3C2-A058-4DE0-983B-ABF9F2BA3C6A}"/>
    <cellStyle name="Moneda 3 2 4 2 2 3 2" xfId="1674" xr:uid="{DEF7AAAF-90D6-4868-8763-242639435E72}"/>
    <cellStyle name="Moneda 3 2 4 2 2 4" xfId="1675" xr:uid="{02A399F5-FFAF-4448-AF68-5CAE072FE92A}"/>
    <cellStyle name="Moneda 3 2 4 2 2 4 2" xfId="1676" xr:uid="{A81B6CD0-2EA2-4391-B5EE-1075B62CA5BA}"/>
    <cellStyle name="Moneda 3 2 4 2 2 5" xfId="1677" xr:uid="{C0A81687-838C-4D92-8435-944F9F6FD057}"/>
    <cellStyle name="Moneda 3 2 4 2 3" xfId="1678" xr:uid="{EBF8F6F8-8BFE-4CA5-8814-F6C50E4F561A}"/>
    <cellStyle name="Moneda 3 2 4 2 3 2" xfId="1679" xr:uid="{D1428B25-5AB9-4609-B97E-03FA90C71050}"/>
    <cellStyle name="Moneda 3 2 4 2 4" xfId="1680" xr:uid="{5A1DF760-5496-4927-8CB9-E387CE12599D}"/>
    <cellStyle name="Moneda 3 2 4 2 4 2" xfId="1681" xr:uid="{EFD2F9AD-ADB1-4E17-9EA8-90AD96B14635}"/>
    <cellStyle name="Moneda 3 2 4 2 5" xfId="1682" xr:uid="{66591137-6568-4680-B4CB-F7792366C05B}"/>
    <cellStyle name="Moneda 3 2 4 2 5 2" xfId="1683" xr:uid="{3C6C9BC2-40C1-4D8B-807E-DEA64197C0FD}"/>
    <cellStyle name="Moneda 3 2 4 2 6" xfId="1684" xr:uid="{58AFBFEA-3084-4065-AD7B-0DB90E3F9894}"/>
    <cellStyle name="Moneda 3 2 4 3" xfId="1685" xr:uid="{CEA57E2D-A72E-42B1-BE05-282ACDA0F93E}"/>
    <cellStyle name="Moneda 3 2 4 3 2" xfId="1686" xr:uid="{FC073216-F578-4B69-96C4-CB644D5DFE38}"/>
    <cellStyle name="Moneda 3 2 4 3 2 2" xfId="1687" xr:uid="{FD7AC0DC-8B44-49D6-A6DE-227BF899703A}"/>
    <cellStyle name="Moneda 3 2 4 3 3" xfId="1688" xr:uid="{DCF334A4-5AF1-448B-9F0D-B5C0F9D2E82C}"/>
    <cellStyle name="Moneda 3 2 4 3 3 2" xfId="1689" xr:uid="{D36C59C2-42B4-41EF-A63F-2EC1690F7A13}"/>
    <cellStyle name="Moneda 3 2 4 3 4" xfId="1690" xr:uid="{8C76F52A-DB6D-4F5A-8BDE-3B997A659311}"/>
    <cellStyle name="Moneda 3 2 4 3 4 2" xfId="1691" xr:uid="{AF93BFF1-A9F2-47DD-8827-4D6899D436CD}"/>
    <cellStyle name="Moneda 3 2 4 3 5" xfId="1692" xr:uid="{6BA97AE3-B39B-4951-A0E5-33AA1B695B52}"/>
    <cellStyle name="Moneda 3 2 4 4" xfId="1693" xr:uid="{9A9DB96D-6AE1-457E-822F-6EA0F903390C}"/>
    <cellStyle name="Moneda 3 2 4 4 2" xfId="1694" xr:uid="{87CFEDF1-3645-40BB-9193-40E8EB2FFE0B}"/>
    <cellStyle name="Moneda 3 2 4 5" xfId="1695" xr:uid="{B8564664-39A9-43A0-9BFC-361824000E9F}"/>
    <cellStyle name="Moneda 3 2 4 5 2" xfId="1696" xr:uid="{F68B703D-4B36-444D-9024-D2DE87F0B946}"/>
    <cellStyle name="Moneda 3 2 4 6" xfId="1697" xr:uid="{A480681E-3100-4C12-925F-50D86226CA50}"/>
    <cellStyle name="Moneda 3 2 4 6 2" xfId="1698" xr:uid="{70096864-C1B8-403A-84DD-E034182F15A2}"/>
    <cellStyle name="Moneda 3 2 4 7" xfId="1699" xr:uid="{F24F5173-F597-455D-9C40-1469370955F7}"/>
    <cellStyle name="Moneda 3 2 5" xfId="1700" xr:uid="{C141F9B8-EC84-43AA-99AF-174D38D6C45B}"/>
    <cellStyle name="Moneda 3 2 5 2" xfId="1701" xr:uid="{138EBD68-F20B-42C1-ABAA-86BBB0130BE2}"/>
    <cellStyle name="Moneda 3 2 5 2 2" xfId="1702" xr:uid="{80CC8E4A-8FF1-41FA-BBB2-90AD17BCE71C}"/>
    <cellStyle name="Moneda 3 2 5 2 2 2" xfId="1703" xr:uid="{718F9BD1-3E92-4151-AEA5-E25B8D0EE55E}"/>
    <cellStyle name="Moneda 3 2 5 2 3" xfId="1704" xr:uid="{0C7F7B97-B9D4-44F7-B0AE-247680ABA835}"/>
    <cellStyle name="Moneda 3 2 5 2 3 2" xfId="1705" xr:uid="{44D91DAF-BE4A-4DFD-9E5A-C101828298A2}"/>
    <cellStyle name="Moneda 3 2 5 2 4" xfId="1706" xr:uid="{224ACEFE-ABC2-4B0C-A783-8EFC3FC40243}"/>
    <cellStyle name="Moneda 3 2 5 2 4 2" xfId="1707" xr:uid="{BC64C79B-6304-407F-BC5C-BB99746C74D8}"/>
    <cellStyle name="Moneda 3 2 5 2 5" xfId="1708" xr:uid="{6DEE624C-1BBD-4F4F-A804-9A54B13F6838}"/>
    <cellStyle name="Moneda 3 2 5 3" xfId="1709" xr:uid="{6CB8DCDA-E96A-4327-B84A-C7CBE7A5C167}"/>
    <cellStyle name="Moneda 3 2 5 3 2" xfId="1710" xr:uid="{7F0D846E-1B5B-426E-ACEF-40B6394F90C1}"/>
    <cellStyle name="Moneda 3 2 5 4" xfId="1711" xr:uid="{50DA28EF-BAC5-47DD-A246-C84C08C69693}"/>
    <cellStyle name="Moneda 3 2 5 4 2" xfId="1712" xr:uid="{DEA27E1D-F900-4782-82AB-E75DC62DBD59}"/>
    <cellStyle name="Moneda 3 2 5 5" xfId="1713" xr:uid="{6E9BE9CA-BA9E-4833-9DAD-E112DEAFC7E2}"/>
    <cellStyle name="Moneda 3 2 5 5 2" xfId="1714" xr:uid="{5B606A3D-CEEF-447B-9925-C0501B1712B3}"/>
    <cellStyle name="Moneda 3 2 5 6" xfId="1715" xr:uid="{58C656AF-421B-45FC-A34B-E56CFCD8E022}"/>
    <cellStyle name="Moneda 3 2 6" xfId="1716" xr:uid="{A1F7BB54-3D6C-451F-8135-DCF7A1E32ECF}"/>
    <cellStyle name="Moneda 3 2 6 2" xfId="1717" xr:uid="{4F5CA876-E7ED-4131-9C83-686560F9F427}"/>
    <cellStyle name="Moneda 3 2 6 2 2" xfId="1718" xr:uid="{6E255C6E-7562-4053-B27B-8DE99EA55E33}"/>
    <cellStyle name="Moneda 3 2 6 2 3" xfId="1719" xr:uid="{5D291FCD-0855-4EA0-B330-F9788ABFA360}"/>
    <cellStyle name="Moneda 3 2 6 3" xfId="1720" xr:uid="{51D13294-F34C-45FD-BA0C-A6DFD43C6129}"/>
    <cellStyle name="Moneda 3 2 6 4" xfId="1721" xr:uid="{B8E17E63-FB9E-4BF0-BA12-A2C443683D5C}"/>
    <cellStyle name="Moneda 3 2 7" xfId="1722" xr:uid="{E1F0C311-48EE-4CBC-85BC-8C36F7B3A598}"/>
    <cellStyle name="Moneda 3 2 7 2" xfId="1723" xr:uid="{DC7E12CA-582F-473C-A8A1-23AF962402C9}"/>
    <cellStyle name="Moneda 3 2 7 2 2" xfId="1724" xr:uid="{ECAF491A-5CC5-492D-B3C0-B3F07C09FEC8}"/>
    <cellStyle name="Moneda 3 2 7 3" xfId="1725" xr:uid="{22896103-2A60-480A-8BD5-AB173BAAA8C6}"/>
    <cellStyle name="Moneda 3 2 7 3 2" xfId="1726" xr:uid="{83C8C2F6-5CDE-47C4-8F41-08F268FD6E4F}"/>
    <cellStyle name="Moneda 3 2 7 4" xfId="1727" xr:uid="{D2D53F02-869B-49C5-A138-26306CF6B652}"/>
    <cellStyle name="Moneda 3 2 7 4 2" xfId="1728" xr:uid="{BF726BA1-DE75-4016-9A1E-056EB4C21902}"/>
    <cellStyle name="Moneda 3 2 7 5" xfId="1729" xr:uid="{5DAA64CA-15FA-449A-9837-8D5EB4FD4B7D}"/>
    <cellStyle name="Moneda 3 2 8" xfId="1730" xr:uid="{087179F3-30C7-4495-A14A-925B571B7A5E}"/>
    <cellStyle name="Moneda 3 2 8 2" xfId="1731" xr:uid="{D2526858-6024-48A4-941A-6233849138EC}"/>
    <cellStyle name="Moneda 3 2 8 3" xfId="1732" xr:uid="{7B57439D-FBB6-48D9-8F75-471D07337897}"/>
    <cellStyle name="Moneda 3 2 9" xfId="1733" xr:uid="{4902AAA9-CA03-43E1-BCBF-44F81C9025B4}"/>
    <cellStyle name="Moneda 3 2 9 2" xfId="1734" xr:uid="{CAE4A330-0D3E-463C-A8A7-E7F416D9BAB7}"/>
    <cellStyle name="Moneda 3 3" xfId="1735" xr:uid="{BED9FE45-7745-4707-887E-1E9257F4E8BE}"/>
    <cellStyle name="Moneda 3 3 2" xfId="1736" xr:uid="{8C6CF2BA-C8B9-4F23-9667-E6C4C3A1F3EF}"/>
    <cellStyle name="Moneda 3 3 2 2" xfId="1737" xr:uid="{93AEC8D6-B3C3-4740-8CE2-FB0DC291C5D4}"/>
    <cellStyle name="Moneda 3 3 2 2 2" xfId="1738" xr:uid="{A419E075-490E-422B-A85C-64489561D1A3}"/>
    <cellStyle name="Moneda 3 3 2 2 2 2" xfId="1739" xr:uid="{D168C8E1-5DE5-40FB-9449-2B6CEC76D2F6}"/>
    <cellStyle name="Moneda 3 3 2 2 3" xfId="1740" xr:uid="{B015CF20-B0F9-42B4-8B1C-66F01DF32F4A}"/>
    <cellStyle name="Moneda 3 3 2 2 3 2" xfId="1741" xr:uid="{A090D282-E805-4777-B247-F33B2377474E}"/>
    <cellStyle name="Moneda 3 3 2 2 4" xfId="1742" xr:uid="{85B74B48-6F6B-4FC8-BDCD-995DDB59F542}"/>
    <cellStyle name="Moneda 3 3 2 2 4 2" xfId="1743" xr:uid="{C0692124-7322-4025-B77A-3289FF1C85A9}"/>
    <cellStyle name="Moneda 3 3 2 2 5" xfId="1744" xr:uid="{4EC80525-0A30-41EE-A6EA-088E59E7DC0D}"/>
    <cellStyle name="Moneda 3 3 2 3" xfId="1745" xr:uid="{EA5C3DA7-3E7E-4165-901B-0C95C443BF6D}"/>
    <cellStyle name="Moneda 3 3 2 3 2" xfId="1746" xr:uid="{76B854C9-8D85-46CD-8728-05AA74607134}"/>
    <cellStyle name="Moneda 3 3 2 4" xfId="1747" xr:uid="{15E77DC8-5D56-4C94-8F55-C07E00F96BF1}"/>
    <cellStyle name="Moneda 3 3 2 4 2" xfId="1748" xr:uid="{7DC31935-EF5B-48DA-B7E7-CCBD35E4E698}"/>
    <cellStyle name="Moneda 3 3 2 5" xfId="1749" xr:uid="{2F3D9DC9-5B68-4D93-8DBC-D1E94CB16F91}"/>
    <cellStyle name="Moneda 3 3 2 5 2" xfId="1750" xr:uid="{9EF4626E-34C0-4ACF-89CD-BB55D3325589}"/>
    <cellStyle name="Moneda 3 3 2 6" xfId="1751" xr:uid="{F08C7E78-8642-4D48-8978-3FF737CAC342}"/>
    <cellStyle name="Moneda 3 3 2 7" xfId="1752" xr:uid="{13C22303-761B-446B-9967-2E27198EE2B4}"/>
    <cellStyle name="Moneda 3 3 3" xfId="1753" xr:uid="{655AC8A6-A50D-4E83-9663-7891748495C2}"/>
    <cellStyle name="Moneda 3 3 3 2" xfId="1754" xr:uid="{2BD89066-563D-4B55-8E0F-5A46E6BAF2BE}"/>
    <cellStyle name="Moneda 3 3 3 2 2" xfId="1755" xr:uid="{A22C5241-1C6C-417C-B037-F31355DAC2BA}"/>
    <cellStyle name="Moneda 3 3 3 3" xfId="1756" xr:uid="{708DBB5C-7FBD-4537-8B74-C44915DB6F48}"/>
    <cellStyle name="Moneda 3 3 3 3 2" xfId="1757" xr:uid="{7E639C87-7D90-4C7D-89DB-986F341E27A5}"/>
    <cellStyle name="Moneda 3 3 3 4" xfId="1758" xr:uid="{151DE9C4-9DFA-48EE-A266-A7BFC0F239A5}"/>
    <cellStyle name="Moneda 3 3 3 4 2" xfId="1759" xr:uid="{9B889AC3-19E3-4CA9-9511-E88773268FAF}"/>
    <cellStyle name="Moneda 3 3 3 5" xfId="1760" xr:uid="{086B49F9-CCCD-4E85-BAE9-32AF353647C5}"/>
    <cellStyle name="Moneda 3 3 4" xfId="1761" xr:uid="{00FA5133-B9E5-4240-8791-98C11D6649A9}"/>
    <cellStyle name="Moneda 3 3 4 2" xfId="1762" xr:uid="{90E0924E-E9FC-452B-9967-69C43AF69BB2}"/>
    <cellStyle name="Moneda 3 3 5" xfId="1763" xr:uid="{035DA9D9-D957-4F9D-B337-6A196FF63366}"/>
    <cellStyle name="Moneda 3 3 5 2" xfId="1764" xr:uid="{3FFA01B9-1344-4252-8EBE-257EB7AF0569}"/>
    <cellStyle name="Moneda 3 3 6" xfId="1765" xr:uid="{8720A61C-F7EF-4E44-9DB7-43BC0ADF8462}"/>
    <cellStyle name="Moneda 3 3 6 2" xfId="1766" xr:uid="{BAD1484B-2399-45D3-8B1A-346FA6B3060E}"/>
    <cellStyle name="Moneda 3 3 7" xfId="1767" xr:uid="{9312C92A-54BC-43E9-9C47-6063AF7AECF7}"/>
    <cellStyle name="Moneda 3 3 8" xfId="1768" xr:uid="{588F4709-ADA0-47B3-9884-54811E0B75FB}"/>
    <cellStyle name="Moneda 3 4" xfId="1769" xr:uid="{EB9FC449-8082-47A5-A7EA-F388E2A1217D}"/>
    <cellStyle name="Moneda 3 4 2" xfId="1770" xr:uid="{8AC1145B-AB51-4332-9B81-AB709ABC6F9F}"/>
    <cellStyle name="Moneda 3 4 2 2" xfId="1771" xr:uid="{901E71C5-1E18-4E75-B38B-4D514ABE8939}"/>
    <cellStyle name="Moneda 3 4 2 2 2" xfId="1772" xr:uid="{BB48B5ED-91BC-41C8-9393-F856F81EF567}"/>
    <cellStyle name="Moneda 3 4 2 2 2 2" xfId="1773" xr:uid="{E74EDFD8-B07B-44BF-AD9D-1DB9F3555DA8}"/>
    <cellStyle name="Moneda 3 4 2 2 3" xfId="1774" xr:uid="{523C8D73-94BB-413D-AEFD-F4C30303F728}"/>
    <cellStyle name="Moneda 3 4 2 2 3 2" xfId="1775" xr:uid="{908D84F3-EBE5-4FBA-8617-6AC1E429E686}"/>
    <cellStyle name="Moneda 3 4 2 2 4" xfId="1776" xr:uid="{5CFD8573-4A4F-4F18-99D5-F9A540B735A9}"/>
    <cellStyle name="Moneda 3 4 2 2 4 2" xfId="1777" xr:uid="{99EC9B54-626C-4DC8-88EC-5CBBE3114371}"/>
    <cellStyle name="Moneda 3 4 2 2 5" xfId="1778" xr:uid="{79D51C4B-54A0-4786-B2C0-B2359919A86E}"/>
    <cellStyle name="Moneda 3 4 2 3" xfId="1779" xr:uid="{E5A0A3E6-C646-489D-AEA7-399BC21C38AE}"/>
    <cellStyle name="Moneda 3 4 2 3 2" xfId="1780" xr:uid="{5D6E3DDF-B038-41B5-8F0F-59CB47409676}"/>
    <cellStyle name="Moneda 3 4 2 4" xfId="1781" xr:uid="{1586A895-3684-4790-83CC-E57BFF405A66}"/>
    <cellStyle name="Moneda 3 4 2 4 2" xfId="1782" xr:uid="{66A2218C-84A7-4181-8CA9-68BE71C851D6}"/>
    <cellStyle name="Moneda 3 4 2 5" xfId="1783" xr:uid="{B57C82E3-BD90-4B8C-9F1C-9C2BD5DBD652}"/>
    <cellStyle name="Moneda 3 4 2 5 2" xfId="1784" xr:uid="{66E70DF8-231B-4459-A3BA-D8D72BE05A0F}"/>
    <cellStyle name="Moneda 3 4 2 6" xfId="1785" xr:uid="{CA06D368-F415-44AA-9F4A-E51EAF59700C}"/>
    <cellStyle name="Moneda 3 4 3" xfId="1786" xr:uid="{F1004BCD-36E4-4087-B7B2-4C00610B2FE4}"/>
    <cellStyle name="Moneda 3 4 3 2" xfId="1787" xr:uid="{9E0B6DDB-878D-40B2-8CCB-810441CC2C84}"/>
    <cellStyle name="Moneda 3 4 3 2 2" xfId="1788" xr:uid="{5720D253-5A05-4420-8489-9BE246C3B5EB}"/>
    <cellStyle name="Moneda 3 4 3 3" xfId="1789" xr:uid="{41593826-5D48-4DAA-8CE4-721664BB23E2}"/>
    <cellStyle name="Moneda 3 4 3 3 2" xfId="1790" xr:uid="{4AA70C25-2439-4FBE-92F0-9849D4B2D564}"/>
    <cellStyle name="Moneda 3 4 3 4" xfId="1791" xr:uid="{BB0AB119-3AA6-4501-A80B-FB44C4A94BC8}"/>
    <cellStyle name="Moneda 3 4 3 4 2" xfId="1792" xr:uid="{2415BFA4-8DF6-4DB9-BC09-275FC76383D9}"/>
    <cellStyle name="Moneda 3 4 3 5" xfId="1793" xr:uid="{95BBF5CB-8843-431B-BBBE-9306853DCD69}"/>
    <cellStyle name="Moneda 3 4 4" xfId="1794" xr:uid="{06F7F433-86E6-4A4B-BA3A-087703F48157}"/>
    <cellStyle name="Moneda 3 4 4 2" xfId="1795" xr:uid="{10B2A8AF-05FA-48FB-BD65-FE64A22B4CEA}"/>
    <cellStyle name="Moneda 3 4 5" xfId="1796" xr:uid="{539E1936-024C-4101-9711-1E38B44BADB5}"/>
    <cellStyle name="Moneda 3 4 5 2" xfId="1797" xr:uid="{D4AF9AE3-299E-4CDC-A049-63B507F3BE54}"/>
    <cellStyle name="Moneda 3 4 6" xfId="1798" xr:uid="{C3F12B3C-3FB3-4FA8-A95B-2BE5AB7A7F28}"/>
    <cellStyle name="Moneda 3 4 6 2" xfId="1799" xr:uid="{E72F960B-0B5F-4C90-A53B-5984E759F5D9}"/>
    <cellStyle name="Moneda 3 4 7" xfId="1800" xr:uid="{46163BA5-D2B7-4EAF-BA67-A73E89462E18}"/>
    <cellStyle name="Moneda 3 5" xfId="1801" xr:uid="{1EC8FDB3-E70D-4595-B575-931F81B33275}"/>
    <cellStyle name="Moneda 3 5 2" xfId="1802" xr:uid="{74BF27D6-3CC4-4806-9B10-821EA2E5B51E}"/>
    <cellStyle name="Moneda 3 5 2 2" xfId="1803" xr:uid="{03514A5D-2FF0-4E2D-9626-B701C80F9E6E}"/>
    <cellStyle name="Moneda 3 5 2 2 2" xfId="1804" xr:uid="{442F4FD5-92FB-4A8F-9060-910E3C290461}"/>
    <cellStyle name="Moneda 3 5 2 2 2 2" xfId="1805" xr:uid="{02A3CE9D-EC29-48E0-BA73-0BD52081F96D}"/>
    <cellStyle name="Moneda 3 5 2 2 3" xfId="1806" xr:uid="{0291BB57-8882-4FC4-86F5-DE51B5882B91}"/>
    <cellStyle name="Moneda 3 5 2 2 3 2" xfId="1807" xr:uid="{597C4C33-C867-4057-A157-F8D86617EEF0}"/>
    <cellStyle name="Moneda 3 5 2 2 4" xfId="1808" xr:uid="{7BC57680-B993-477B-B375-B99D7F852DF5}"/>
    <cellStyle name="Moneda 3 5 2 2 4 2" xfId="1809" xr:uid="{C5551D7F-1058-420D-B21F-CCE2F283F537}"/>
    <cellStyle name="Moneda 3 5 2 2 5" xfId="1810" xr:uid="{3BA66272-9BBE-46FF-9C21-3B5665FCAD40}"/>
    <cellStyle name="Moneda 3 5 2 3" xfId="1811" xr:uid="{9B6FB661-3A16-46FF-9D48-C4BA86A7F726}"/>
    <cellStyle name="Moneda 3 5 2 3 2" xfId="1812" xr:uid="{62D67AE1-5BA8-4820-941F-C2427350E4D2}"/>
    <cellStyle name="Moneda 3 5 2 4" xfId="1813" xr:uid="{144258F8-CF1A-4FA5-8B62-01A9BA4C7471}"/>
    <cellStyle name="Moneda 3 5 2 4 2" xfId="1814" xr:uid="{F9DE105B-EA53-4AB2-8930-0C86F3393F86}"/>
    <cellStyle name="Moneda 3 5 2 5" xfId="1815" xr:uid="{1299EB8E-1875-48BA-89EC-EC565A58EE25}"/>
    <cellStyle name="Moneda 3 5 2 5 2" xfId="1816" xr:uid="{8C97BD40-FF6A-4F7E-821A-FB0C324E5A00}"/>
    <cellStyle name="Moneda 3 5 2 6" xfId="1817" xr:uid="{E5DC682A-4B85-45E5-A368-CEDBA87A3D48}"/>
    <cellStyle name="Moneda 3 5 3" xfId="1818" xr:uid="{795D088F-A6D4-42D5-867D-4B48F4F5B19E}"/>
    <cellStyle name="Moneda 3 5 3 2" xfId="1819" xr:uid="{F8D152F1-33EA-4DDA-9701-B36C2F78F442}"/>
    <cellStyle name="Moneda 3 5 3 2 2" xfId="1820" xr:uid="{A9890B51-69B3-488F-A5AA-883DAC547744}"/>
    <cellStyle name="Moneda 3 5 3 3" xfId="1821" xr:uid="{A1D54CCD-25BF-4426-8DFE-862A3B0F0437}"/>
    <cellStyle name="Moneda 3 5 3 3 2" xfId="1822" xr:uid="{4DB6DC45-73BD-4DDF-86AF-45AC66A93FBD}"/>
    <cellStyle name="Moneda 3 5 3 4" xfId="1823" xr:uid="{A36C9303-2996-40C8-84F8-7F1ECDFFD9FD}"/>
    <cellStyle name="Moneda 3 5 3 4 2" xfId="1824" xr:uid="{2E980496-3E67-47A9-8939-B57133B32EE5}"/>
    <cellStyle name="Moneda 3 5 3 5" xfId="1825" xr:uid="{80C696D6-5F0A-4BD8-88CA-0474373BBF27}"/>
    <cellStyle name="Moneda 3 5 4" xfId="1826" xr:uid="{7680AC51-D453-444B-8BCB-F349B9C006D6}"/>
    <cellStyle name="Moneda 3 5 4 2" xfId="1827" xr:uid="{F49341A7-0516-4AED-855A-87C2C29175D5}"/>
    <cellStyle name="Moneda 3 5 5" xfId="1828" xr:uid="{6AA087D5-934D-4BF2-8CF9-8E0839641D2F}"/>
    <cellStyle name="Moneda 3 5 5 2" xfId="1829" xr:uid="{698BA39A-D4E6-44B0-AD75-C13FEAA31DC3}"/>
    <cellStyle name="Moneda 3 5 6" xfId="1830" xr:uid="{94D41F17-D564-41A5-A654-18C9F5BBB582}"/>
    <cellStyle name="Moneda 3 5 6 2" xfId="1831" xr:uid="{6A233FF2-B5B4-41E3-ACB0-D6510E939C8F}"/>
    <cellStyle name="Moneda 3 5 7" xfId="1832" xr:uid="{E698E199-1B7E-4956-832C-959B43D09B63}"/>
    <cellStyle name="Moneda 3 5 8" xfId="1833" xr:uid="{7827A6CF-E9A1-49E2-8611-798CECF4B15C}"/>
    <cellStyle name="Moneda 3 5_GESTIÓN" xfId="2879" xr:uid="{21A24035-F2D4-43BD-A158-B2516A6BEBFB}"/>
    <cellStyle name="Moneda 3 6" xfId="1834" xr:uid="{B1108C9B-0D16-4025-934D-F566940E8034}"/>
    <cellStyle name="Moneda 3 6 2" xfId="1835" xr:uid="{91465AB2-57B7-494C-8DB2-606D872B79FE}"/>
    <cellStyle name="Moneda 3 6 2 2" xfId="1836" xr:uid="{94EF1D9C-0385-4A6B-8DDD-CEC969118A72}"/>
    <cellStyle name="Moneda 3 6 2 2 2" xfId="1837" xr:uid="{CEF65086-E3F3-4868-9440-F7ECA5DA0EE6}"/>
    <cellStyle name="Moneda 3 6 2 3" xfId="1838" xr:uid="{8E010FE7-B204-40FE-A4E7-859198AB06BA}"/>
    <cellStyle name="Moneda 3 6 3" xfId="1839" xr:uid="{F3AD16F2-AD7C-4D73-BBBA-B72585C87B25}"/>
    <cellStyle name="Moneda 3 7" xfId="1840" xr:uid="{A6DC5962-B453-4FAE-A0D1-B0D5208D0BF4}"/>
    <cellStyle name="Moneda 3 7 2" xfId="1841" xr:uid="{4FCA6EB2-4468-4ED5-AA7D-2DE9C7DCFF02}"/>
    <cellStyle name="Moneda 3 7 2 2" xfId="1842" xr:uid="{D31C2D32-8273-49CD-9639-7A70E2D717F5}"/>
    <cellStyle name="Moneda 3 7 3" xfId="1843" xr:uid="{4EA89EFB-18D2-4BD1-8D67-935F9EB451D7}"/>
    <cellStyle name="Moneda 3 8" xfId="1844" xr:uid="{C17F31C6-768B-40C9-95DD-8A15E23967F2}"/>
    <cellStyle name="Moneda 3 8 2" xfId="1845" xr:uid="{22C80DA9-2D5B-4A0B-8073-1BA95C0F9C76}"/>
    <cellStyle name="Moneda 3 8 2 2" xfId="1846" xr:uid="{95F7EF8B-A060-41B2-9E9E-E24FFF92825F}"/>
    <cellStyle name="Moneda 3 8 2 2 2" xfId="1847" xr:uid="{8FE28CB9-467D-4E2C-8FED-E98596DA2F41}"/>
    <cellStyle name="Moneda 3 8 2 3" xfId="1848" xr:uid="{C9585DA4-D3CA-4F82-9A8D-251597FACAE8}"/>
    <cellStyle name="Moneda 3 8 2 3 2" xfId="1849" xr:uid="{5DFDC076-DE83-4F8D-A73C-587EB4A73703}"/>
    <cellStyle name="Moneda 3 8 2 4" xfId="1850" xr:uid="{D167928B-6E7B-454F-B894-E1FCD6CA1168}"/>
    <cellStyle name="Moneda 3 8 2 4 2" xfId="1851" xr:uid="{A7134E6C-64E3-4620-BFBA-17DE5A84DDE1}"/>
    <cellStyle name="Moneda 3 8 2 5" xfId="1852" xr:uid="{CE8E279E-E788-48D8-97C4-5D08A0D2758C}"/>
    <cellStyle name="Moneda 3 8 3" xfId="1853" xr:uid="{3B79CE3C-D624-40B6-B4BE-29AB971B1E19}"/>
    <cellStyle name="Moneda 3 8 3 2" xfId="1854" xr:uid="{0FF9F805-D587-40F5-8A53-368EF734630A}"/>
    <cellStyle name="Moneda 3 8 4" xfId="1855" xr:uid="{211FE583-B34D-42D7-BBE0-A6E222F65F46}"/>
    <cellStyle name="Moneda 3 8 4 2" xfId="1856" xr:uid="{C446771E-DC71-4B55-B53C-8664C76F2C7D}"/>
    <cellStyle name="Moneda 3 8 5" xfId="1857" xr:uid="{67C8229B-9349-4907-849F-F95DE536072B}"/>
    <cellStyle name="Moneda 3 8 5 2" xfId="1858" xr:uid="{A21955E1-4CDD-4DA2-86DE-B6C8EC449C41}"/>
    <cellStyle name="Moneda 3 8 6" xfId="1859" xr:uid="{11560332-3895-4376-9272-73E033A9C683}"/>
    <cellStyle name="Moneda 3 9" xfId="1860" xr:uid="{6F6BD065-ECBD-457E-B293-14ECACABFAEE}"/>
    <cellStyle name="Moneda 3 9 2" xfId="1861" xr:uid="{B661752C-1113-4562-B989-49967C4023F9}"/>
    <cellStyle name="Moneda 3_GESTIÓN" xfId="2881" xr:uid="{E67D63D2-3ED1-4E4C-8877-D9EBBFE3ACC2}"/>
    <cellStyle name="Moneda 30" xfId="1862" xr:uid="{A0F76850-663E-45A8-9D24-CF6A9992B168}"/>
    <cellStyle name="Moneda 30 2" xfId="1863" xr:uid="{C08DAD10-CBEC-4E2D-B866-EB232FD0EFF4}"/>
    <cellStyle name="Moneda 30 2 2" xfId="1864" xr:uid="{CFC1FD76-D217-4B0F-9455-F05EE79119B3}"/>
    <cellStyle name="Moneda 30 3" xfId="1865" xr:uid="{1AD0EC74-E677-4180-8F8A-05B2E2BD50A0}"/>
    <cellStyle name="Moneda 30 3 2" xfId="1866" xr:uid="{E64BD025-BC0F-4929-A400-D37FE3E1164B}"/>
    <cellStyle name="Moneda 30 4" xfId="1867" xr:uid="{84009939-03DF-4E37-8082-5B1EB0BF269B}"/>
    <cellStyle name="Moneda 30 4 2" xfId="1868" xr:uid="{AF509BC7-214E-4D74-9FFE-ED583CA9DECD}"/>
    <cellStyle name="Moneda 30 5" xfId="1869" xr:uid="{45FD12DC-7A6E-46F2-BBA6-BC513CBE683C}"/>
    <cellStyle name="Moneda 31" xfId="1870" xr:uid="{C26B9F41-C874-4A8F-8114-94F9E9B64C69}"/>
    <cellStyle name="Moneda 31 2" xfId="1871" xr:uid="{76F36E63-43D1-4858-8A4A-A11F2CF6C329}"/>
    <cellStyle name="Moneda 32" xfId="1872" xr:uid="{CC169CB9-8204-448F-BB54-6C63C80876CF}"/>
    <cellStyle name="Moneda 32 2" xfId="1873" xr:uid="{ACEC8076-E933-4932-A44E-EBBCFC878E5E}"/>
    <cellStyle name="Moneda 33" xfId="1874" xr:uid="{9FC544A8-DBB5-42B0-9DF9-4F2314407F0C}"/>
    <cellStyle name="Moneda 33 2" xfId="1875" xr:uid="{95CFBAC2-19DC-4CEB-9BFE-B564960739F4}"/>
    <cellStyle name="Moneda 34" xfId="1876" xr:uid="{CE527EF6-D63F-46E7-B843-83D2C7669B79}"/>
    <cellStyle name="Moneda 34 2" xfId="1877" xr:uid="{5435BC08-9339-407E-A11E-1A44A87DD3BB}"/>
    <cellStyle name="Moneda 35" xfId="1878" xr:uid="{323381C0-8F92-4AF0-9F46-47797F4929A1}"/>
    <cellStyle name="Moneda 35 2" xfId="1879" xr:uid="{045E7FF7-CBF1-4E4B-9052-1649B276C8B3}"/>
    <cellStyle name="Moneda 36" xfId="1880" xr:uid="{A9ADE876-C3CF-4662-BA3C-3C63D9490FA5}"/>
    <cellStyle name="Moneda 36 2" xfId="1881" xr:uid="{D90D4737-9972-472D-80F6-10BB9D8778EE}"/>
    <cellStyle name="Moneda 37" xfId="1882" xr:uid="{0B821C1C-75B7-4805-BD32-4E8FBF85FDC6}"/>
    <cellStyle name="Moneda 37 2" xfId="1883" xr:uid="{99925734-9FBB-4A81-B7F0-4ADEDB03B752}"/>
    <cellStyle name="Moneda 38" xfId="1884" xr:uid="{30FF0C92-6A09-4EFA-A3C1-542547664AAF}"/>
    <cellStyle name="Moneda 38 2" xfId="1885" xr:uid="{32E997DA-6F88-4830-9040-5C44DA4C08A8}"/>
    <cellStyle name="Moneda 39" xfId="1886" xr:uid="{51ED5676-E9ED-4CE1-9694-A6401B16B7B8}"/>
    <cellStyle name="Moneda 39 2" xfId="1887" xr:uid="{F6931F34-CB53-44A5-B200-9617A1CBCBB0}"/>
    <cellStyle name="Moneda 4" xfId="18" xr:uid="{2C016F1B-8F7B-4B5C-9163-14261F49C4BC}"/>
    <cellStyle name="Moneda 4 2" xfId="1888" xr:uid="{82C47882-B742-464F-AA18-D361A7A0954C}"/>
    <cellStyle name="Moneda 4 3" xfId="1889" xr:uid="{A9430A0D-3445-48F5-936A-E9AE96508374}"/>
    <cellStyle name="Moneda 4 4" xfId="1890" xr:uid="{DD7D9750-EDA0-4B55-9969-96F8869660D1}"/>
    <cellStyle name="Moneda 40" xfId="1891" xr:uid="{3C2E0EDC-B0EA-4DD6-81AE-1075DDDE3239}"/>
    <cellStyle name="Moneda 40 2" xfId="1892" xr:uid="{F1B05B1B-1467-4CC9-AAD3-ED601B3EEF82}"/>
    <cellStyle name="Moneda 41" xfId="1893" xr:uid="{DCB509CA-DF23-4979-9008-C6C40A20E18F}"/>
    <cellStyle name="Moneda 41 2" xfId="1894" xr:uid="{56C8E3EC-B391-4856-9A65-8EBB92B12A74}"/>
    <cellStyle name="Moneda 42" xfId="1895" xr:uid="{19FDE7DA-12FE-4CE6-93F3-3D95BCB30950}"/>
    <cellStyle name="Moneda 42 2" xfId="1896" xr:uid="{A0094832-ADF8-40A7-870F-F3853FD2F319}"/>
    <cellStyle name="Moneda 43" xfId="1897" xr:uid="{BE57D388-C829-4357-B51C-4A78FA5704F1}"/>
    <cellStyle name="Moneda 43 2" xfId="1898" xr:uid="{2ABD2932-00CB-4FC4-9C1D-48D93FE0E92C}"/>
    <cellStyle name="Moneda 44" xfId="1899" xr:uid="{F6DB5466-9F8A-40D7-9983-CE6040CB114C}"/>
    <cellStyle name="Moneda 44 2" xfId="1900" xr:uid="{708065B9-5ABC-4EBB-96F7-CA4066412600}"/>
    <cellStyle name="Moneda 45" xfId="1901" xr:uid="{38D5AFE0-34CE-431A-AF6C-A77657C9DA7C}"/>
    <cellStyle name="Moneda 45 2" xfId="1902" xr:uid="{2FBAEE84-EF00-44D5-B353-CE5FAC70D078}"/>
    <cellStyle name="Moneda 46" xfId="1903" xr:uid="{DCCC1011-589A-4068-973A-1698375C1F07}"/>
    <cellStyle name="Moneda 46 2" xfId="1904" xr:uid="{39920F67-1796-4173-A2A7-84BC6BC4CB74}"/>
    <cellStyle name="Moneda 47" xfId="1905" xr:uid="{42BFAC66-77ED-48A1-8031-9E3260046486}"/>
    <cellStyle name="Moneda 47 2" xfId="1906" xr:uid="{DCC516B9-CE87-4892-B9DD-113EF381CB55}"/>
    <cellStyle name="Moneda 48" xfId="1907" xr:uid="{DE9BF667-6388-465F-8707-97E8EB12CB9E}"/>
    <cellStyle name="Moneda 48 2" xfId="1908" xr:uid="{154012F0-5668-449C-93E9-081A96EAD6E4}"/>
    <cellStyle name="Moneda 49" xfId="1909" xr:uid="{835CAD55-EC1B-4D82-951C-FCEDEA12415E}"/>
    <cellStyle name="Moneda 5" xfId="1910" xr:uid="{70C44D1A-3DF6-4665-8A31-C6ED437908C4}"/>
    <cellStyle name="Moneda 5 2" xfId="1911" xr:uid="{9B21732B-A1EB-434B-8FA6-08A34AC2545F}"/>
    <cellStyle name="Moneda 5 3" xfId="1912" xr:uid="{65BF8265-290D-4929-BAFA-E6861C02F1C7}"/>
    <cellStyle name="Moneda 5 4" xfId="1913" xr:uid="{614EE178-983F-4108-ABB7-735A08BBC96C}"/>
    <cellStyle name="Moneda 5 5" xfId="1914" xr:uid="{BDFBBC03-D60F-4322-9C96-3705B4EBCEBC}"/>
    <cellStyle name="Moneda 50" xfId="1915" xr:uid="{993E9050-8C76-4256-B137-AD6BEDDA2C0F}"/>
    <cellStyle name="Moneda 51" xfId="1916" xr:uid="{E36726A3-5CBD-4ECC-B0C7-BD0B5DC49ED4}"/>
    <cellStyle name="Moneda 52" xfId="1917" xr:uid="{A561E8C4-29FB-4487-B728-FAA30299CBB5}"/>
    <cellStyle name="Moneda 53" xfId="2868" xr:uid="{115CE72A-9542-469F-9A43-DD339A1ABAC3}"/>
    <cellStyle name="Moneda 54" xfId="2872" xr:uid="{7D105030-6142-411B-A587-72A0C1FA3D30}"/>
    <cellStyle name="Moneda 55" xfId="2870" xr:uid="{7FF2AC49-B73E-47C7-8891-925178999CDA}"/>
    <cellStyle name="Moneda 56" xfId="2912" xr:uid="{189CAD08-CAD4-498C-8537-97D0C89B510B}"/>
    <cellStyle name="Moneda 57" xfId="2914" xr:uid="{689AA51C-A646-4387-9A92-9081D199EED3}"/>
    <cellStyle name="Moneda 58" xfId="2915" xr:uid="{0CD4773C-A7A1-4D48-B31E-573D5133A7FE}"/>
    <cellStyle name="Moneda 6" xfId="1918" xr:uid="{D6326153-5FFC-428F-A3EA-144CF3F25910}"/>
    <cellStyle name="Moneda 6 10" xfId="1919" xr:uid="{62B83B84-CAFF-4263-9040-AE45BE19D96F}"/>
    <cellStyle name="Moneda 6 10 2" xfId="1920" xr:uid="{029A2E93-B327-43CD-99C3-AAF9B8EBF4DF}"/>
    <cellStyle name="Moneda 6 11" xfId="1921" xr:uid="{702479A9-9101-4DBA-9FC0-E365B15E6AAE}"/>
    <cellStyle name="Moneda 6 11 2" xfId="1922" xr:uid="{5CDFB0BC-F89C-4AA6-90BA-A4F0E6CC0AE0}"/>
    <cellStyle name="Moneda 6 12" xfId="1923" xr:uid="{2DEA8D06-8955-4048-AA8E-E5BD48F9D8A9}"/>
    <cellStyle name="Moneda 6 2" xfId="1924" xr:uid="{5BDA44AF-B06E-457D-A851-A2F4748F73F0}"/>
    <cellStyle name="Moneda 6 2 10" xfId="1925" xr:uid="{37FA041D-DB57-4658-A649-66DFC652420E}"/>
    <cellStyle name="Moneda 6 2 11" xfId="1926" xr:uid="{3F4A14C4-9432-410A-8F0A-1EF0EE08DF07}"/>
    <cellStyle name="Moneda 6 2 2" xfId="1927" xr:uid="{555A314B-31B9-462A-A71F-5039DA2D53F8}"/>
    <cellStyle name="Moneda 6 2 2 2" xfId="1928" xr:uid="{C6A99380-5EEC-4C10-9DFA-BD6AC959D8C2}"/>
    <cellStyle name="Moneda 6 2 2 2 2" xfId="1929" xr:uid="{4755F829-E7E5-474A-98B3-B6C59AD7098A}"/>
    <cellStyle name="Moneda 6 2 2 2 2 2" xfId="1930" xr:uid="{753CD24E-2600-477E-99B7-61EA23E0DD01}"/>
    <cellStyle name="Moneda 6 2 2 2 2 2 2" xfId="1931" xr:uid="{46CF06AE-7560-4D59-B93C-70CA829DEADB}"/>
    <cellStyle name="Moneda 6 2 2 2 2 3" xfId="1932" xr:uid="{5B1FB7B7-D274-4AF6-B184-5C64E91D0129}"/>
    <cellStyle name="Moneda 6 2 2 2 2 3 2" xfId="1933" xr:uid="{3DD9CFF3-4312-4FAA-9254-2F918C8CA1DE}"/>
    <cellStyle name="Moneda 6 2 2 2 2 4" xfId="1934" xr:uid="{BDCD5060-5877-4401-87C7-31DE6229E9C6}"/>
    <cellStyle name="Moneda 6 2 2 2 2 4 2" xfId="1935" xr:uid="{03F86A75-B6FA-4AF3-B5C0-7ABCF1C60ACB}"/>
    <cellStyle name="Moneda 6 2 2 2 2 5" xfId="1936" xr:uid="{22B42128-CA68-4891-BB2E-3CFCF8CA68FC}"/>
    <cellStyle name="Moneda 6 2 2 2 3" xfId="1937" xr:uid="{6EEC4452-F392-4367-845A-BAA98C22DAAF}"/>
    <cellStyle name="Moneda 6 2 2 2 3 2" xfId="1938" xr:uid="{069FBD09-48C8-4DCD-8431-96BE16386F32}"/>
    <cellStyle name="Moneda 6 2 2 2 4" xfId="1939" xr:uid="{1050C56F-5AC9-48F5-B40C-49FD40801B67}"/>
    <cellStyle name="Moneda 6 2 2 2 4 2" xfId="1940" xr:uid="{AF999826-352F-4A27-8D38-BB85F2D2618A}"/>
    <cellStyle name="Moneda 6 2 2 2 5" xfId="1941" xr:uid="{334D43C7-7BC9-4F49-A3BE-039F40577BB6}"/>
    <cellStyle name="Moneda 6 2 2 2 5 2" xfId="1942" xr:uid="{1D3FD55E-BB8C-4DB7-BC0A-3EC9010CFFB7}"/>
    <cellStyle name="Moneda 6 2 2 2 6" xfId="1943" xr:uid="{1076F813-6F03-47DB-AD0B-7ECD2DAA4CAF}"/>
    <cellStyle name="Moneda 6 2 2 3" xfId="1944" xr:uid="{F6587474-0CA4-4796-B14F-2642085F6836}"/>
    <cellStyle name="Moneda 6 2 2 3 2" xfId="1945" xr:uid="{D06EF0ED-8D5A-49DE-A5DF-CED738D6DC5A}"/>
    <cellStyle name="Moneda 6 2 2 3 2 2" xfId="1946" xr:uid="{C7AB0199-02CC-4674-B254-E2D25DA644E3}"/>
    <cellStyle name="Moneda 6 2 2 3 3" xfId="1947" xr:uid="{4E60F07D-BC15-44F5-8789-B6550C74344B}"/>
    <cellStyle name="Moneda 6 2 2 3 3 2" xfId="1948" xr:uid="{17D6C3A4-9D20-41F8-9630-73C4650C6805}"/>
    <cellStyle name="Moneda 6 2 2 3 4" xfId="1949" xr:uid="{709ADC07-D695-4E90-9AED-097170C811B1}"/>
    <cellStyle name="Moneda 6 2 2 3 4 2" xfId="1950" xr:uid="{EAC90268-B3F4-4BEB-9274-A4724315528A}"/>
    <cellStyle name="Moneda 6 2 2 3 5" xfId="1951" xr:uid="{A87AE7D3-F36A-4194-B144-6AF546FEA97C}"/>
    <cellStyle name="Moneda 6 2 2 4" xfId="1952" xr:uid="{D9449FDD-D0E9-4C7C-92A0-6D9DC22A3E36}"/>
    <cellStyle name="Moneda 6 2 2 4 2" xfId="1953" xr:uid="{A21AD296-4975-4692-8214-751C4F9D8B45}"/>
    <cellStyle name="Moneda 6 2 2 5" xfId="1954" xr:uid="{593CFAAC-2140-4D8D-8D23-37BBF1B5D76D}"/>
    <cellStyle name="Moneda 6 2 2 5 2" xfId="1955" xr:uid="{28AEF6FD-029F-4E1A-96BA-98AF0BD0FABF}"/>
    <cellStyle name="Moneda 6 2 2 6" xfId="1956" xr:uid="{A6BE8A5F-A416-4B8E-992A-A5B26A5C5D88}"/>
    <cellStyle name="Moneda 6 2 2 6 2" xfId="1957" xr:uid="{90034530-0366-4230-AD64-9F97E754368D}"/>
    <cellStyle name="Moneda 6 2 2 7" xfId="1958" xr:uid="{3897207B-A88A-45D6-BA47-041327285639}"/>
    <cellStyle name="Moneda 6 2 3" xfId="1959" xr:uid="{BBEF7A0A-F536-4474-9D92-43F981D774DF}"/>
    <cellStyle name="Moneda 6 2 3 2" xfId="1960" xr:uid="{1D066588-D1F6-4220-93E9-E59BB128C4F7}"/>
    <cellStyle name="Moneda 6 2 3 2 2" xfId="1961" xr:uid="{89E24605-4708-4E02-B1CF-D6A0709D8981}"/>
    <cellStyle name="Moneda 6 2 3 2 2 2" xfId="1962" xr:uid="{8EF1BF30-FA90-4EE1-82D9-D1C55D57362B}"/>
    <cellStyle name="Moneda 6 2 3 2 2 2 2" xfId="1963" xr:uid="{16F532EF-33D4-42B9-9BCA-1C9FA26FBB65}"/>
    <cellStyle name="Moneda 6 2 3 2 2 3" xfId="1964" xr:uid="{26581D12-3DDD-480E-9D18-E57BD467A815}"/>
    <cellStyle name="Moneda 6 2 3 2 2 3 2" xfId="1965" xr:uid="{71C72F94-0B51-43E8-894F-1A0CFDB8FE6B}"/>
    <cellStyle name="Moneda 6 2 3 2 2 4" xfId="1966" xr:uid="{3C35588B-1D3D-4D0F-9B46-16D1055DA827}"/>
    <cellStyle name="Moneda 6 2 3 2 2 4 2" xfId="1967" xr:uid="{A47DB8F5-3C9C-4514-AB9D-3433CEEFEA64}"/>
    <cellStyle name="Moneda 6 2 3 2 2 5" xfId="1968" xr:uid="{1013FA36-0A30-4B88-80EB-28800BC4105A}"/>
    <cellStyle name="Moneda 6 2 3 2 3" xfId="1969" xr:uid="{3989C8F5-01EC-4232-9A07-275F1284A6C0}"/>
    <cellStyle name="Moneda 6 2 3 2 3 2" xfId="1970" xr:uid="{94D5B869-98B5-4291-B7DB-87E9AA0BECA5}"/>
    <cellStyle name="Moneda 6 2 3 2 4" xfId="1971" xr:uid="{75C41B7B-FE70-499D-AA15-DB17F0AD6B62}"/>
    <cellStyle name="Moneda 6 2 3 2 4 2" xfId="1972" xr:uid="{4AB55FEA-6DFC-453A-AB5E-529DB796D7FA}"/>
    <cellStyle name="Moneda 6 2 3 2 5" xfId="1973" xr:uid="{04F8DAE2-EDB7-43E2-B111-0359A4766802}"/>
    <cellStyle name="Moneda 6 2 3 2 5 2" xfId="1974" xr:uid="{6C50EB43-5A0A-450A-BA6B-08D4A1874834}"/>
    <cellStyle name="Moneda 6 2 3 2 6" xfId="1975" xr:uid="{BF93E0FC-CC96-4F76-9B77-E2109D76EEFD}"/>
    <cellStyle name="Moneda 6 2 3 3" xfId="1976" xr:uid="{E3C5988D-9B28-4B60-A103-65B9600B62CB}"/>
    <cellStyle name="Moneda 6 2 3 3 2" xfId="1977" xr:uid="{DAB5721E-DD55-4A31-AEE3-E18D954C78E2}"/>
    <cellStyle name="Moneda 6 2 3 3 2 2" xfId="1978" xr:uid="{8D128DC0-B3C3-42CF-8ADA-9EAC84F9014B}"/>
    <cellStyle name="Moneda 6 2 3 3 3" xfId="1979" xr:uid="{819BE16E-5CA4-4E4C-BA2B-BF39BD50237B}"/>
    <cellStyle name="Moneda 6 2 3 3 3 2" xfId="1980" xr:uid="{CEB640DD-8214-482A-AE41-17F21AED5852}"/>
    <cellStyle name="Moneda 6 2 3 3 4" xfId="1981" xr:uid="{DFFA1EE1-30AD-42FE-BFD3-322D9EC54278}"/>
    <cellStyle name="Moneda 6 2 3 3 4 2" xfId="1982" xr:uid="{9252F83F-9846-4F1F-BB1A-248C8C2AF8DF}"/>
    <cellStyle name="Moneda 6 2 3 3 5" xfId="1983" xr:uid="{FE738AF2-98A5-41E3-93BE-A8C1BB05006F}"/>
    <cellStyle name="Moneda 6 2 3 4" xfId="1984" xr:uid="{C85EAF4F-BDE6-4610-BEAF-1AA28AA943F3}"/>
    <cellStyle name="Moneda 6 2 3 4 2" xfId="1985" xr:uid="{791320B5-274B-4F2C-B8A2-8A2EE8B5B05A}"/>
    <cellStyle name="Moneda 6 2 3 5" xfId="1986" xr:uid="{5723E9C3-AC6A-4D46-9FFC-1B36FC4BD109}"/>
    <cellStyle name="Moneda 6 2 3 5 2" xfId="1987" xr:uid="{95710F77-84BD-482A-BFC3-FC6DF4960557}"/>
    <cellStyle name="Moneda 6 2 3 6" xfId="1988" xr:uid="{DBD9E11E-9F62-4A0E-963C-44CC8D3CA474}"/>
    <cellStyle name="Moneda 6 2 3 6 2" xfId="1989" xr:uid="{121524C9-9EC4-4C9D-B0D4-83845FEB73F6}"/>
    <cellStyle name="Moneda 6 2 3 7" xfId="1990" xr:uid="{488ED435-3AED-4771-8851-C155E541F318}"/>
    <cellStyle name="Moneda 6 2 4" xfId="1991" xr:uid="{765B4DF2-2441-46E0-8AAD-C831D6D10A20}"/>
    <cellStyle name="Moneda 6 2 4 2" xfId="1992" xr:uid="{C93C97CD-60BC-4337-998C-05988D8C6453}"/>
    <cellStyle name="Moneda 6 2 4 2 2" xfId="1993" xr:uid="{00BE2DDF-C0DD-4925-B94B-48B42A701FAB}"/>
    <cellStyle name="Moneda 6 2 4 2 2 2" xfId="1994" xr:uid="{8704586A-D008-4C61-901D-E10713F15C79}"/>
    <cellStyle name="Moneda 6 2 4 2 2 2 2" xfId="1995" xr:uid="{6349C60D-59A9-45B9-A52C-05A7228C0725}"/>
    <cellStyle name="Moneda 6 2 4 2 2 3" xfId="1996" xr:uid="{4DC12EE8-0886-427C-BE1C-239E682F71ED}"/>
    <cellStyle name="Moneda 6 2 4 2 2 3 2" xfId="1997" xr:uid="{A4A8640B-CA4C-406E-ABC5-4F7B8209B3A3}"/>
    <cellStyle name="Moneda 6 2 4 2 2 4" xfId="1998" xr:uid="{4B72E2BF-7B3E-48E0-BEE2-769346296ED1}"/>
    <cellStyle name="Moneda 6 2 4 2 2 4 2" xfId="1999" xr:uid="{E41E9E2A-5D60-4BBC-BECE-38615B2EF128}"/>
    <cellStyle name="Moneda 6 2 4 2 2 5" xfId="2000" xr:uid="{0865A31C-C7A6-433A-A713-A3B3FE02502E}"/>
    <cellStyle name="Moneda 6 2 4 2 3" xfId="2001" xr:uid="{93E132B4-0F45-4F2B-A8DA-E670E5C10154}"/>
    <cellStyle name="Moneda 6 2 4 2 3 2" xfId="2002" xr:uid="{8DBD9B77-00AC-47BE-B280-D704368578BE}"/>
    <cellStyle name="Moneda 6 2 4 2 4" xfId="2003" xr:uid="{4719E3C3-DBF9-4027-B4D5-2E7F44E0477D}"/>
    <cellStyle name="Moneda 6 2 4 2 4 2" xfId="2004" xr:uid="{734D5810-1C1C-456A-B558-A2D56750AF0B}"/>
    <cellStyle name="Moneda 6 2 4 2 5" xfId="2005" xr:uid="{82DFA913-01AD-44FD-A363-09492C058575}"/>
    <cellStyle name="Moneda 6 2 4 2 5 2" xfId="2006" xr:uid="{3504491B-3FDA-4A8A-BFB0-BBC95B390ECD}"/>
    <cellStyle name="Moneda 6 2 4 2 6" xfId="2007" xr:uid="{CE512380-6E43-4363-9FF0-44CE5E74714D}"/>
    <cellStyle name="Moneda 6 2 4 3" xfId="2008" xr:uid="{3A60308F-C5B5-4EB2-8DB9-B51BDB9A4110}"/>
    <cellStyle name="Moneda 6 2 4 3 2" xfId="2009" xr:uid="{072E2B73-8FB9-446B-997B-28BBB46FDD5B}"/>
    <cellStyle name="Moneda 6 2 4 3 2 2" xfId="2010" xr:uid="{D2110DDC-2AED-41F0-89D4-AB3777B9484D}"/>
    <cellStyle name="Moneda 6 2 4 3 3" xfId="2011" xr:uid="{D9D2B787-F191-412B-8A17-8D19DF4D8707}"/>
    <cellStyle name="Moneda 6 2 4 3 3 2" xfId="2012" xr:uid="{2F612515-7EB9-4583-BE8C-6A17425AA0E5}"/>
    <cellStyle name="Moneda 6 2 4 3 4" xfId="2013" xr:uid="{F3AC44E9-BF25-426C-BC96-D53A25C31C6B}"/>
    <cellStyle name="Moneda 6 2 4 3 4 2" xfId="2014" xr:uid="{E7385C14-96ED-472B-B28B-9B55525B5B9D}"/>
    <cellStyle name="Moneda 6 2 4 3 5" xfId="2015" xr:uid="{D0628797-7D3B-4587-9005-24BCF1DF9D93}"/>
    <cellStyle name="Moneda 6 2 4 4" xfId="2016" xr:uid="{72225BA7-A5F7-411F-93AB-72D2B6E38E48}"/>
    <cellStyle name="Moneda 6 2 4 4 2" xfId="2017" xr:uid="{4234316F-1E1F-4F3B-B62E-F1823DC38EFE}"/>
    <cellStyle name="Moneda 6 2 4 5" xfId="2018" xr:uid="{2285C4A3-FB13-4B1E-94D1-63C6F9DD8AEC}"/>
    <cellStyle name="Moneda 6 2 4 5 2" xfId="2019" xr:uid="{8616E398-B607-48CF-9C07-D441A7CC6F23}"/>
    <cellStyle name="Moneda 6 2 4 6" xfId="2020" xr:uid="{3725299D-2E85-4D42-9206-75A4C4FD90BA}"/>
    <cellStyle name="Moneda 6 2 4 6 2" xfId="2021" xr:uid="{40C82FC1-2387-4919-BF85-E8D2DA3848C8}"/>
    <cellStyle name="Moneda 6 2 4 7" xfId="2022" xr:uid="{B254A7D1-D297-4EF4-AA66-C176DB3C3FD2}"/>
    <cellStyle name="Moneda 6 2 5" xfId="2023" xr:uid="{5CFD09B3-8711-44BC-9CE4-581B0C040E11}"/>
    <cellStyle name="Moneda 6 2 5 2" xfId="2024" xr:uid="{317B101D-759C-45CD-90F4-CEE77F26D898}"/>
    <cellStyle name="Moneda 6 2 5 2 2" xfId="2025" xr:uid="{B0896E1A-9A3C-4F13-8FF1-E098AD7A63D0}"/>
    <cellStyle name="Moneda 6 2 5 2 2 2" xfId="2026" xr:uid="{62FE8749-0015-4813-A840-B76D55533237}"/>
    <cellStyle name="Moneda 6 2 5 2 3" xfId="2027" xr:uid="{4D831EA7-CB7F-44AE-971B-5D62DDE56690}"/>
    <cellStyle name="Moneda 6 2 5 2 3 2" xfId="2028" xr:uid="{0B9AED1B-D9C9-4B90-8783-47F2034804F7}"/>
    <cellStyle name="Moneda 6 2 5 2 4" xfId="2029" xr:uid="{16BF9C77-15F9-4C88-822D-0E8B7876362A}"/>
    <cellStyle name="Moneda 6 2 5 2 4 2" xfId="2030" xr:uid="{8DEF99F5-E200-4B22-A85F-50D7216202A0}"/>
    <cellStyle name="Moneda 6 2 5 2 5" xfId="2031" xr:uid="{793A6227-12BE-467E-A908-39D513C56612}"/>
    <cellStyle name="Moneda 6 2 5 3" xfId="2032" xr:uid="{FF8CB335-A862-4C74-8CDF-06E043F29233}"/>
    <cellStyle name="Moneda 6 2 5 3 2" xfId="2033" xr:uid="{BBC07CE9-36D3-42F8-A797-8D6902F39B5C}"/>
    <cellStyle name="Moneda 6 2 5 4" xfId="2034" xr:uid="{89C7DD31-E11B-4A95-AD06-111C48276CC2}"/>
    <cellStyle name="Moneda 6 2 5 4 2" xfId="2035" xr:uid="{6BA0A7B4-9569-4A27-8073-5B1773827FEE}"/>
    <cellStyle name="Moneda 6 2 5 5" xfId="2036" xr:uid="{EE52689D-C824-494F-8948-631F89FFDD28}"/>
    <cellStyle name="Moneda 6 2 5 5 2" xfId="2037" xr:uid="{394AADA7-C5FC-4D82-BC9A-5DFE97AF8704}"/>
    <cellStyle name="Moneda 6 2 5 6" xfId="2038" xr:uid="{DB704502-E3BD-48F4-9FE4-9C1046304C65}"/>
    <cellStyle name="Moneda 6 2 6" xfId="2039" xr:uid="{F234B3A0-9DEE-4654-B1BA-4186AC8E46ED}"/>
    <cellStyle name="Moneda 6 2 6 2" xfId="2040" xr:uid="{CC858752-A580-4ED7-9762-774398715EDE}"/>
    <cellStyle name="Moneda 6 2 6 2 2" xfId="2041" xr:uid="{9E17E638-3097-4CC0-8AD1-A4AE6F02273C}"/>
    <cellStyle name="Moneda 6 2 6 3" xfId="2042" xr:uid="{61E653FE-9EA2-4A23-801A-7B19ECA052BA}"/>
    <cellStyle name="Moneda 6 2 6 3 2" xfId="2043" xr:uid="{20B4F6F9-3B10-4686-9905-674905CFB745}"/>
    <cellStyle name="Moneda 6 2 6 4" xfId="2044" xr:uid="{8E1BE510-8FD5-4506-85D3-7F7113F3CC73}"/>
    <cellStyle name="Moneda 6 2 6 4 2" xfId="2045" xr:uid="{FABA3844-DC88-43A1-80E0-76C249BD046C}"/>
    <cellStyle name="Moneda 6 2 6 5" xfId="2046" xr:uid="{564FE22D-59B7-4A9E-9F45-4D2719133875}"/>
    <cellStyle name="Moneda 6 2 7" xfId="2047" xr:uid="{324E4A9E-5391-46CD-BA6B-BE27249D11C8}"/>
    <cellStyle name="Moneda 6 2 7 2" xfId="2048" xr:uid="{B4AD8840-E0C9-4006-8910-6B8C6D7D737E}"/>
    <cellStyle name="Moneda 6 2 8" xfId="2049" xr:uid="{8F656DA8-E5DB-4EF5-AD22-A701CF7BADAA}"/>
    <cellStyle name="Moneda 6 2 8 2" xfId="2050" xr:uid="{91979604-8E84-4054-BF5F-68C7BC620393}"/>
    <cellStyle name="Moneda 6 2 9" xfId="2051" xr:uid="{832B1CB8-F1F0-4C02-8190-6378DB2BD57C}"/>
    <cellStyle name="Moneda 6 2 9 2" xfId="2052" xr:uid="{F6FDC452-D358-45ED-8CB9-5DB0F24ACBBE}"/>
    <cellStyle name="Moneda 6 3" xfId="2053" xr:uid="{547347FB-8418-4854-B6C4-0BA8A348D31B}"/>
    <cellStyle name="Moneda 6 3 2" xfId="2054" xr:uid="{8DA9184A-9874-4559-AF16-B56A5F13833F}"/>
    <cellStyle name="Moneda 6 3 2 2" xfId="2055" xr:uid="{2494CF21-D634-4A9F-89F7-C4145D62F20D}"/>
    <cellStyle name="Moneda 6 3 2 2 2" xfId="2056" xr:uid="{D90DB54F-BE9E-4321-81D7-8FB3B5685DCC}"/>
    <cellStyle name="Moneda 6 3 2 2 2 2" xfId="2057" xr:uid="{6AF6206C-95D7-489F-A59B-88A6ABA270AC}"/>
    <cellStyle name="Moneda 6 3 2 2 3" xfId="2058" xr:uid="{061DA5E1-72BC-4C65-9854-FA55471DE0D3}"/>
    <cellStyle name="Moneda 6 3 2 2 3 2" xfId="2059" xr:uid="{6DEC9254-552B-4703-9171-293D8154F779}"/>
    <cellStyle name="Moneda 6 3 2 2 4" xfId="2060" xr:uid="{575A854D-CE2E-4809-9A74-74D19441EE29}"/>
    <cellStyle name="Moneda 6 3 2 2 4 2" xfId="2061" xr:uid="{5F80434D-66E7-4C90-B31D-4B2C2B6815E0}"/>
    <cellStyle name="Moneda 6 3 2 2 5" xfId="2062" xr:uid="{EF8AD915-A170-4DF5-A8E0-1C6EF81B8FA0}"/>
    <cellStyle name="Moneda 6 3 2 3" xfId="2063" xr:uid="{3FBA69D6-E91B-4DB8-9EEA-481F8D932A8C}"/>
    <cellStyle name="Moneda 6 3 2 3 2" xfId="2064" xr:uid="{653E44C9-DB6F-4B5D-B276-193638A30979}"/>
    <cellStyle name="Moneda 6 3 2 4" xfId="2065" xr:uid="{B403205F-ADAA-4CE9-8E10-1E3FE5B7E040}"/>
    <cellStyle name="Moneda 6 3 2 4 2" xfId="2066" xr:uid="{4C1B320C-E127-4C35-9CCA-7471A7FD77BE}"/>
    <cellStyle name="Moneda 6 3 2 5" xfId="2067" xr:uid="{728C8B3E-F6B3-4D41-8A45-C859EB93E437}"/>
    <cellStyle name="Moneda 6 3 2 5 2" xfId="2068" xr:uid="{0FDF8807-213C-4FAF-A94E-9937E9B105AC}"/>
    <cellStyle name="Moneda 6 3 2 6" xfId="2069" xr:uid="{37103893-2698-4372-9F11-FB88C5C88F6D}"/>
    <cellStyle name="Moneda 6 3 3" xfId="2070" xr:uid="{2301081C-BB36-4D5B-B30B-C945FF632D82}"/>
    <cellStyle name="Moneda 6 3 3 2" xfId="2071" xr:uid="{0786088B-EF29-48C2-96EA-8C4712F5B317}"/>
    <cellStyle name="Moneda 6 3 3 2 2" xfId="2072" xr:uid="{122CE24D-BDAD-4B67-8558-4AF99C439F20}"/>
    <cellStyle name="Moneda 6 3 3 3" xfId="2073" xr:uid="{FC2CAF06-3BB6-4BBE-AA9C-EE2E935777FE}"/>
    <cellStyle name="Moneda 6 3 3 3 2" xfId="2074" xr:uid="{0CB84B79-21AC-42A9-AEFC-369FF834F37D}"/>
    <cellStyle name="Moneda 6 3 3 4" xfId="2075" xr:uid="{2449F444-B38A-4C56-872A-C0F9E47772F5}"/>
    <cellStyle name="Moneda 6 3 3 4 2" xfId="2076" xr:uid="{B66E8243-4601-4E56-BE24-07F980286023}"/>
    <cellStyle name="Moneda 6 3 3 5" xfId="2077" xr:uid="{E50A840A-193C-420C-9175-B1E01BF725DC}"/>
    <cellStyle name="Moneda 6 3 4" xfId="2078" xr:uid="{8FF68528-D78D-4250-BB20-11825E10B118}"/>
    <cellStyle name="Moneda 6 3 4 2" xfId="2079" xr:uid="{EA50B199-86FF-4B51-9F71-FCA42DFA9744}"/>
    <cellStyle name="Moneda 6 3 5" xfId="2080" xr:uid="{246A8F52-9869-4DCB-8E2E-6028BBF96523}"/>
    <cellStyle name="Moneda 6 3 5 2" xfId="2081" xr:uid="{03D152F2-570A-4221-AA87-92E4CF7ED826}"/>
    <cellStyle name="Moneda 6 3 6" xfId="2082" xr:uid="{A99ED7DE-C36D-475A-8750-8275CA5E3966}"/>
    <cellStyle name="Moneda 6 3 6 2" xfId="2083" xr:uid="{181B9B2F-8844-45C8-A010-66016E9CC6A5}"/>
    <cellStyle name="Moneda 6 3 7" xfId="2084" xr:uid="{8836625E-FE2C-4E88-AA54-22C49BE104BF}"/>
    <cellStyle name="Moneda 6 4" xfId="2085" xr:uid="{5A2C2183-1431-47EA-9D19-5CBA62B128EB}"/>
    <cellStyle name="Moneda 6 4 2" xfId="2086" xr:uid="{1AE61D20-06E7-48D9-91F8-5BC58874F84F}"/>
    <cellStyle name="Moneda 6 4 2 2" xfId="2087" xr:uid="{7E6BB6DE-36F3-4B02-A63F-52E5BAD8BC36}"/>
    <cellStyle name="Moneda 6 4 2 2 2" xfId="2088" xr:uid="{9CB73CEA-9DA2-46FD-A296-6B0FA1662DD8}"/>
    <cellStyle name="Moneda 6 4 2 2 2 2" xfId="2089" xr:uid="{9263BD6B-9237-40AA-9008-4D5CDE72FD7B}"/>
    <cellStyle name="Moneda 6 4 2 2 3" xfId="2090" xr:uid="{A94F7B3D-EDC0-480E-B2E0-A88972E126F5}"/>
    <cellStyle name="Moneda 6 4 2 2 3 2" xfId="2091" xr:uid="{4A6D2784-8DC0-445B-84B8-C296A290A9EF}"/>
    <cellStyle name="Moneda 6 4 2 2 4" xfId="2092" xr:uid="{1EA49588-4C33-4F28-A944-A8B7EA5B84E9}"/>
    <cellStyle name="Moneda 6 4 2 2 4 2" xfId="2093" xr:uid="{F6552E4D-74A3-4E5D-AB96-F7A8AD558972}"/>
    <cellStyle name="Moneda 6 4 2 2 5" xfId="2094" xr:uid="{2BA491F1-CA3B-42EC-90B0-2535A755EE09}"/>
    <cellStyle name="Moneda 6 4 2 3" xfId="2095" xr:uid="{01F54094-B9E4-4049-AA23-68CEA4BD297E}"/>
    <cellStyle name="Moneda 6 4 2 3 2" xfId="2096" xr:uid="{5659E84F-16AB-4450-9AC2-F2A603B77389}"/>
    <cellStyle name="Moneda 6 4 2 4" xfId="2097" xr:uid="{0A497BE5-728C-475F-B929-F2B80C43864E}"/>
    <cellStyle name="Moneda 6 4 2 4 2" xfId="2098" xr:uid="{D4EA2AC9-B3F8-4C37-A59E-6C15A06E8BE9}"/>
    <cellStyle name="Moneda 6 4 2 5" xfId="2099" xr:uid="{713B4658-9EEF-4FC4-88B5-958FC3DC7A23}"/>
    <cellStyle name="Moneda 6 4 2 5 2" xfId="2100" xr:uid="{5F5E9227-EDD8-45CC-9280-CC7E97CC8FE3}"/>
    <cellStyle name="Moneda 6 4 2 6" xfId="2101" xr:uid="{07076B5C-E66C-4D95-9E3E-E037E718820B}"/>
    <cellStyle name="Moneda 6 4 3" xfId="2102" xr:uid="{451260B3-7992-4EB6-B52E-C88B0F8AF83E}"/>
    <cellStyle name="Moneda 6 4 3 2" xfId="2103" xr:uid="{3F284A2A-7879-4272-838B-9C6F7A4713A4}"/>
    <cellStyle name="Moneda 6 4 3 2 2" xfId="2104" xr:uid="{DB10AA01-764B-4D0E-8996-A5F7B9E98CA6}"/>
    <cellStyle name="Moneda 6 4 3 3" xfId="2105" xr:uid="{5B70E683-40D1-46CA-9B4B-4657010B2A9B}"/>
    <cellStyle name="Moneda 6 4 3 3 2" xfId="2106" xr:uid="{69C064EF-B401-414C-BC11-86415FE506FD}"/>
    <cellStyle name="Moneda 6 4 3 4" xfId="2107" xr:uid="{0464E6DA-9159-491C-9923-3C2FA67BA505}"/>
    <cellStyle name="Moneda 6 4 3 4 2" xfId="2108" xr:uid="{47B0323F-892D-4ACD-A39D-BA329C741946}"/>
    <cellStyle name="Moneda 6 4 3 5" xfId="2109" xr:uid="{173FD2D9-09DE-4812-88AF-BFD10F733824}"/>
    <cellStyle name="Moneda 6 4 4" xfId="2110" xr:uid="{F10FB0C1-6780-44C4-9F48-D2276B6FE0DB}"/>
    <cellStyle name="Moneda 6 4 4 2" xfId="2111" xr:uid="{EB257ADA-7C89-407D-BF11-9B3BA3F5EEB9}"/>
    <cellStyle name="Moneda 6 4 5" xfId="2112" xr:uid="{06D3721E-31A3-45E1-8214-7AB2F4222B08}"/>
    <cellStyle name="Moneda 6 4 5 2" xfId="2113" xr:uid="{7BD4B66C-F8B2-4498-BE7F-2CE5AC71043D}"/>
    <cellStyle name="Moneda 6 4 6" xfId="2114" xr:uid="{97E0770C-02DB-492E-8885-0EE6D3C66268}"/>
    <cellStyle name="Moneda 6 4 6 2" xfId="2115" xr:uid="{7AD9F639-AAA1-4684-9261-5CADF3E8EDEC}"/>
    <cellStyle name="Moneda 6 4 7" xfId="2116" xr:uid="{8584FB8D-E3F0-43EC-9C82-0A2CCDD9F028}"/>
    <cellStyle name="Moneda 6 5" xfId="2117" xr:uid="{24E0E9BF-6D9D-4C78-9FAA-484F49AA6C63}"/>
    <cellStyle name="Moneda 6 5 2" xfId="2118" xr:uid="{875E77F9-F52A-42E8-82CD-746E6747937F}"/>
    <cellStyle name="Moneda 6 5 2 2" xfId="2119" xr:uid="{F027011D-7E53-45A1-81D0-6D47516231AC}"/>
    <cellStyle name="Moneda 6 5 2 2 2" xfId="2120" xr:uid="{074F2711-09D0-447C-A412-9C16E28995F5}"/>
    <cellStyle name="Moneda 6 5 2 2 2 2" xfId="2121" xr:uid="{588C4DB0-7250-4396-8AE8-A8B197A77EF8}"/>
    <cellStyle name="Moneda 6 5 2 2 3" xfId="2122" xr:uid="{F7E1F073-BAA3-4026-8439-11F7D189EE6A}"/>
    <cellStyle name="Moneda 6 5 2 2 3 2" xfId="2123" xr:uid="{9F78F46E-6091-473B-87DC-EBC46104D1C3}"/>
    <cellStyle name="Moneda 6 5 2 2 4" xfId="2124" xr:uid="{D896A70A-4A3B-43F3-B967-C8674D722F24}"/>
    <cellStyle name="Moneda 6 5 2 2 4 2" xfId="2125" xr:uid="{0E25BD86-3F61-4A6F-A62A-C6A09AAEB2C1}"/>
    <cellStyle name="Moneda 6 5 2 2 5" xfId="2126" xr:uid="{33033679-55F0-43FF-89DC-446675B556B7}"/>
    <cellStyle name="Moneda 6 5 2 3" xfId="2127" xr:uid="{AB7EA54E-BC5A-4CE7-9446-EA388C7290CB}"/>
    <cellStyle name="Moneda 6 5 2 3 2" xfId="2128" xr:uid="{D1988795-0428-400C-991A-EAE02EDDEB88}"/>
    <cellStyle name="Moneda 6 5 2 4" xfId="2129" xr:uid="{48E71F07-B094-4839-9188-D0E64E6339CC}"/>
    <cellStyle name="Moneda 6 5 2 4 2" xfId="2130" xr:uid="{29062BF5-74AB-4F8D-8C1E-419200EF7B77}"/>
    <cellStyle name="Moneda 6 5 2 5" xfId="2131" xr:uid="{7CACA071-B288-4620-88DA-89B64B1671FF}"/>
    <cellStyle name="Moneda 6 5 2 5 2" xfId="2132" xr:uid="{F0114443-83E7-4F53-9821-B6646E25CB8E}"/>
    <cellStyle name="Moneda 6 5 2 6" xfId="2133" xr:uid="{E0F1537D-3D70-4AE2-8DE6-5D1713856ECD}"/>
    <cellStyle name="Moneda 6 5 3" xfId="2134" xr:uid="{226F7525-DE13-4100-A7C2-0FDC0AD70D6D}"/>
    <cellStyle name="Moneda 6 5 3 2" xfId="2135" xr:uid="{D47730A5-03FD-4437-875D-CC6544BF7484}"/>
    <cellStyle name="Moneda 6 5 3 2 2" xfId="2136" xr:uid="{9E36C0CB-84E4-4A9D-881C-5D92C99D9F25}"/>
    <cellStyle name="Moneda 6 5 3 3" xfId="2137" xr:uid="{5D0D4D61-EBBB-4412-9028-E4CB0DA76625}"/>
    <cellStyle name="Moneda 6 5 3 3 2" xfId="2138" xr:uid="{D666DEB4-532F-46A8-8E3F-A4F6CE345C42}"/>
    <cellStyle name="Moneda 6 5 3 4" xfId="2139" xr:uid="{ED288E02-2E5C-4059-B028-DC0D7BD9D6EF}"/>
    <cellStyle name="Moneda 6 5 3 4 2" xfId="2140" xr:uid="{4A9F978B-406B-4D4A-AF4A-6139B999CD56}"/>
    <cellStyle name="Moneda 6 5 3 5" xfId="2141" xr:uid="{7E35600E-DA5B-424F-80E2-EB9C65D57B9E}"/>
    <cellStyle name="Moneda 6 5 4" xfId="2142" xr:uid="{5D6C2EDB-95CD-47D7-AD6F-7C07C68873E2}"/>
    <cellStyle name="Moneda 6 5 4 2" xfId="2143" xr:uid="{B7BC44DE-9370-4124-8D40-A5D2A04BEFF1}"/>
    <cellStyle name="Moneda 6 5 5" xfId="2144" xr:uid="{EAF59A7F-8AA0-443C-9A21-6AEA9B7F4195}"/>
    <cellStyle name="Moneda 6 5 5 2" xfId="2145" xr:uid="{BCB46399-A27A-4A70-849F-5056757AF965}"/>
    <cellStyle name="Moneda 6 5 6" xfId="2146" xr:uid="{479915AE-FBC0-4E7C-B759-98818F4E12CC}"/>
    <cellStyle name="Moneda 6 5 6 2" xfId="2147" xr:uid="{2CCEE05C-7700-489F-9C38-AC271DA9D8BE}"/>
    <cellStyle name="Moneda 6 5 7" xfId="2148" xr:uid="{337DF895-67CA-47D2-8C36-CBEEC2091585}"/>
    <cellStyle name="Moneda 6 6" xfId="2149" xr:uid="{337679DC-45FB-40FC-A406-77B4E3F39202}"/>
    <cellStyle name="Moneda 6 6 2" xfId="2150" xr:uid="{8C996B0D-498B-40DD-98C2-A61D43D304E1}"/>
    <cellStyle name="Moneda 6 6 2 2" xfId="2151" xr:uid="{825B5147-9DF2-4901-8610-DCBC796DEE2E}"/>
    <cellStyle name="Moneda 6 6 2 2 2" xfId="2152" xr:uid="{BB6E706F-FDF7-48A7-944B-9F437236B82B}"/>
    <cellStyle name="Moneda 6 6 2 3" xfId="2153" xr:uid="{A92FD7A0-8E65-49C3-98DF-337D2DEA9A82}"/>
    <cellStyle name="Moneda 6 6 2 3 2" xfId="2154" xr:uid="{72FCFEE5-29C0-4D75-B773-52B6B9358CE5}"/>
    <cellStyle name="Moneda 6 6 2 4" xfId="2155" xr:uid="{2949ACFC-4B39-4740-88F0-193E8D056F64}"/>
    <cellStyle name="Moneda 6 6 2 4 2" xfId="2156" xr:uid="{BA31CA2E-6499-4950-AAFA-38665BCD495F}"/>
    <cellStyle name="Moneda 6 6 2 5" xfId="2157" xr:uid="{9A5D13E5-8857-4629-864F-86C8DC6A635A}"/>
    <cellStyle name="Moneda 6 6 3" xfId="2158" xr:uid="{D88B8E60-2919-4778-9BB7-A65EF8B4E36E}"/>
    <cellStyle name="Moneda 6 6 3 2" xfId="2159" xr:uid="{631E7BA3-DB9E-4061-95DE-67A98A02EA08}"/>
    <cellStyle name="Moneda 6 6 4" xfId="2160" xr:uid="{792CB4D3-ABD0-46A4-8FAB-C707E44A2DAC}"/>
    <cellStyle name="Moneda 6 6 4 2" xfId="2161" xr:uid="{93F028A2-0718-4602-A1EF-8434831CB201}"/>
    <cellStyle name="Moneda 6 6 5" xfId="2162" xr:uid="{E7177A4C-EA1C-4555-97B7-62971FD2B7B0}"/>
    <cellStyle name="Moneda 6 6 5 2" xfId="2163" xr:uid="{74791FE6-0CFC-4BE9-AAC8-C117D4CE423C}"/>
    <cellStyle name="Moneda 6 6 6" xfId="2164" xr:uid="{E345DD7F-6EB2-41EC-B7D2-3CBCE67D8067}"/>
    <cellStyle name="Moneda 6 7" xfId="2165" xr:uid="{D5A4AD3F-DCEF-47CA-AC16-1D0242767CB8}"/>
    <cellStyle name="Moneda 6 7 2" xfId="2166" xr:uid="{F14E3E9E-D22D-4967-B87A-6BE46143CFCD}"/>
    <cellStyle name="Moneda 6 7 2 2" xfId="2167" xr:uid="{4D2F6C25-637A-41D7-BFBE-01549E37EDE0}"/>
    <cellStyle name="Moneda 6 7 3" xfId="2168" xr:uid="{C92E4252-1920-4752-98DC-00EDEC46834D}"/>
    <cellStyle name="Moneda 6 7 3 2" xfId="2169" xr:uid="{54DA4AF9-36E2-435C-8176-1F8B906F8A3D}"/>
    <cellStyle name="Moneda 6 7 4" xfId="2170" xr:uid="{693535EA-E2E4-4EDA-8FD3-F7665D56D7F8}"/>
    <cellStyle name="Moneda 6 7 4 2" xfId="2171" xr:uid="{C3054696-C481-4EB8-85A1-B7F7D4754594}"/>
    <cellStyle name="Moneda 6 7 5" xfId="2172" xr:uid="{1B4161C8-EBFB-4C9D-8422-780CA10A2BF0}"/>
    <cellStyle name="Moneda 6 8" xfId="2173" xr:uid="{4741FED9-008A-4643-A0CC-67C99D21F796}"/>
    <cellStyle name="Moneda 6 8 2" xfId="2174" xr:uid="{18542323-7274-4ECC-96E5-85D82A8D803F}"/>
    <cellStyle name="Moneda 6 9" xfId="2175" xr:uid="{04ED7B97-D986-4513-A2BE-07165A591987}"/>
    <cellStyle name="Moneda 6 9 2" xfId="2176" xr:uid="{F3C73991-36F3-4BDA-9667-04F88FE27753}"/>
    <cellStyle name="Moneda 7" xfId="2177" xr:uid="{C8F05178-B279-4A10-B57E-622727647E80}"/>
    <cellStyle name="Moneda 7 10" xfId="2178" xr:uid="{B151C50A-413A-4E07-B202-D9BA174EF584}"/>
    <cellStyle name="Moneda 7 10 2" xfId="2179" xr:uid="{731F5211-45D0-41B6-88E8-02312F5D172B}"/>
    <cellStyle name="Moneda 7 11" xfId="2180" xr:uid="{056593F8-5A53-455E-B333-517294DF2A14}"/>
    <cellStyle name="Moneda 7 12" xfId="2181" xr:uid="{BE8F9851-1582-4693-8D94-2A983D49D72B}"/>
    <cellStyle name="Moneda 7 2" xfId="2182" xr:uid="{411C4595-EB8A-4528-AD10-3DD9B1B20121}"/>
    <cellStyle name="Moneda 7 2 10" xfId="2183" xr:uid="{BFF43E0A-F1AD-4CE3-BDC0-67959652D305}"/>
    <cellStyle name="Moneda 7 2 11" xfId="2184" xr:uid="{105572D2-4AF6-4529-9DF3-CA75453E308D}"/>
    <cellStyle name="Moneda 7 2 2" xfId="2185" xr:uid="{8CE6B6D2-5E8F-4BCB-9B83-4AF80C42FAAC}"/>
    <cellStyle name="Moneda 7 2 2 2" xfId="2186" xr:uid="{0C31C40F-0135-4421-988F-2158C7C64F74}"/>
    <cellStyle name="Moneda 7 2 2 2 2" xfId="2187" xr:uid="{7BC28BDC-7DBC-4201-9AA1-65545D9FC4CA}"/>
    <cellStyle name="Moneda 7 2 2 2 2 2" xfId="2188" xr:uid="{1D441848-9FC6-4AFE-83B2-B1D0E6EAFD12}"/>
    <cellStyle name="Moneda 7 2 2 2 2 2 2" xfId="2189" xr:uid="{D4418DEE-EE72-44D1-A35A-7DE1617ED12A}"/>
    <cellStyle name="Moneda 7 2 2 2 2 3" xfId="2190" xr:uid="{1C4BABC7-4B9E-40E3-BF5C-6D0DDC7651F0}"/>
    <cellStyle name="Moneda 7 2 2 2 2 3 2" xfId="2191" xr:uid="{EF9BA5E1-4C2E-42F4-973A-56A92D74DCFC}"/>
    <cellStyle name="Moneda 7 2 2 2 2 4" xfId="2192" xr:uid="{61764F6C-EE8E-46DD-AF0C-13CEA1BED810}"/>
    <cellStyle name="Moneda 7 2 2 2 2 4 2" xfId="2193" xr:uid="{C906A90D-A6E7-43F9-906F-6B626636507D}"/>
    <cellStyle name="Moneda 7 2 2 2 2 5" xfId="2194" xr:uid="{04E02B3C-ACD4-45C9-9BE6-6B944B78F97C}"/>
    <cellStyle name="Moneda 7 2 2 2 3" xfId="2195" xr:uid="{331A3AAB-7CC3-452E-BAA1-BD13E38D6E8A}"/>
    <cellStyle name="Moneda 7 2 2 2 3 2" xfId="2196" xr:uid="{6B695E31-1371-4C09-B83D-999ADEAF4305}"/>
    <cellStyle name="Moneda 7 2 2 2 4" xfId="2197" xr:uid="{8167090E-610A-4664-8BA9-445B6FC00647}"/>
    <cellStyle name="Moneda 7 2 2 2 4 2" xfId="2198" xr:uid="{5FB832A1-34B6-424C-BF20-E69986E4D6F5}"/>
    <cellStyle name="Moneda 7 2 2 2 5" xfId="2199" xr:uid="{E884BA53-C390-438E-8948-CD5AF15F8A92}"/>
    <cellStyle name="Moneda 7 2 2 2 5 2" xfId="2200" xr:uid="{4D0275FB-2477-4C32-A6D4-E3F21AF9B6A7}"/>
    <cellStyle name="Moneda 7 2 2 2 6" xfId="2201" xr:uid="{3EDD9D0A-9C8D-445C-ABEB-CC75DA29B005}"/>
    <cellStyle name="Moneda 7 2 2 3" xfId="2202" xr:uid="{2A3958A8-32BB-460A-A406-63D8D796B2EB}"/>
    <cellStyle name="Moneda 7 2 2 3 2" xfId="2203" xr:uid="{72B49B15-8369-48B9-8E7D-74D7264405DE}"/>
    <cellStyle name="Moneda 7 2 2 3 2 2" xfId="2204" xr:uid="{D27E20D6-B8EC-4EEA-84B7-16441BCE70C3}"/>
    <cellStyle name="Moneda 7 2 2 3 3" xfId="2205" xr:uid="{F53DFBB0-3126-4347-A8DC-AD033CB25022}"/>
    <cellStyle name="Moneda 7 2 2 3 3 2" xfId="2206" xr:uid="{1A265F66-72AF-4F09-841A-0A75363ABDDC}"/>
    <cellStyle name="Moneda 7 2 2 3 4" xfId="2207" xr:uid="{03626567-9060-44F8-A342-5E747DF1E044}"/>
    <cellStyle name="Moneda 7 2 2 3 4 2" xfId="2208" xr:uid="{EC145FF1-982A-4F14-B8AA-C8370BA3ED7B}"/>
    <cellStyle name="Moneda 7 2 2 3 5" xfId="2209" xr:uid="{C946447C-AA66-40D3-8FD5-5174C514FE0E}"/>
    <cellStyle name="Moneda 7 2 2 4" xfId="2210" xr:uid="{6913B8A8-3487-4544-8386-360C72510FB2}"/>
    <cellStyle name="Moneda 7 2 2 4 2" xfId="2211" xr:uid="{92398B7B-4725-4118-8C99-D3B7F687D5BC}"/>
    <cellStyle name="Moneda 7 2 2 5" xfId="2212" xr:uid="{0326FD53-600C-4495-BEEC-2D0B141A5DE8}"/>
    <cellStyle name="Moneda 7 2 2 5 2" xfId="2213" xr:uid="{6E88EE57-8584-4753-B8B5-51B927518D27}"/>
    <cellStyle name="Moneda 7 2 2 6" xfId="2214" xr:uid="{3D9A20C8-E51B-4A29-A826-3C867925BD06}"/>
    <cellStyle name="Moneda 7 2 2 6 2" xfId="2215" xr:uid="{7EE65863-CEE5-4365-8DA8-6C5E6AE46AD7}"/>
    <cellStyle name="Moneda 7 2 2 7" xfId="2216" xr:uid="{A9BE7FF7-917C-4DC9-8C55-9D4B8AB55689}"/>
    <cellStyle name="Moneda 7 2 3" xfId="2217" xr:uid="{3506E277-86FC-4497-B7C0-BF214231E203}"/>
    <cellStyle name="Moneda 7 2 3 2" xfId="2218" xr:uid="{AC9A0E86-16BF-4E1E-BA54-B9FC672B8A89}"/>
    <cellStyle name="Moneda 7 2 3 2 2" xfId="2219" xr:uid="{71D23119-9B1E-4F19-AFF5-8D5557E0157A}"/>
    <cellStyle name="Moneda 7 2 3 2 2 2" xfId="2220" xr:uid="{94FC162A-04EB-4EED-BF55-34F7893A4403}"/>
    <cellStyle name="Moneda 7 2 3 2 2 2 2" xfId="2221" xr:uid="{D995C44B-AA3B-44DF-AB69-7D62DEE2B271}"/>
    <cellStyle name="Moneda 7 2 3 2 2 3" xfId="2222" xr:uid="{C103FE94-6174-4A14-93C9-425D2D3BAF07}"/>
    <cellStyle name="Moneda 7 2 3 2 2 3 2" xfId="2223" xr:uid="{C2361C01-4AE6-469D-86D9-20A69E8AB03E}"/>
    <cellStyle name="Moneda 7 2 3 2 2 4" xfId="2224" xr:uid="{902E9D97-B3F7-4FCC-BE42-0A131060D2DA}"/>
    <cellStyle name="Moneda 7 2 3 2 2 4 2" xfId="2225" xr:uid="{61D39EB9-0094-486D-A442-29745ACFBF00}"/>
    <cellStyle name="Moneda 7 2 3 2 2 5" xfId="2226" xr:uid="{AE1699EA-1F83-4E09-9AFE-D30733D6FE20}"/>
    <cellStyle name="Moneda 7 2 3 2 3" xfId="2227" xr:uid="{58A8929E-2B67-49E2-A30B-7C284145DEBC}"/>
    <cellStyle name="Moneda 7 2 3 2 3 2" xfId="2228" xr:uid="{3C031B47-1F9F-4533-879F-0AFAF3B41781}"/>
    <cellStyle name="Moneda 7 2 3 2 4" xfId="2229" xr:uid="{A43DCCE2-78E3-49ED-A07D-FC927FBF6835}"/>
    <cellStyle name="Moneda 7 2 3 2 4 2" xfId="2230" xr:uid="{88C06DE5-88F8-4EEF-BC02-16C0452AD030}"/>
    <cellStyle name="Moneda 7 2 3 2 5" xfId="2231" xr:uid="{92F64C64-6FCE-48C8-9BC6-D9B8F65CDD41}"/>
    <cellStyle name="Moneda 7 2 3 2 5 2" xfId="2232" xr:uid="{765EEF67-BBBE-43B3-9000-E72128BE0311}"/>
    <cellStyle name="Moneda 7 2 3 2 6" xfId="2233" xr:uid="{9C47040E-ACC3-44D4-B307-B60A87E7D910}"/>
    <cellStyle name="Moneda 7 2 3 3" xfId="2234" xr:uid="{C382BEA6-9B85-4FB2-AF59-E014A22D65C5}"/>
    <cellStyle name="Moneda 7 2 3 3 2" xfId="2235" xr:uid="{8A57AA0F-8093-4564-A47C-07475B42FA9F}"/>
    <cellStyle name="Moneda 7 2 3 3 2 2" xfId="2236" xr:uid="{A5BA0B0A-E697-42FE-B7AB-EA471D3D02C9}"/>
    <cellStyle name="Moneda 7 2 3 3 3" xfId="2237" xr:uid="{EC564330-9F7C-4330-B529-DD2688C00BA6}"/>
    <cellStyle name="Moneda 7 2 3 3 3 2" xfId="2238" xr:uid="{2F32A869-B41F-43EA-B669-E8936ECC2A21}"/>
    <cellStyle name="Moneda 7 2 3 3 4" xfId="2239" xr:uid="{6738F9DE-8FB6-451E-BB1A-452B8E5ACCEF}"/>
    <cellStyle name="Moneda 7 2 3 3 4 2" xfId="2240" xr:uid="{B3AA0D7C-B75F-43E4-91A9-025B91D8BA2E}"/>
    <cellStyle name="Moneda 7 2 3 3 5" xfId="2241" xr:uid="{8BA889D6-C4F7-4923-ACB1-3131E8D73E24}"/>
    <cellStyle name="Moneda 7 2 3 4" xfId="2242" xr:uid="{E225BB1C-9FFA-4CE5-9F89-AF63481129EB}"/>
    <cellStyle name="Moneda 7 2 3 4 2" xfId="2243" xr:uid="{9A05CB4C-2A88-47A4-93A3-0E26821A24EC}"/>
    <cellStyle name="Moneda 7 2 3 5" xfId="2244" xr:uid="{31776070-1FB3-48AA-AD08-2C96FDE7FC18}"/>
    <cellStyle name="Moneda 7 2 3 5 2" xfId="2245" xr:uid="{494C3FD3-8E6C-44BD-AE5D-23453A30A0FF}"/>
    <cellStyle name="Moneda 7 2 3 6" xfId="2246" xr:uid="{1AE6132C-4273-442A-9601-9869476A14C3}"/>
    <cellStyle name="Moneda 7 2 3 6 2" xfId="2247" xr:uid="{C450ECB8-EF2C-4EA3-B079-C3DEFC80EBCA}"/>
    <cellStyle name="Moneda 7 2 3 7" xfId="2248" xr:uid="{70FF6462-6EAC-4E76-A5D6-62688AE7B8E3}"/>
    <cellStyle name="Moneda 7 2 4" xfId="2249" xr:uid="{C05D2FC6-9297-42B2-813F-EEED5E3F0575}"/>
    <cellStyle name="Moneda 7 2 4 2" xfId="2250" xr:uid="{DF9C2139-CE86-43DC-B58B-31DBE4ED3301}"/>
    <cellStyle name="Moneda 7 2 4 2 2" xfId="2251" xr:uid="{665C95A9-90ED-4C32-8541-D7E8A475F15A}"/>
    <cellStyle name="Moneda 7 2 4 2 2 2" xfId="2252" xr:uid="{59067A97-DCC3-4118-A2F5-26DFBDAB1105}"/>
    <cellStyle name="Moneda 7 2 4 2 2 2 2" xfId="2253" xr:uid="{CF15EB74-E46F-47BE-ADC0-DEC123F7A79B}"/>
    <cellStyle name="Moneda 7 2 4 2 2 3" xfId="2254" xr:uid="{FD9AD897-7663-45E7-BE30-693F040F03F1}"/>
    <cellStyle name="Moneda 7 2 4 2 2 3 2" xfId="2255" xr:uid="{5ED18320-1DA8-49D2-8F31-6ABD12433328}"/>
    <cellStyle name="Moneda 7 2 4 2 2 4" xfId="2256" xr:uid="{2514DB87-295F-496C-B3CE-130B95DBE3DD}"/>
    <cellStyle name="Moneda 7 2 4 2 2 4 2" xfId="2257" xr:uid="{3CFCA0CA-CCC1-4F71-BCE8-5BF7A1D42861}"/>
    <cellStyle name="Moneda 7 2 4 2 2 5" xfId="2258" xr:uid="{E65E5476-6232-4EB2-9DFC-B8A3263D3F7B}"/>
    <cellStyle name="Moneda 7 2 4 2 3" xfId="2259" xr:uid="{1113F4AE-EB49-4302-9A35-A75AA20445BF}"/>
    <cellStyle name="Moneda 7 2 4 2 3 2" xfId="2260" xr:uid="{8DD742CB-B4A4-48E6-943C-48F0C43074D1}"/>
    <cellStyle name="Moneda 7 2 4 2 4" xfId="2261" xr:uid="{5AD2F1D5-2999-4CC6-8818-5EDEDF63E610}"/>
    <cellStyle name="Moneda 7 2 4 2 4 2" xfId="2262" xr:uid="{0A10A4F6-1128-434E-A5DD-A2C5405FDA01}"/>
    <cellStyle name="Moneda 7 2 4 2 5" xfId="2263" xr:uid="{CA5748EC-909F-49AE-A441-2EE88576012C}"/>
    <cellStyle name="Moneda 7 2 4 2 5 2" xfId="2264" xr:uid="{93DA3BDD-4D5D-4C3E-B23D-AED6BEC45500}"/>
    <cellStyle name="Moneda 7 2 4 2 6" xfId="2265" xr:uid="{672C14AB-C08E-4EA2-A5FB-50240C285722}"/>
    <cellStyle name="Moneda 7 2 4 3" xfId="2266" xr:uid="{7979F68F-751A-415B-9260-CAE591C425B7}"/>
    <cellStyle name="Moneda 7 2 4 3 2" xfId="2267" xr:uid="{ECC4A776-B559-48CF-960E-F7681271BFC5}"/>
    <cellStyle name="Moneda 7 2 4 3 2 2" xfId="2268" xr:uid="{F2AD4B92-B21E-488C-B383-26EB3C7C0FC6}"/>
    <cellStyle name="Moneda 7 2 4 3 3" xfId="2269" xr:uid="{051BE26B-E402-4C79-9C3B-CF997C30336C}"/>
    <cellStyle name="Moneda 7 2 4 3 3 2" xfId="2270" xr:uid="{E6EEF517-C43F-42A9-99B4-2D19B47130F9}"/>
    <cellStyle name="Moneda 7 2 4 3 4" xfId="2271" xr:uid="{DC1D4A01-55D6-43A5-A63E-C69081593092}"/>
    <cellStyle name="Moneda 7 2 4 3 4 2" xfId="2272" xr:uid="{99B8F5A3-3DF1-44F3-B546-A9BF1A18B14F}"/>
    <cellStyle name="Moneda 7 2 4 3 5" xfId="2273" xr:uid="{580A1172-5090-4068-A42C-C79D22C2B761}"/>
    <cellStyle name="Moneda 7 2 4 4" xfId="2274" xr:uid="{053E2140-B2B8-45AC-8429-47A5984FC427}"/>
    <cellStyle name="Moneda 7 2 4 4 2" xfId="2275" xr:uid="{28F32890-3D03-4404-8831-4574E3A676BE}"/>
    <cellStyle name="Moneda 7 2 4 5" xfId="2276" xr:uid="{B765D0EE-F94F-421B-9420-5F0F89F2CF5A}"/>
    <cellStyle name="Moneda 7 2 4 5 2" xfId="2277" xr:uid="{1F413BAF-7582-40B1-85D5-A871DE6D8656}"/>
    <cellStyle name="Moneda 7 2 4 6" xfId="2278" xr:uid="{44A229C3-8917-46C5-A799-0D41F6C6818B}"/>
    <cellStyle name="Moneda 7 2 4 6 2" xfId="2279" xr:uid="{12819EE2-D0C0-4096-8464-865F369403A0}"/>
    <cellStyle name="Moneda 7 2 4 7" xfId="2280" xr:uid="{86D0601C-1925-492A-BA8E-D44E64B4A8FF}"/>
    <cellStyle name="Moneda 7 2 5" xfId="2281" xr:uid="{54487D34-C297-4FF0-83D9-11A7863F1D63}"/>
    <cellStyle name="Moneda 7 2 5 2" xfId="2282" xr:uid="{653EDA01-136A-4C4E-8020-CA2502E88E6E}"/>
    <cellStyle name="Moneda 7 2 5 2 2" xfId="2283" xr:uid="{97BF7638-CA82-4265-B65E-270F4F3040B4}"/>
    <cellStyle name="Moneda 7 2 5 2 2 2" xfId="2284" xr:uid="{6902023A-BC3C-41AD-9819-94972446954A}"/>
    <cellStyle name="Moneda 7 2 5 2 3" xfId="2285" xr:uid="{C213ECD4-F181-4531-B19A-D31B0FE831A9}"/>
    <cellStyle name="Moneda 7 2 5 2 3 2" xfId="2286" xr:uid="{9291A845-5A5C-4ABB-8618-3F6788BA9FC5}"/>
    <cellStyle name="Moneda 7 2 5 2 4" xfId="2287" xr:uid="{39992320-128E-432E-B216-8238857D0452}"/>
    <cellStyle name="Moneda 7 2 5 2 4 2" xfId="2288" xr:uid="{75C28F64-981D-4846-B52F-83F2B21757B1}"/>
    <cellStyle name="Moneda 7 2 5 2 5" xfId="2289" xr:uid="{CC29450B-C98F-4580-B227-EB974B3A1E8D}"/>
    <cellStyle name="Moneda 7 2 5 3" xfId="2290" xr:uid="{1FDFF627-A619-4098-BC94-FD7F2C1C36A4}"/>
    <cellStyle name="Moneda 7 2 5 3 2" xfId="2291" xr:uid="{62489EC2-08FB-47AE-95AF-3F1F7FEAAF27}"/>
    <cellStyle name="Moneda 7 2 5 4" xfId="2292" xr:uid="{BE5E1EBB-4C4E-4728-8E0A-0F797DBBE25E}"/>
    <cellStyle name="Moneda 7 2 5 4 2" xfId="2293" xr:uid="{6F6FA8E8-62D3-477C-842D-24F79B88C8D5}"/>
    <cellStyle name="Moneda 7 2 5 5" xfId="2294" xr:uid="{BE74917A-DA36-4898-87B4-2F3F90C7E54D}"/>
    <cellStyle name="Moneda 7 2 5 5 2" xfId="2295" xr:uid="{6171099E-4E26-4251-8E93-ADC4104F0EEA}"/>
    <cellStyle name="Moneda 7 2 5 6" xfId="2296" xr:uid="{5DC1A685-EA81-407B-8E8A-1C4DB27EA3A1}"/>
    <cellStyle name="Moneda 7 2 6" xfId="2297" xr:uid="{49DBC170-B9D4-477D-A4E4-B4EDA4EB7F45}"/>
    <cellStyle name="Moneda 7 2 6 2" xfId="2298" xr:uid="{5FB8EF07-2DE7-4352-A350-3DC75138ECB3}"/>
    <cellStyle name="Moneda 7 2 6 2 2" xfId="2299" xr:uid="{3A543AF1-1F25-4F42-BE0B-E146F3D2AE5D}"/>
    <cellStyle name="Moneda 7 2 6 3" xfId="2300" xr:uid="{251A91F1-DF3A-41D2-8FD9-CA60AD4767F1}"/>
    <cellStyle name="Moneda 7 2 6 3 2" xfId="2301" xr:uid="{2CD3CCE6-4E8F-4116-9FB0-A1ABBB761BE9}"/>
    <cellStyle name="Moneda 7 2 6 4" xfId="2302" xr:uid="{29AD0419-6F10-4FD3-BBB6-2ACA534D2A2D}"/>
    <cellStyle name="Moneda 7 2 6 4 2" xfId="2303" xr:uid="{55B3CBEE-3188-4699-A0CF-5819BB14450E}"/>
    <cellStyle name="Moneda 7 2 6 5" xfId="2304" xr:uid="{455F65FE-45BA-4307-BB15-EC15B9A6D9C2}"/>
    <cellStyle name="Moneda 7 2 7" xfId="2305" xr:uid="{671395A8-2444-46AB-B7A0-7F3BA437BA55}"/>
    <cellStyle name="Moneda 7 2 7 2" xfId="2306" xr:uid="{672DF4ED-EB11-4D81-8D13-770C5867842A}"/>
    <cellStyle name="Moneda 7 2 8" xfId="2307" xr:uid="{3A8626C9-81C8-4DA6-9496-E517383013AA}"/>
    <cellStyle name="Moneda 7 2 8 2" xfId="2308" xr:uid="{82734821-1559-4F7F-88C0-9F263E708C0B}"/>
    <cellStyle name="Moneda 7 2 9" xfId="2309" xr:uid="{8EC6CBC0-FCC6-4395-97C3-4627250A01F1}"/>
    <cellStyle name="Moneda 7 2 9 2" xfId="2310" xr:uid="{F523E27E-87C4-449E-AF9A-507B2B074D9C}"/>
    <cellStyle name="Moneda 7 3" xfId="2311" xr:uid="{896DC797-6F21-469A-B4B5-2075E9FB063B}"/>
    <cellStyle name="Moneda 7 3 2" xfId="2312" xr:uid="{D5679B9E-EBB3-47B2-82F5-755E62CE2EA4}"/>
    <cellStyle name="Moneda 7 3 2 2" xfId="2313" xr:uid="{B5645B88-4BE6-4770-8718-B17B44951820}"/>
    <cellStyle name="Moneda 7 3 2 2 2" xfId="2314" xr:uid="{D4FBA3D0-C4C6-4A45-9EA5-A101C1E68E89}"/>
    <cellStyle name="Moneda 7 3 2 2 2 2" xfId="2315" xr:uid="{3F65D2A0-60CB-4E55-8B89-2D707D4F1A07}"/>
    <cellStyle name="Moneda 7 3 2 2 3" xfId="2316" xr:uid="{13240BB7-4D7A-470E-83E1-F5A2F7417E97}"/>
    <cellStyle name="Moneda 7 3 2 2 3 2" xfId="2317" xr:uid="{DB696341-8A0A-4AAF-988D-F6C6AAA4FD70}"/>
    <cellStyle name="Moneda 7 3 2 2 4" xfId="2318" xr:uid="{25D3F671-4C7B-4BF6-86C8-017780ED014F}"/>
    <cellStyle name="Moneda 7 3 2 2 4 2" xfId="2319" xr:uid="{1640F62B-5FD3-4010-B230-3A12CEC11B26}"/>
    <cellStyle name="Moneda 7 3 2 2 5" xfId="2320" xr:uid="{486DF3F0-EDF0-4AE7-A021-1A731232FE9F}"/>
    <cellStyle name="Moneda 7 3 2 3" xfId="2321" xr:uid="{AD907BED-12C9-442A-8FE2-6929AA0F3400}"/>
    <cellStyle name="Moneda 7 3 2 3 2" xfId="2322" xr:uid="{CC57285A-8449-45A8-9903-9111E2BFD004}"/>
    <cellStyle name="Moneda 7 3 2 4" xfId="2323" xr:uid="{C14C8CBB-A6D6-4206-A5E0-612602DD674A}"/>
    <cellStyle name="Moneda 7 3 2 4 2" xfId="2324" xr:uid="{62B81E48-5BE1-4DC4-B272-3BEFD5E98FAB}"/>
    <cellStyle name="Moneda 7 3 2 5" xfId="2325" xr:uid="{24C1D918-8805-4173-AC29-0C05D1C274DF}"/>
    <cellStyle name="Moneda 7 3 2 5 2" xfId="2326" xr:uid="{AA6AAFBF-169F-4EAC-817A-797264CE4256}"/>
    <cellStyle name="Moneda 7 3 2 6" xfId="2327" xr:uid="{B2E9F3E1-AA03-44AD-B3B6-CE041D75322D}"/>
    <cellStyle name="Moneda 7 3 3" xfId="2328" xr:uid="{B3A7500A-7EE4-431A-935B-EBF29CEA6275}"/>
    <cellStyle name="Moneda 7 3 3 2" xfId="2329" xr:uid="{0A235B35-2546-4C45-A04F-387787CC67B6}"/>
    <cellStyle name="Moneda 7 3 3 2 2" xfId="2330" xr:uid="{579545CA-E630-4FA8-8BDF-1CA156C90CE8}"/>
    <cellStyle name="Moneda 7 3 3 3" xfId="2331" xr:uid="{58D8FC7B-34D3-4F70-A154-117AC5B724EF}"/>
    <cellStyle name="Moneda 7 3 3 3 2" xfId="2332" xr:uid="{06224F32-7947-46EC-AA56-2A3973B91F7B}"/>
    <cellStyle name="Moneda 7 3 3 4" xfId="2333" xr:uid="{629E834C-BAAF-45F4-8828-67CA1B446714}"/>
    <cellStyle name="Moneda 7 3 3 4 2" xfId="2334" xr:uid="{9B9FC931-3FB0-4D09-9FCB-BCB9398FAC8A}"/>
    <cellStyle name="Moneda 7 3 3 5" xfId="2335" xr:uid="{B8A76C14-8623-415F-A302-28E13FF96757}"/>
    <cellStyle name="Moneda 7 3 4" xfId="2336" xr:uid="{B6F280F7-446C-4CCE-AB2B-FD5E09C499E2}"/>
    <cellStyle name="Moneda 7 3 4 2" xfId="2337" xr:uid="{2FFB9F65-6BA0-44F6-BBFB-0FA9A33D5198}"/>
    <cellStyle name="Moneda 7 3 5" xfId="2338" xr:uid="{DDEF359F-10C2-410A-BDF0-2A4CE82EA7D5}"/>
    <cellStyle name="Moneda 7 3 5 2" xfId="2339" xr:uid="{B5C5E9D2-49F5-4F70-AB51-1975F9175063}"/>
    <cellStyle name="Moneda 7 3 6" xfId="2340" xr:uid="{469BF56F-862E-477E-9D8A-89B979E4F68D}"/>
    <cellStyle name="Moneda 7 3 6 2" xfId="2341" xr:uid="{AC335869-1B26-4D98-BAF8-BF8C18B1DADE}"/>
    <cellStyle name="Moneda 7 3 7" xfId="2342" xr:uid="{C7047C54-CE7C-4923-BA78-39EA7C2A77C0}"/>
    <cellStyle name="Moneda 7 4" xfId="2343" xr:uid="{0CE51A2B-9A9D-4A2C-94EA-3A0781A2468B}"/>
    <cellStyle name="Moneda 7 4 2" xfId="2344" xr:uid="{3FA5AC19-C937-4AC2-A649-68408789D4CB}"/>
    <cellStyle name="Moneda 7 4 2 2" xfId="2345" xr:uid="{82CC16C6-89D9-4E3D-A019-636274619C16}"/>
    <cellStyle name="Moneda 7 4 2 2 2" xfId="2346" xr:uid="{A5AC7BF6-598F-45D8-9B2F-131A9670C14F}"/>
    <cellStyle name="Moneda 7 4 2 2 2 2" xfId="2347" xr:uid="{E7037813-D5FB-4BBD-B831-F24DA67DD100}"/>
    <cellStyle name="Moneda 7 4 2 2 3" xfId="2348" xr:uid="{09DE260F-9092-408B-94E8-E609A408F2C5}"/>
    <cellStyle name="Moneda 7 4 2 2 3 2" xfId="2349" xr:uid="{D48A9E5C-BBD5-448F-B683-C14097D8384E}"/>
    <cellStyle name="Moneda 7 4 2 2 4" xfId="2350" xr:uid="{33A20F6A-35E3-4718-B04D-649A00BE2275}"/>
    <cellStyle name="Moneda 7 4 2 2 4 2" xfId="2351" xr:uid="{304B5300-56DA-475D-9B51-8953A0DB9230}"/>
    <cellStyle name="Moneda 7 4 2 2 5" xfId="2352" xr:uid="{613E2CE5-3A42-48EE-9544-5DC7EECD8929}"/>
    <cellStyle name="Moneda 7 4 2 3" xfId="2353" xr:uid="{83B3BA2E-7FA4-4761-9F2E-9892355A882C}"/>
    <cellStyle name="Moneda 7 4 2 3 2" xfId="2354" xr:uid="{84ED59AF-B0C1-4EE4-9ADC-F455A77BEC0B}"/>
    <cellStyle name="Moneda 7 4 2 4" xfId="2355" xr:uid="{7F4C3FC3-FD6D-4A8A-96DC-FFB7BFFC2E10}"/>
    <cellStyle name="Moneda 7 4 2 4 2" xfId="2356" xr:uid="{B5943917-4344-43B5-97CD-56E514541F9A}"/>
    <cellStyle name="Moneda 7 4 2 5" xfId="2357" xr:uid="{ADF9CE49-E0D1-4187-B92F-0FD900B0AFBE}"/>
    <cellStyle name="Moneda 7 4 2 5 2" xfId="2358" xr:uid="{70A8602B-9F25-48F6-889F-07ECAE31A6BB}"/>
    <cellStyle name="Moneda 7 4 2 6" xfId="2359" xr:uid="{997AF14F-E6C2-4441-8526-CC6771EDB807}"/>
    <cellStyle name="Moneda 7 4 3" xfId="2360" xr:uid="{DD1055A0-73AA-4559-B1D2-09FD37C1B886}"/>
    <cellStyle name="Moneda 7 4 3 2" xfId="2361" xr:uid="{E6A97162-A0EA-418F-B48B-66D9B222CCDB}"/>
    <cellStyle name="Moneda 7 4 3 2 2" xfId="2362" xr:uid="{9B08E183-D127-458A-BF64-612D4F046773}"/>
    <cellStyle name="Moneda 7 4 3 3" xfId="2363" xr:uid="{9321D58C-996C-476E-9FCD-3E53C2CF32C1}"/>
    <cellStyle name="Moneda 7 4 3 3 2" xfId="2364" xr:uid="{289670DD-C52F-44FA-A1F4-7EBFE297B7A9}"/>
    <cellStyle name="Moneda 7 4 3 4" xfId="2365" xr:uid="{C8594DB3-6187-4D19-9D33-E66009B25E35}"/>
    <cellStyle name="Moneda 7 4 3 4 2" xfId="2366" xr:uid="{79F3AE24-E6FA-4765-B7C6-CEF41E837E34}"/>
    <cellStyle name="Moneda 7 4 3 5" xfId="2367" xr:uid="{1A40995B-D619-4420-B289-FF60052BC352}"/>
    <cellStyle name="Moneda 7 4 4" xfId="2368" xr:uid="{01A3C8BB-EE9F-4189-8D5A-2A083E4227BF}"/>
    <cellStyle name="Moneda 7 4 4 2" xfId="2369" xr:uid="{0E7D83B4-718E-4BB4-BC5D-5E03C18E45D3}"/>
    <cellStyle name="Moneda 7 4 5" xfId="2370" xr:uid="{67B98B87-0C85-40BB-9985-B14BA80E0EE7}"/>
    <cellStyle name="Moneda 7 4 5 2" xfId="2371" xr:uid="{5C8A1C24-C359-40C2-8BFA-DE0B91A6DA26}"/>
    <cellStyle name="Moneda 7 4 6" xfId="2372" xr:uid="{16B6F02E-BA5D-4F23-8E33-3E07D6D3D8A4}"/>
    <cellStyle name="Moneda 7 4 6 2" xfId="2373" xr:uid="{CAB35FD8-4B82-4182-B10D-F9DE4E01D0C5}"/>
    <cellStyle name="Moneda 7 4 7" xfId="2374" xr:uid="{9B25D8DC-01EB-401E-91DE-D59363BA2D4F}"/>
    <cellStyle name="Moneda 7 5" xfId="2375" xr:uid="{CD7D89E9-7DE0-434C-B1B3-6B615A09E65F}"/>
    <cellStyle name="Moneda 7 5 2" xfId="2376" xr:uid="{85A92E1F-9E56-460E-84A8-C954D8AA9E5A}"/>
    <cellStyle name="Moneda 7 5 2 2" xfId="2377" xr:uid="{6790757C-3057-427F-B7BB-ABE466217859}"/>
    <cellStyle name="Moneda 7 5 2 2 2" xfId="2378" xr:uid="{4350EF4F-4F0E-4C0F-84E0-A011B60AD8AF}"/>
    <cellStyle name="Moneda 7 5 2 2 2 2" xfId="2379" xr:uid="{715CA686-7083-4637-8B93-BB307FDA1E42}"/>
    <cellStyle name="Moneda 7 5 2 2 3" xfId="2380" xr:uid="{115C2718-58C5-4D61-A72B-7F8F4B6C8795}"/>
    <cellStyle name="Moneda 7 5 2 2 3 2" xfId="2381" xr:uid="{4E36830C-BEE3-4193-A718-71A8A012D46B}"/>
    <cellStyle name="Moneda 7 5 2 2 4" xfId="2382" xr:uid="{B017909B-0D9C-47E6-B037-41C432416AA3}"/>
    <cellStyle name="Moneda 7 5 2 2 4 2" xfId="2383" xr:uid="{A7E085FC-D485-4BB5-B95C-524F3B81D60A}"/>
    <cellStyle name="Moneda 7 5 2 2 5" xfId="2384" xr:uid="{5E40D496-F569-48CF-B5D3-2EF386FF2335}"/>
    <cellStyle name="Moneda 7 5 2 3" xfId="2385" xr:uid="{5516B6B3-B6B6-4B54-927B-BD7ED39A8596}"/>
    <cellStyle name="Moneda 7 5 2 3 2" xfId="2386" xr:uid="{1A19AFD9-6056-4143-9F86-E05E566279CC}"/>
    <cellStyle name="Moneda 7 5 2 4" xfId="2387" xr:uid="{868C963E-EFCD-48AE-99B2-08F5B1FCA15B}"/>
    <cellStyle name="Moneda 7 5 2 4 2" xfId="2388" xr:uid="{69F053BF-1549-4A4E-8BC2-CB7DA18B4C8A}"/>
    <cellStyle name="Moneda 7 5 2 5" xfId="2389" xr:uid="{CF90A39B-9AFE-47E9-BE40-B17C90FEC36F}"/>
    <cellStyle name="Moneda 7 5 2 5 2" xfId="2390" xr:uid="{E60C31B2-A056-405A-B51F-F4E9775E4E5D}"/>
    <cellStyle name="Moneda 7 5 2 6" xfId="2391" xr:uid="{32CDE4D0-933C-4D44-9EA0-31A12BA7AAC0}"/>
    <cellStyle name="Moneda 7 5 3" xfId="2392" xr:uid="{F4D3CE0C-EC3E-486B-AF6A-E79FD35A90D1}"/>
    <cellStyle name="Moneda 7 5 3 2" xfId="2393" xr:uid="{87A70524-B9D8-4367-B1A3-38389751CF0D}"/>
    <cellStyle name="Moneda 7 5 3 2 2" xfId="2394" xr:uid="{FC573F5A-C101-4E7A-AE04-818D3F2193CF}"/>
    <cellStyle name="Moneda 7 5 3 3" xfId="2395" xr:uid="{A6D5415D-5512-470C-9BFD-3B3A2789D5FA}"/>
    <cellStyle name="Moneda 7 5 3 3 2" xfId="2396" xr:uid="{A7B62072-9292-4A40-A76C-7219DE17ABAC}"/>
    <cellStyle name="Moneda 7 5 3 4" xfId="2397" xr:uid="{74A89FB9-76B1-4E3B-A6BC-8BA590126215}"/>
    <cellStyle name="Moneda 7 5 3 4 2" xfId="2398" xr:uid="{DB8D166D-5811-4AB2-A48D-CB71E148B43D}"/>
    <cellStyle name="Moneda 7 5 3 5" xfId="2399" xr:uid="{4F0E4B81-67A1-47BF-ACB7-5DC524903DF3}"/>
    <cellStyle name="Moneda 7 5 4" xfId="2400" xr:uid="{BA789675-C829-4A68-9653-CB5F6D7DCA96}"/>
    <cellStyle name="Moneda 7 5 4 2" xfId="2401" xr:uid="{2BB1673A-C7B8-4408-890D-25E5BADBF500}"/>
    <cellStyle name="Moneda 7 5 5" xfId="2402" xr:uid="{02AD24D3-0F1D-42CE-A52E-527A3D7EDD10}"/>
    <cellStyle name="Moneda 7 5 5 2" xfId="2403" xr:uid="{9042FFDB-AD18-4799-A730-21093840A5EB}"/>
    <cellStyle name="Moneda 7 5 6" xfId="2404" xr:uid="{4FF1D0B7-9E37-4DCF-8D20-1927AC806252}"/>
    <cellStyle name="Moneda 7 5 6 2" xfId="2405" xr:uid="{5B726D88-0709-4D7F-A075-2AEA987F5BDD}"/>
    <cellStyle name="Moneda 7 5 7" xfId="2406" xr:uid="{57A0B0BB-4B6A-402F-8343-C29A69E507C2}"/>
    <cellStyle name="Moneda 7 6" xfId="2407" xr:uid="{191A0454-8EC9-48B4-AC84-0E39DEA3941D}"/>
    <cellStyle name="Moneda 7 6 2" xfId="2408" xr:uid="{35EE1050-0878-46C0-941F-AED813C3D750}"/>
    <cellStyle name="Moneda 7 6 2 2" xfId="2409" xr:uid="{E1A2DE31-2270-4FCD-ABE6-DADD02792702}"/>
    <cellStyle name="Moneda 7 6 2 2 2" xfId="2410" xr:uid="{7C137668-D75A-4C15-BBFC-A62ECD6E8F57}"/>
    <cellStyle name="Moneda 7 6 2 3" xfId="2411" xr:uid="{87289B79-6ACF-4B57-BF12-ABFAF9E9180F}"/>
    <cellStyle name="Moneda 7 6 2 3 2" xfId="2412" xr:uid="{4A57E8BA-29E8-418B-AAFA-AF2009FB4931}"/>
    <cellStyle name="Moneda 7 6 2 4" xfId="2413" xr:uid="{746212E4-2A4F-4F12-8B43-0286E6541712}"/>
    <cellStyle name="Moneda 7 6 2 4 2" xfId="2414" xr:uid="{6508CA54-E3C5-4A9A-865B-F0AF43F78D7D}"/>
    <cellStyle name="Moneda 7 6 2 5" xfId="2415" xr:uid="{D5312A77-3B78-473A-A0AF-ACA295E91EA1}"/>
    <cellStyle name="Moneda 7 6 3" xfId="2416" xr:uid="{BA66355A-AF97-4D8D-82C7-60E8F775B30E}"/>
    <cellStyle name="Moneda 7 6 3 2" xfId="2417" xr:uid="{9A33E5F3-5A2C-4916-B8EF-9FFABFDD4F3C}"/>
    <cellStyle name="Moneda 7 6 4" xfId="2418" xr:uid="{57A234D4-7384-4935-AA83-5737EC496C1F}"/>
    <cellStyle name="Moneda 7 6 4 2" xfId="2419" xr:uid="{DDCE6830-64B0-43D0-98B2-C61E6362A2F2}"/>
    <cellStyle name="Moneda 7 6 5" xfId="2420" xr:uid="{10232620-7553-44C6-8827-69259F042879}"/>
    <cellStyle name="Moneda 7 6 5 2" xfId="2421" xr:uid="{94BBE8B5-9F6F-4CB6-B53C-65D1953F68D3}"/>
    <cellStyle name="Moneda 7 6 6" xfId="2422" xr:uid="{F5BEB009-2915-4B11-96C6-43B4C416B5FB}"/>
    <cellStyle name="Moneda 7 7" xfId="2423" xr:uid="{86A11921-3EEA-46A9-A588-7D0A2BF62625}"/>
    <cellStyle name="Moneda 7 7 2" xfId="2424" xr:uid="{847BE444-7EC0-4FB9-AEC8-1DB2417B5D52}"/>
    <cellStyle name="Moneda 7 7 2 2" xfId="2425" xr:uid="{67E4FCBB-2E10-49E0-9F34-F98A22CEE4D8}"/>
    <cellStyle name="Moneda 7 7 3" xfId="2426" xr:uid="{657F2C51-E258-4ECE-9EA2-ECC5D1CDC35D}"/>
    <cellStyle name="Moneda 7 7 3 2" xfId="2427" xr:uid="{0EBC38C4-3FD5-4489-8970-29FBBFD75CBE}"/>
    <cellStyle name="Moneda 7 7 4" xfId="2428" xr:uid="{2391EF07-6B30-4EB1-B5A9-B2E47885AF6A}"/>
    <cellStyle name="Moneda 7 7 4 2" xfId="2429" xr:uid="{2893D3C8-026E-40AD-BA8A-B6715695F2B1}"/>
    <cellStyle name="Moneda 7 7 5" xfId="2430" xr:uid="{E7638600-ABE7-4E7D-BF6C-E595907DB085}"/>
    <cellStyle name="Moneda 7 8" xfId="2431" xr:uid="{CBE1F2BD-67D7-4963-88A1-9D418C4AA563}"/>
    <cellStyle name="Moneda 7 8 2" xfId="2432" xr:uid="{918D2FEB-1287-4E3C-98EF-868F49B8FEDB}"/>
    <cellStyle name="Moneda 7 9" xfId="2433" xr:uid="{8F0A20AE-F9E6-480A-8CCB-46736BE14527}"/>
    <cellStyle name="Moneda 7 9 2" xfId="2434" xr:uid="{7C7A67A3-798C-4B0A-BD14-76F03FFBFAD3}"/>
    <cellStyle name="Moneda 8" xfId="2435" xr:uid="{07320C59-61D7-4AF4-954A-CEFEC69E563D}"/>
    <cellStyle name="Moneda 8 10" xfId="2436" xr:uid="{438E12DA-D4F7-4EBE-A888-12A5D4A0D1BF}"/>
    <cellStyle name="Moneda 8 10 2" xfId="2437" xr:uid="{6850A060-995A-4781-A236-CF9F865A686D}"/>
    <cellStyle name="Moneda 8 11" xfId="2438" xr:uid="{4EDF6DB7-C5E0-47F4-813E-DD2B6023CA2F}"/>
    <cellStyle name="Moneda 8 11 2" xfId="2439" xr:uid="{AC485758-3D08-4428-AE18-5CC297153AE0}"/>
    <cellStyle name="Moneda 8 12" xfId="2440" xr:uid="{666B066B-D485-43E7-9983-83983E4679DB}"/>
    <cellStyle name="Moneda 8 13" xfId="2441" xr:uid="{A55EFA53-296F-423A-8FBA-81C5A6A743F3}"/>
    <cellStyle name="Moneda 8 2" xfId="2442" xr:uid="{5FBCABB2-BE48-4AB3-883C-7EB83E6AC2AA}"/>
    <cellStyle name="Moneda 8 2 10" xfId="2443" xr:uid="{6BFF3D08-2DCB-4EB1-9D3D-AAEFDEFE0A51}"/>
    <cellStyle name="Moneda 8 2 11" xfId="2444" xr:uid="{978CD9EF-84E1-454F-BBE6-6FC5EBFFE925}"/>
    <cellStyle name="Moneda 8 2 2" xfId="2445" xr:uid="{97295F1F-D6B9-4DD0-BE1D-AD0E26C7F575}"/>
    <cellStyle name="Moneda 8 2 2 2" xfId="2446" xr:uid="{13967557-700D-4F4C-BE83-FDFDE2A80AEC}"/>
    <cellStyle name="Moneda 8 2 2 2 2" xfId="2447" xr:uid="{73C4EB61-0177-4AB5-A1B4-E4DD68F5AFE9}"/>
    <cellStyle name="Moneda 8 2 2 2 2 2" xfId="2448" xr:uid="{F0B28F6A-D980-4037-9EEB-2153384FE818}"/>
    <cellStyle name="Moneda 8 2 2 2 2 2 2" xfId="2449" xr:uid="{EDEDFDFF-CDBF-4819-A7DD-9B92A388F500}"/>
    <cellStyle name="Moneda 8 2 2 2 2 3" xfId="2450" xr:uid="{6E8D6CD5-E232-41FF-8E35-D142859D3811}"/>
    <cellStyle name="Moneda 8 2 2 2 2 3 2" xfId="2451" xr:uid="{0074BF8D-F6AC-4D39-856D-6B4CD66BBC51}"/>
    <cellStyle name="Moneda 8 2 2 2 2 4" xfId="2452" xr:uid="{0DBB5FA2-14F7-4295-8192-C5DEFA76B460}"/>
    <cellStyle name="Moneda 8 2 2 2 2 4 2" xfId="2453" xr:uid="{2C0D0F61-A5E7-4A4E-A167-232915DA4F00}"/>
    <cellStyle name="Moneda 8 2 2 2 2 5" xfId="2454" xr:uid="{3DE3E504-82DD-449A-BB51-0F8694E243EE}"/>
    <cellStyle name="Moneda 8 2 2 2 3" xfId="2455" xr:uid="{796069AD-F754-44B5-9B69-739F9649EAF6}"/>
    <cellStyle name="Moneda 8 2 2 2 3 2" xfId="2456" xr:uid="{2BD3FB13-31E8-474F-91A4-C1A7DB34884E}"/>
    <cellStyle name="Moneda 8 2 2 2 4" xfId="2457" xr:uid="{F24D5997-27E0-40E7-A422-346238E2D733}"/>
    <cellStyle name="Moneda 8 2 2 2 4 2" xfId="2458" xr:uid="{2C3A9C2B-0AC3-46C6-8AC4-4BE9D44A1332}"/>
    <cellStyle name="Moneda 8 2 2 2 5" xfId="2459" xr:uid="{A6CABF8C-58AA-415A-8B6A-982F8EC9EE2F}"/>
    <cellStyle name="Moneda 8 2 2 2 5 2" xfId="2460" xr:uid="{37EE8D1C-255B-4E0E-B57C-E4AB29BC1FE3}"/>
    <cellStyle name="Moneda 8 2 2 2 6" xfId="2461" xr:uid="{5A3A51C7-D2B3-44C0-85DB-B68B60471611}"/>
    <cellStyle name="Moneda 8 2 2 3" xfId="2462" xr:uid="{1A9C5D84-E811-4399-BC7F-3BA1BF230F03}"/>
    <cellStyle name="Moneda 8 2 2 3 2" xfId="2463" xr:uid="{EEE6DCD0-96D1-497D-B1DD-97D700DE644B}"/>
    <cellStyle name="Moneda 8 2 2 3 2 2" xfId="2464" xr:uid="{55F45C24-1305-4D91-9852-B9B95CCD2AC4}"/>
    <cellStyle name="Moneda 8 2 2 3 3" xfId="2465" xr:uid="{8FE82998-D951-4A87-BAE2-57885AB9B39C}"/>
    <cellStyle name="Moneda 8 2 2 3 3 2" xfId="2466" xr:uid="{663DBF02-6753-4703-934B-9B3A26548AED}"/>
    <cellStyle name="Moneda 8 2 2 3 4" xfId="2467" xr:uid="{2A6F5CF3-2BFA-4636-9F21-B452B2A04CD2}"/>
    <cellStyle name="Moneda 8 2 2 3 4 2" xfId="2468" xr:uid="{66404CBA-5310-468E-AA4C-B0142188E006}"/>
    <cellStyle name="Moneda 8 2 2 3 5" xfId="2469" xr:uid="{788C49F4-1781-402E-8A95-0A8D218745F0}"/>
    <cellStyle name="Moneda 8 2 2 4" xfId="2470" xr:uid="{268E9E7D-88E5-460F-BD57-8C4BD3953E0E}"/>
    <cellStyle name="Moneda 8 2 2 4 2" xfId="2471" xr:uid="{6F7DCDE8-275A-4F2B-8406-A5DBB4FFB62C}"/>
    <cellStyle name="Moneda 8 2 2 5" xfId="2472" xr:uid="{FB0FE0D7-1A7F-4481-A187-241311950F40}"/>
    <cellStyle name="Moneda 8 2 2 5 2" xfId="2473" xr:uid="{01049319-864E-46E6-B765-898287D83743}"/>
    <cellStyle name="Moneda 8 2 2 6" xfId="2474" xr:uid="{FEC63D8E-FD78-4DBF-9856-E03D52BD63FF}"/>
    <cellStyle name="Moneda 8 2 2 6 2" xfId="2475" xr:uid="{5178DDA9-55C9-4D32-86BD-9F59441DB667}"/>
    <cellStyle name="Moneda 8 2 2 7" xfId="2476" xr:uid="{B4CA7715-0F85-4D07-9456-FDC1212FF3BA}"/>
    <cellStyle name="Moneda 8 2 3" xfId="2477" xr:uid="{26AE5DCB-DC17-417B-A730-3E07AC6FF254}"/>
    <cellStyle name="Moneda 8 2 3 2" xfId="2478" xr:uid="{1B503D96-A158-4989-91C9-E6E53DF727FD}"/>
    <cellStyle name="Moneda 8 2 3 2 2" xfId="2479" xr:uid="{3BC10275-A8E0-4FE8-A298-4310CA30E2BD}"/>
    <cellStyle name="Moneda 8 2 3 2 2 2" xfId="2480" xr:uid="{EC771E5C-FBA4-47D4-A1C6-F451F9CD5448}"/>
    <cellStyle name="Moneda 8 2 3 2 2 2 2" xfId="2481" xr:uid="{F0833AA6-0B18-4A9D-ACAC-E960FB8DE35E}"/>
    <cellStyle name="Moneda 8 2 3 2 2 3" xfId="2482" xr:uid="{22D50633-2E9F-420E-A30D-F60FC9BFAC0C}"/>
    <cellStyle name="Moneda 8 2 3 2 2 3 2" xfId="2483" xr:uid="{BFB09B48-16A3-4C14-A99F-0CF048501A87}"/>
    <cellStyle name="Moneda 8 2 3 2 2 4" xfId="2484" xr:uid="{560BEFE1-FAC3-45EE-9829-A93E4580517F}"/>
    <cellStyle name="Moneda 8 2 3 2 2 4 2" xfId="2485" xr:uid="{03D48EC9-31FE-4C0B-B106-C6119AEC6A7B}"/>
    <cellStyle name="Moneda 8 2 3 2 2 5" xfId="2486" xr:uid="{C36B6C9B-5C86-46C2-A2A5-301FA250BB34}"/>
    <cellStyle name="Moneda 8 2 3 2 3" xfId="2487" xr:uid="{275FDEAB-1B97-4F84-A607-32B98B0286D8}"/>
    <cellStyle name="Moneda 8 2 3 2 3 2" xfId="2488" xr:uid="{95BCF301-D86B-4633-8DEF-4B31EE0A53CF}"/>
    <cellStyle name="Moneda 8 2 3 2 4" xfId="2489" xr:uid="{0438D3D9-5618-4997-8A69-CF2A52A8F895}"/>
    <cellStyle name="Moneda 8 2 3 2 4 2" xfId="2490" xr:uid="{982C4D7B-8A9A-4CF5-B171-34C6803625BC}"/>
    <cellStyle name="Moneda 8 2 3 2 5" xfId="2491" xr:uid="{DB805637-99BB-400F-964B-D7D8BB6A501F}"/>
    <cellStyle name="Moneda 8 2 3 2 5 2" xfId="2492" xr:uid="{DDBE8B87-7F0C-4335-A9F1-531C48E3AE6B}"/>
    <cellStyle name="Moneda 8 2 3 2 6" xfId="2493" xr:uid="{43CCBC1E-5F8C-4931-B4F1-1A403B46764D}"/>
    <cellStyle name="Moneda 8 2 3 3" xfId="2494" xr:uid="{5D73FFC6-1256-40DE-B9B7-11ACD5D9ABC8}"/>
    <cellStyle name="Moneda 8 2 3 3 2" xfId="2495" xr:uid="{C28BC3D6-ECC9-4D94-B424-FDD6EF7B8966}"/>
    <cellStyle name="Moneda 8 2 3 3 2 2" xfId="2496" xr:uid="{8578F49C-19EA-49FE-9D10-B386E3FB1C6B}"/>
    <cellStyle name="Moneda 8 2 3 3 3" xfId="2497" xr:uid="{7FE2870C-00FB-4808-AEF1-E73268ADD059}"/>
    <cellStyle name="Moneda 8 2 3 3 3 2" xfId="2498" xr:uid="{BE4639A1-9DBF-4D04-96F0-60401482CD8F}"/>
    <cellStyle name="Moneda 8 2 3 3 4" xfId="2499" xr:uid="{A964A442-63C8-4E8A-A243-5DC8AF1D9255}"/>
    <cellStyle name="Moneda 8 2 3 3 4 2" xfId="2500" xr:uid="{96FB8AE3-CE70-4BAC-ACC6-87D976CC9DB2}"/>
    <cellStyle name="Moneda 8 2 3 3 5" xfId="2501" xr:uid="{C6B2EF60-741D-4E3B-B7D5-D09F5072EF8C}"/>
    <cellStyle name="Moneda 8 2 3 4" xfId="2502" xr:uid="{9531DA5F-CD74-4B65-BA9C-464C4D47A589}"/>
    <cellStyle name="Moneda 8 2 3 4 2" xfId="2503" xr:uid="{AD98FF96-D644-414D-9309-8A5F94454258}"/>
    <cellStyle name="Moneda 8 2 3 5" xfId="2504" xr:uid="{1A5C2B8B-1ECA-49CF-A010-77C7CB8283F6}"/>
    <cellStyle name="Moneda 8 2 3 5 2" xfId="2505" xr:uid="{09BCB1AF-790C-46D8-B60D-9D18D8602B85}"/>
    <cellStyle name="Moneda 8 2 3 6" xfId="2506" xr:uid="{36151F13-FA92-4B6A-8F69-D6B4318D3F1C}"/>
    <cellStyle name="Moneda 8 2 3 6 2" xfId="2507" xr:uid="{C5890885-8C7A-481B-8065-0EB0B788956F}"/>
    <cellStyle name="Moneda 8 2 3 7" xfId="2508" xr:uid="{030FA4BD-6D04-4628-9652-D088D92906C8}"/>
    <cellStyle name="Moneda 8 2 4" xfId="2509" xr:uid="{52E12135-B292-4140-9427-1679EF110979}"/>
    <cellStyle name="Moneda 8 2 4 2" xfId="2510" xr:uid="{4FF3D5B9-E913-4F20-A057-8260133A523C}"/>
    <cellStyle name="Moneda 8 2 4 2 2" xfId="2511" xr:uid="{CD21B363-97F1-4D30-9B4A-125A5E730DEF}"/>
    <cellStyle name="Moneda 8 2 4 2 2 2" xfId="2512" xr:uid="{F9E1BB52-847B-4671-BC26-54747C035C7E}"/>
    <cellStyle name="Moneda 8 2 4 2 2 2 2" xfId="2513" xr:uid="{01A9D6D8-BA46-4CA6-AED5-D3022FD4BC6C}"/>
    <cellStyle name="Moneda 8 2 4 2 2 3" xfId="2514" xr:uid="{E3921496-1DBF-4F60-9923-327E4BF5590C}"/>
    <cellStyle name="Moneda 8 2 4 2 2 3 2" xfId="2515" xr:uid="{E65E4B0E-6160-4D9A-84A8-5CBECCC16472}"/>
    <cellStyle name="Moneda 8 2 4 2 2 4" xfId="2516" xr:uid="{01C809C9-8F05-4C9C-84B8-451FE3D700CA}"/>
    <cellStyle name="Moneda 8 2 4 2 2 4 2" xfId="2517" xr:uid="{8DC99DBE-0DA0-4904-9B41-BF16ADF0EE18}"/>
    <cellStyle name="Moneda 8 2 4 2 2 5" xfId="2518" xr:uid="{DE02EBDD-A4B3-4D8E-BC44-3D67A114D24B}"/>
    <cellStyle name="Moneda 8 2 4 2 3" xfId="2519" xr:uid="{BC2D014A-A953-4446-9A04-1EE4A05A3A42}"/>
    <cellStyle name="Moneda 8 2 4 2 3 2" xfId="2520" xr:uid="{081F6315-3D1C-491D-8E03-B8B0A08D01A9}"/>
    <cellStyle name="Moneda 8 2 4 2 4" xfId="2521" xr:uid="{99154FD7-DBAE-4C98-BD19-26EA9EF4F702}"/>
    <cellStyle name="Moneda 8 2 4 2 4 2" xfId="2522" xr:uid="{5176530D-BA06-41C0-837B-64856644C276}"/>
    <cellStyle name="Moneda 8 2 4 2 5" xfId="2523" xr:uid="{F58EE955-18C5-4851-8198-DB064B792ABB}"/>
    <cellStyle name="Moneda 8 2 4 2 5 2" xfId="2524" xr:uid="{3E559F95-E932-40C2-B4CA-1E3B02159916}"/>
    <cellStyle name="Moneda 8 2 4 2 6" xfId="2525" xr:uid="{E89E4AC8-8FD2-4CF0-AE94-01803F96DBB6}"/>
    <cellStyle name="Moneda 8 2 4 3" xfId="2526" xr:uid="{EA57BA18-5EDC-4F4A-A670-A25D0265DF8F}"/>
    <cellStyle name="Moneda 8 2 4 3 2" xfId="2527" xr:uid="{0B2A9526-C94C-4040-A600-95BAAD3CB7F7}"/>
    <cellStyle name="Moneda 8 2 4 3 2 2" xfId="2528" xr:uid="{DCCC03DE-20EC-47C5-969B-E3D1AC31A083}"/>
    <cellStyle name="Moneda 8 2 4 3 3" xfId="2529" xr:uid="{9DEEFE49-B84A-40B3-AB4D-A4355AE39423}"/>
    <cellStyle name="Moneda 8 2 4 3 3 2" xfId="2530" xr:uid="{3A5D09F0-91AB-47F9-9FDE-FD62EE400EE7}"/>
    <cellStyle name="Moneda 8 2 4 3 4" xfId="2531" xr:uid="{52EAB092-D615-434B-9D3F-3631CF32F9AA}"/>
    <cellStyle name="Moneda 8 2 4 3 4 2" xfId="2532" xr:uid="{4AB77B84-9D1E-42E9-9FAF-6315F353A4E2}"/>
    <cellStyle name="Moneda 8 2 4 3 5" xfId="2533" xr:uid="{CA6F990A-10B8-42FA-9E70-35664CAE234C}"/>
    <cellStyle name="Moneda 8 2 4 4" xfId="2534" xr:uid="{8EB10172-BF65-404C-8886-FC3DC5964275}"/>
    <cellStyle name="Moneda 8 2 4 4 2" xfId="2535" xr:uid="{6AE8FEAA-EA70-48BD-B40A-8A826A232DA8}"/>
    <cellStyle name="Moneda 8 2 4 5" xfId="2536" xr:uid="{7C2089E8-3ADA-4CE5-9A18-96D0A2D223AA}"/>
    <cellStyle name="Moneda 8 2 4 5 2" xfId="2537" xr:uid="{C91EF1BD-5ABD-4DB9-8AC0-7C3CAFF2F3CC}"/>
    <cellStyle name="Moneda 8 2 4 6" xfId="2538" xr:uid="{9DFC8034-0DAD-442E-BCD3-423D1512E4DD}"/>
    <cellStyle name="Moneda 8 2 4 6 2" xfId="2539" xr:uid="{6C1739D4-E639-41A5-A21E-9EA62318E20B}"/>
    <cellStyle name="Moneda 8 2 4 7" xfId="2540" xr:uid="{3D41AC81-E4F7-4D17-B44B-116BD058F98D}"/>
    <cellStyle name="Moneda 8 2 5" xfId="2541" xr:uid="{22804FCA-3182-499B-87C9-B5A42EDDDFD7}"/>
    <cellStyle name="Moneda 8 2 5 2" xfId="2542" xr:uid="{743940C0-F99E-4D99-B4D4-CB75AE5D4420}"/>
    <cellStyle name="Moneda 8 2 5 2 2" xfId="2543" xr:uid="{84B877CA-8D94-4715-86E6-93D5A121A6F4}"/>
    <cellStyle name="Moneda 8 2 5 2 2 2" xfId="2544" xr:uid="{D396BB63-FF51-47F8-AA85-84E1C9132945}"/>
    <cellStyle name="Moneda 8 2 5 2 3" xfId="2545" xr:uid="{65F948D1-0F91-4D81-917B-10363F747615}"/>
    <cellStyle name="Moneda 8 2 5 2 3 2" xfId="2546" xr:uid="{7076F33C-6B21-4F0E-829C-C41164A6DE30}"/>
    <cellStyle name="Moneda 8 2 5 2 4" xfId="2547" xr:uid="{ADA8194B-19AE-4ABC-927E-DEEE2DADBCC9}"/>
    <cellStyle name="Moneda 8 2 5 2 4 2" xfId="2548" xr:uid="{5EB8A128-741B-497A-B97F-6668686818A4}"/>
    <cellStyle name="Moneda 8 2 5 2 5" xfId="2549" xr:uid="{F5A4092D-990C-4947-81E3-41F7245AC2A3}"/>
    <cellStyle name="Moneda 8 2 5 3" xfId="2550" xr:uid="{7EF0E915-0381-42F8-B427-47C15187D09F}"/>
    <cellStyle name="Moneda 8 2 5 3 2" xfId="2551" xr:uid="{9FA9EB25-A715-4656-902B-8734BC651554}"/>
    <cellStyle name="Moneda 8 2 5 4" xfId="2552" xr:uid="{0472ECE8-5040-47F7-93EA-9044E1BD1371}"/>
    <cellStyle name="Moneda 8 2 5 4 2" xfId="2553" xr:uid="{FFE61C89-6C27-432D-A680-778FB788E461}"/>
    <cellStyle name="Moneda 8 2 5 5" xfId="2554" xr:uid="{62C0747A-BE56-4B3B-9C1E-EACB89F83F62}"/>
    <cellStyle name="Moneda 8 2 5 5 2" xfId="2555" xr:uid="{3289DEC2-16A2-49C1-B062-B181E8C01F1D}"/>
    <cellStyle name="Moneda 8 2 5 6" xfId="2556" xr:uid="{B819CA8F-F6CD-4D22-8EE8-6079277E0071}"/>
    <cellStyle name="Moneda 8 2 6" xfId="2557" xr:uid="{29841D9F-A16E-4B6A-BF91-B3C4BB62D1C9}"/>
    <cellStyle name="Moneda 8 2 6 2" xfId="2558" xr:uid="{6B6B6EA8-CA66-43A4-80D2-9582ECE6FE4A}"/>
    <cellStyle name="Moneda 8 2 6 2 2" xfId="2559" xr:uid="{98A4902D-5B11-4BEB-8D96-1D168A6AA2AF}"/>
    <cellStyle name="Moneda 8 2 6 3" xfId="2560" xr:uid="{B3BE12B7-025C-4161-BEC0-B0DAE789CBFE}"/>
    <cellStyle name="Moneda 8 2 6 3 2" xfId="2561" xr:uid="{B9FDB6CA-1E57-4869-85DC-6A222F025447}"/>
    <cellStyle name="Moneda 8 2 6 4" xfId="2562" xr:uid="{7D031782-B6F0-422D-ACE3-0074EC95B23A}"/>
    <cellStyle name="Moneda 8 2 6 4 2" xfId="2563" xr:uid="{ACFFFB69-6975-4FE0-BCD5-96661498B59B}"/>
    <cellStyle name="Moneda 8 2 6 5" xfId="2564" xr:uid="{D085F935-AEFE-4E3F-A5A4-9049FD8FBDF3}"/>
    <cellStyle name="Moneda 8 2 7" xfId="2565" xr:uid="{6E7170AF-94ED-4556-9AC9-AC5E0284CF88}"/>
    <cellStyle name="Moneda 8 2 7 2" xfId="2566" xr:uid="{9B591DBA-7F53-450C-B9A0-7654148736EC}"/>
    <cellStyle name="Moneda 8 2 8" xfId="2567" xr:uid="{810426E3-EA92-4EE5-9989-62C211DFCAE2}"/>
    <cellStyle name="Moneda 8 2 8 2" xfId="2568" xr:uid="{FBE91575-39C2-40EC-922E-AE68B814FF6B}"/>
    <cellStyle name="Moneda 8 2 9" xfId="2569" xr:uid="{9E7A72FA-BFD6-4A6D-9A47-8D3DD45BEEB2}"/>
    <cellStyle name="Moneda 8 2 9 2" xfId="2570" xr:uid="{46484C17-2941-4DD7-ADDF-B41359E14D71}"/>
    <cellStyle name="Moneda 8 3" xfId="2571" xr:uid="{8C94458E-E308-48D0-BF85-7EDA4AD33EF1}"/>
    <cellStyle name="Moneda 8 3 2" xfId="2572" xr:uid="{941B558E-C6D2-4DD7-B764-5D77FE4B8D56}"/>
    <cellStyle name="Moneda 8 3 2 2" xfId="2573" xr:uid="{BFE425A4-6E9E-40D2-9A34-C38A0D241CE4}"/>
    <cellStyle name="Moneda 8 3 2 2 2" xfId="2574" xr:uid="{C1D492EF-FE5A-4075-AC94-BF842BDD0D71}"/>
    <cellStyle name="Moneda 8 3 2 2 2 2" xfId="2575" xr:uid="{244DB2D2-B66F-4BF7-8646-C1FABE6F2E99}"/>
    <cellStyle name="Moneda 8 3 2 2 3" xfId="2576" xr:uid="{2E843735-B07B-44B9-B6D8-99FA95C50373}"/>
    <cellStyle name="Moneda 8 3 2 2 3 2" xfId="2577" xr:uid="{B3B2399E-B6CC-4F96-84EF-6AAC11FB2F5C}"/>
    <cellStyle name="Moneda 8 3 2 2 4" xfId="2578" xr:uid="{F9298E8B-6B49-4BDE-9E7A-2FE2EB90B895}"/>
    <cellStyle name="Moneda 8 3 2 2 4 2" xfId="2579" xr:uid="{E172EE40-072D-4F4E-BD12-0987EFABD921}"/>
    <cellStyle name="Moneda 8 3 2 2 5" xfId="2580" xr:uid="{BE834A5D-474F-43FF-84B4-6F850DE926E2}"/>
    <cellStyle name="Moneda 8 3 2 3" xfId="2581" xr:uid="{62B8E612-8E1A-4D80-88EA-CE218E85F089}"/>
    <cellStyle name="Moneda 8 3 2 3 2" xfId="2582" xr:uid="{835479F8-CD42-4FEC-9945-74752621D465}"/>
    <cellStyle name="Moneda 8 3 2 4" xfId="2583" xr:uid="{C92E0BC8-13AC-4A42-85A1-E6AA1AE9B556}"/>
    <cellStyle name="Moneda 8 3 2 4 2" xfId="2584" xr:uid="{F719EAC3-22E9-47A4-9F4F-3FC7FDC2CFF8}"/>
    <cellStyle name="Moneda 8 3 2 5" xfId="2585" xr:uid="{80249E23-11F2-4990-A5E9-60F9CD033585}"/>
    <cellStyle name="Moneda 8 3 2 5 2" xfId="2586" xr:uid="{BD412724-C0AB-4F86-AC2B-F33160424CDA}"/>
    <cellStyle name="Moneda 8 3 2 6" xfId="2587" xr:uid="{68125558-E8F7-4A95-B1EC-B1CF45D7920A}"/>
    <cellStyle name="Moneda 8 3 3" xfId="2588" xr:uid="{01E2E26D-5C1E-4FDE-A7AE-BC99CB91EA07}"/>
    <cellStyle name="Moneda 8 3 3 2" xfId="2589" xr:uid="{385DFA80-C8D3-4737-846F-720E373F3BD1}"/>
    <cellStyle name="Moneda 8 3 3 2 2" xfId="2590" xr:uid="{C31BC3DF-1BEF-407C-91D9-28BB32A9E792}"/>
    <cellStyle name="Moneda 8 3 3 3" xfId="2591" xr:uid="{CB90EDE8-AB47-4BE4-B236-0F5E3818A7BC}"/>
    <cellStyle name="Moneda 8 3 3 3 2" xfId="2592" xr:uid="{2DFFEEBD-0A60-4E4D-AB5A-9F97ECE32DB3}"/>
    <cellStyle name="Moneda 8 3 3 4" xfId="2593" xr:uid="{052142A5-5414-402D-B193-4E690D7CD08C}"/>
    <cellStyle name="Moneda 8 3 3 4 2" xfId="2594" xr:uid="{24310819-79C9-496C-91B3-11F17ABD4514}"/>
    <cellStyle name="Moneda 8 3 3 5" xfId="2595" xr:uid="{FFFFB214-68A1-4735-96DC-3CDC48BDCE40}"/>
    <cellStyle name="Moneda 8 3 4" xfId="2596" xr:uid="{D458978F-A0D9-4673-A8A3-3ADBEA5932CB}"/>
    <cellStyle name="Moneda 8 3 4 2" xfId="2597" xr:uid="{F0B40F52-BE20-41B1-8360-ABA24D98E0EB}"/>
    <cellStyle name="Moneda 8 3 5" xfId="2598" xr:uid="{D012CF0E-9896-4BEA-8BDB-BD719E7F426F}"/>
    <cellStyle name="Moneda 8 3 5 2" xfId="2599" xr:uid="{59C97E75-8708-4995-BC56-CA1A5C90684A}"/>
    <cellStyle name="Moneda 8 3 6" xfId="2600" xr:uid="{1393E4FB-9B85-4D36-A3E4-68C68CD3442F}"/>
    <cellStyle name="Moneda 8 3 6 2" xfId="2601" xr:uid="{1C0B6A4D-3601-4812-8C69-81A1BF911887}"/>
    <cellStyle name="Moneda 8 3 7" xfId="2602" xr:uid="{0FC3455E-6F33-40BC-B450-52ABE0FD78DD}"/>
    <cellStyle name="Moneda 8 4" xfId="2603" xr:uid="{DD316D69-333B-4FF5-A32D-7AAAEF4DFC57}"/>
    <cellStyle name="Moneda 8 4 2" xfId="2604" xr:uid="{7BAA285D-50FE-4416-ACBA-D4C91A91E01D}"/>
    <cellStyle name="Moneda 8 4 2 2" xfId="2605" xr:uid="{9FD79824-B2AC-44BC-960B-F8B6FB9D2D98}"/>
    <cellStyle name="Moneda 8 4 2 2 2" xfId="2606" xr:uid="{EA775E51-BD2B-4D1B-BE0C-319BACC907DF}"/>
    <cellStyle name="Moneda 8 4 2 2 2 2" xfId="2607" xr:uid="{9845BB88-2F75-47D6-BE45-314BA0D97374}"/>
    <cellStyle name="Moneda 8 4 2 2 3" xfId="2608" xr:uid="{4CAAC411-B134-49C9-9BFB-3B65B680BCF8}"/>
    <cellStyle name="Moneda 8 4 2 2 3 2" xfId="2609" xr:uid="{5DC762AE-F4F1-4CEC-A2F6-D600933AB636}"/>
    <cellStyle name="Moneda 8 4 2 2 4" xfId="2610" xr:uid="{4AD8DBB1-9CB4-49E3-B906-5F6DFBB41D6E}"/>
    <cellStyle name="Moneda 8 4 2 2 4 2" xfId="2611" xr:uid="{7E444B67-E170-485D-BE8A-A040B56E7DEC}"/>
    <cellStyle name="Moneda 8 4 2 2 5" xfId="2612" xr:uid="{6155321F-7D33-441B-9705-5D70FFFC456F}"/>
    <cellStyle name="Moneda 8 4 2 3" xfId="2613" xr:uid="{B9F28502-571C-44A6-A899-B5162152EA85}"/>
    <cellStyle name="Moneda 8 4 2 3 2" xfId="2614" xr:uid="{8A2AEE8A-1FB6-4142-8DFD-C633153F4E7E}"/>
    <cellStyle name="Moneda 8 4 2 4" xfId="2615" xr:uid="{C2D69CB1-36A9-4196-82CE-3DD4A917C13C}"/>
    <cellStyle name="Moneda 8 4 2 4 2" xfId="2616" xr:uid="{5AE47838-A609-479C-B412-07B2BF9401C1}"/>
    <cellStyle name="Moneda 8 4 2 5" xfId="2617" xr:uid="{9E06D2C6-8AF5-4606-934C-7E8CCC4329C3}"/>
    <cellStyle name="Moneda 8 4 2 5 2" xfId="2618" xr:uid="{869CF82F-E322-441F-840C-A665ABAD9C15}"/>
    <cellStyle name="Moneda 8 4 2 6" xfId="2619" xr:uid="{22A8896C-9B38-4935-A469-9226637F88C4}"/>
    <cellStyle name="Moneda 8 4 3" xfId="2620" xr:uid="{105586FA-2D7E-4525-83CF-AA413231BAEF}"/>
    <cellStyle name="Moneda 8 4 3 2" xfId="2621" xr:uid="{0B8A4811-84AF-4B73-9945-9230EF769C45}"/>
    <cellStyle name="Moneda 8 4 3 2 2" xfId="2622" xr:uid="{FED1333D-AF69-45D8-9196-7975BF3285F5}"/>
    <cellStyle name="Moneda 8 4 3 3" xfId="2623" xr:uid="{C52E39A1-6625-4C98-B4C2-9278D2381177}"/>
    <cellStyle name="Moneda 8 4 3 3 2" xfId="2624" xr:uid="{628AB620-B43B-45EF-AF58-EAF886CEBBCA}"/>
    <cellStyle name="Moneda 8 4 3 4" xfId="2625" xr:uid="{6B8D793A-1B58-4BE4-BD5D-6166AAA88AA9}"/>
    <cellStyle name="Moneda 8 4 3 4 2" xfId="2626" xr:uid="{4EE46DCE-664B-4A66-809C-6B818A9CDC89}"/>
    <cellStyle name="Moneda 8 4 3 5" xfId="2627" xr:uid="{E91933E6-1079-462E-BAED-452DF43E74D5}"/>
    <cellStyle name="Moneda 8 4 4" xfId="2628" xr:uid="{352701B9-D1AE-429B-AC42-1486DD9BDB76}"/>
    <cellStyle name="Moneda 8 4 4 2" xfId="2629" xr:uid="{4171AD15-A6DA-40AE-85CC-6AF86C9F2C61}"/>
    <cellStyle name="Moneda 8 4 5" xfId="2630" xr:uid="{B1D97133-4B48-499A-A1FE-2F1307872A2B}"/>
    <cellStyle name="Moneda 8 4 5 2" xfId="2631" xr:uid="{AC0FC205-9895-406D-8A89-76EB338B256F}"/>
    <cellStyle name="Moneda 8 4 6" xfId="2632" xr:uid="{73C9B8F1-4691-4821-9439-6A22CF49909E}"/>
    <cellStyle name="Moneda 8 4 6 2" xfId="2633" xr:uid="{C42BE771-D149-4889-AC2B-CDBB80C095C1}"/>
    <cellStyle name="Moneda 8 4 7" xfId="2634" xr:uid="{BE164AE5-D2D8-45A5-8620-26E751789AF6}"/>
    <cellStyle name="Moneda 8 5" xfId="2635" xr:uid="{B487E0E1-DBF5-4678-94F5-4AC95F201334}"/>
    <cellStyle name="Moneda 8 5 2" xfId="2636" xr:uid="{0AF6B8CB-76C5-4C1A-9C04-BB4872B22696}"/>
    <cellStyle name="Moneda 8 5 2 2" xfId="2637" xr:uid="{E525CC6A-1373-4FB9-9F75-1655C37D27B1}"/>
    <cellStyle name="Moneda 8 5 2 2 2" xfId="2638" xr:uid="{B4FA61D7-B8D2-47E7-B9C3-F7EB1A3F8460}"/>
    <cellStyle name="Moneda 8 5 2 2 2 2" xfId="2639" xr:uid="{2111C1A8-8CB4-4850-B6B3-FFE96DA2B695}"/>
    <cellStyle name="Moneda 8 5 2 2 3" xfId="2640" xr:uid="{DA51B896-FFEC-4AD0-A86D-F32A17E396F7}"/>
    <cellStyle name="Moneda 8 5 2 2 3 2" xfId="2641" xr:uid="{544CBAA3-CD01-498F-9D87-594C2F51C5E7}"/>
    <cellStyle name="Moneda 8 5 2 2 4" xfId="2642" xr:uid="{43B9C422-F9B8-46EF-AE42-467F851C43B6}"/>
    <cellStyle name="Moneda 8 5 2 2 4 2" xfId="2643" xr:uid="{D1423C35-806B-4FE6-8E9A-28E8D111A15B}"/>
    <cellStyle name="Moneda 8 5 2 2 5" xfId="2644" xr:uid="{FA41129A-744E-47A2-960C-76E0F1D0810C}"/>
    <cellStyle name="Moneda 8 5 2 3" xfId="2645" xr:uid="{4BF73970-ECDA-4BDA-B66A-AD4F1F9FB5EA}"/>
    <cellStyle name="Moneda 8 5 2 3 2" xfId="2646" xr:uid="{CF3891D7-8E6C-4BDB-9C09-20D5C152506D}"/>
    <cellStyle name="Moneda 8 5 2 4" xfId="2647" xr:uid="{D6EDF152-294F-479C-989D-E6F9BC0FF688}"/>
    <cellStyle name="Moneda 8 5 2 4 2" xfId="2648" xr:uid="{81244779-85D3-4889-900F-F455A000453C}"/>
    <cellStyle name="Moneda 8 5 2 5" xfId="2649" xr:uid="{380E7264-53BC-4939-BF7B-B741F0722F22}"/>
    <cellStyle name="Moneda 8 5 2 5 2" xfId="2650" xr:uid="{403EA43C-861D-42A3-8F34-8D1C34A874AD}"/>
    <cellStyle name="Moneda 8 5 2 6" xfId="2651" xr:uid="{04F078BA-D0FE-4039-86EB-E36B94DB180A}"/>
    <cellStyle name="Moneda 8 5 3" xfId="2652" xr:uid="{73C47B1C-76F2-4B00-965D-A9D63F2C26D2}"/>
    <cellStyle name="Moneda 8 5 3 2" xfId="2653" xr:uid="{5CDBB56E-D033-4FF8-8D5B-13492EFD3E60}"/>
    <cellStyle name="Moneda 8 5 3 2 2" xfId="2654" xr:uid="{7CA68FAE-78B0-4392-963E-2E8A5A44FCD4}"/>
    <cellStyle name="Moneda 8 5 3 3" xfId="2655" xr:uid="{D5C3C38C-823E-474C-B613-E3B4CA5FF730}"/>
    <cellStyle name="Moneda 8 5 3 3 2" xfId="2656" xr:uid="{878BCF54-7641-400F-BDA0-D573B8955BBB}"/>
    <cellStyle name="Moneda 8 5 3 4" xfId="2657" xr:uid="{E1439DFC-D78F-488A-92B3-3B608C0D7E8A}"/>
    <cellStyle name="Moneda 8 5 3 4 2" xfId="2658" xr:uid="{41509FDD-22D2-46A5-AC40-9F78FBDF46F2}"/>
    <cellStyle name="Moneda 8 5 3 5" xfId="2659" xr:uid="{FFD9C3C7-7079-4626-A573-BE9A6E4ABDE5}"/>
    <cellStyle name="Moneda 8 5 4" xfId="2660" xr:uid="{221024F9-11E3-4DF3-AF62-6E9AAB1B1157}"/>
    <cellStyle name="Moneda 8 5 4 2" xfId="2661" xr:uid="{EB66D84D-54FF-435B-B34B-9F14CF0698A6}"/>
    <cellStyle name="Moneda 8 5 5" xfId="2662" xr:uid="{4159EA24-DFFF-4D68-8E34-3800B6989B01}"/>
    <cellStyle name="Moneda 8 5 5 2" xfId="2663" xr:uid="{77C69C7C-0CD5-46B8-A179-D094DEF8721E}"/>
    <cellStyle name="Moneda 8 5 6" xfId="2664" xr:uid="{C36F0A35-A0C8-4F98-98D6-0D3FB7851CFD}"/>
    <cellStyle name="Moneda 8 5 6 2" xfId="2665" xr:uid="{BEBA0D4D-17D0-44E6-9072-8666C9F2CF70}"/>
    <cellStyle name="Moneda 8 5 7" xfId="2666" xr:uid="{2888819A-9CFE-4CDD-A259-D200F8FD2B24}"/>
    <cellStyle name="Moneda 8 6" xfId="2667" xr:uid="{4CCF24C3-F515-4D14-93EC-1F85AE6B8BB0}"/>
    <cellStyle name="Moneda 8 6 2" xfId="2668" xr:uid="{89672ACB-4DE9-4260-86F1-362F2DE15282}"/>
    <cellStyle name="Moneda 8 6 2 2" xfId="2669" xr:uid="{4E0B1572-81FC-4CAC-A931-53CAB1DC509B}"/>
    <cellStyle name="Moneda 8 6 2 2 2" xfId="2670" xr:uid="{86EAEC88-876D-4E59-8FA5-FF32B63784D7}"/>
    <cellStyle name="Moneda 8 6 2 3" xfId="2671" xr:uid="{B22B1650-DE32-42A0-8411-7C34E5A081AA}"/>
    <cellStyle name="Moneda 8 6 2 3 2" xfId="2672" xr:uid="{88863327-CBCC-4F7A-A2A5-4F1E61519A11}"/>
    <cellStyle name="Moneda 8 6 2 4" xfId="2673" xr:uid="{B5C0B2ED-C639-41E8-B198-A928CA0C22B1}"/>
    <cellStyle name="Moneda 8 6 2 4 2" xfId="2674" xr:uid="{1BE65672-45E7-47BB-9B58-277040B63699}"/>
    <cellStyle name="Moneda 8 6 2 5" xfId="2675" xr:uid="{5AA5D443-D6E8-4775-B7D8-3957974D43BF}"/>
    <cellStyle name="Moneda 8 6 3" xfId="2676" xr:uid="{339D6A4F-A7F6-4F60-9322-95047E64E0FE}"/>
    <cellStyle name="Moneda 8 6 3 2" xfId="2677" xr:uid="{DCEF346E-148E-4523-B435-B66C27182FFA}"/>
    <cellStyle name="Moneda 8 6 4" xfId="2678" xr:uid="{B312B217-2E3C-444D-A334-260E57A70C42}"/>
    <cellStyle name="Moneda 8 6 4 2" xfId="2679" xr:uid="{23C9DC21-5AC3-4BA4-9FF8-3B83566AF59C}"/>
    <cellStyle name="Moneda 8 6 5" xfId="2680" xr:uid="{86BCE803-E141-4415-B67C-90307F96CB33}"/>
    <cellStyle name="Moneda 8 6 5 2" xfId="2681" xr:uid="{7A10E37A-8B20-4865-8CDA-5D0C807431D8}"/>
    <cellStyle name="Moneda 8 6 6" xfId="2682" xr:uid="{79381986-3FCD-474B-A746-785EA8CFA132}"/>
    <cellStyle name="Moneda 8 7" xfId="2683" xr:uid="{5089EAF7-144E-4758-8F1C-37AA81116A4E}"/>
    <cellStyle name="Moneda 8 7 2" xfId="2684" xr:uid="{299A1F99-F532-43B7-8FD6-19C1BA5177CB}"/>
    <cellStyle name="Moneda 8 7 2 2" xfId="2685" xr:uid="{3A6458E0-2FBC-4944-8620-F760C440BBEF}"/>
    <cellStyle name="Moneda 8 7 3" xfId="2686" xr:uid="{C5A8C9FB-C976-46AF-80E5-AAA4C909EC26}"/>
    <cellStyle name="Moneda 8 7 3 2" xfId="2687" xr:uid="{5ACD772C-B1D8-4F17-9269-3F885A54242C}"/>
    <cellStyle name="Moneda 8 7 4" xfId="2688" xr:uid="{160EB2B2-E201-4ADA-A1AF-01369707B1D0}"/>
    <cellStyle name="Moneda 8 7 4 2" xfId="2689" xr:uid="{61DDDBE0-65AC-4A22-BDBC-C5BEC984DDDB}"/>
    <cellStyle name="Moneda 8 7 5" xfId="2690" xr:uid="{8B47774A-0152-4C83-A75C-9AD9AC835C88}"/>
    <cellStyle name="Moneda 8 8" xfId="2691" xr:uid="{6D15993A-DD57-4FD8-8FBB-D1A5F4842DBB}"/>
    <cellStyle name="Moneda 8 8 2" xfId="2692" xr:uid="{405790A1-4EBF-4B4C-8105-50ED3C21D086}"/>
    <cellStyle name="Moneda 8 8 2 2" xfId="2693" xr:uid="{D0B8E9D2-E036-4620-9802-8EBA1A36ED49}"/>
    <cellStyle name="Moneda 8 8 3" xfId="2694" xr:uid="{6E1E12D7-2121-4C23-BEE5-EBBE7B590ECE}"/>
    <cellStyle name="Moneda 8 8 3 2" xfId="2695" xr:uid="{EE39B2C7-D8EB-4299-91B1-A3B8155EB658}"/>
    <cellStyle name="Moneda 8 8 4" xfId="2696" xr:uid="{771CE09C-6926-4515-AABA-7759C978EA00}"/>
    <cellStyle name="Moneda 8 8 4 2" xfId="2697" xr:uid="{C046E000-2215-466A-A411-EF01B491C89B}"/>
    <cellStyle name="Moneda 8 8 5" xfId="2698" xr:uid="{4D09412E-DE82-49E4-990C-D4CFB73E10C6}"/>
    <cellStyle name="Moneda 8 9" xfId="2699" xr:uid="{34F6D44E-FF73-4241-9483-D86240097053}"/>
    <cellStyle name="Moneda 8 9 2" xfId="2700" xr:uid="{8DA0BD56-1FE8-4E0D-A568-1CB9EDF1EF14}"/>
    <cellStyle name="Moneda 9" xfId="2701" xr:uid="{80D5164A-7C02-4F5A-926B-5723DE2910C2}"/>
    <cellStyle name="Moneda 9 10" xfId="2702" xr:uid="{C99E4FE6-DCBA-4C27-9422-77E620439B7F}"/>
    <cellStyle name="Moneda 9 11" xfId="2703" xr:uid="{6A44E789-0097-4FE6-ACBA-1763451E29AF}"/>
    <cellStyle name="Moneda 9 2" xfId="2704" xr:uid="{24ADEAB5-0454-4E66-ABAA-133298AC3097}"/>
    <cellStyle name="Moneda 9 2 2" xfId="2705" xr:uid="{20FDA8EA-8FC0-41CC-8735-C9B7036FFBB8}"/>
    <cellStyle name="Moneda 9 2 2 2" xfId="2706" xr:uid="{8A92F0C8-57AC-4C21-B511-A96AD8114F9D}"/>
    <cellStyle name="Moneda 9 2 2 2 2" xfId="2707" xr:uid="{D19F8465-D471-4D04-85E7-C8E9FA10CC24}"/>
    <cellStyle name="Moneda 9 2 2 2 2 2" xfId="2708" xr:uid="{24639256-84E3-4FF7-A97D-3AE6C58B885E}"/>
    <cellStyle name="Moneda 9 2 2 2 3" xfId="2709" xr:uid="{E1ABA25E-2E00-4BFA-AE24-1ED6E4489DB3}"/>
    <cellStyle name="Moneda 9 2 2 2 3 2" xfId="2710" xr:uid="{927312C6-BDFE-4B41-A692-50938D2B2173}"/>
    <cellStyle name="Moneda 9 2 2 2 4" xfId="2711" xr:uid="{0CBDB552-D2CB-4CFB-97E9-853BF2FDB228}"/>
    <cellStyle name="Moneda 9 2 2 2 4 2" xfId="2712" xr:uid="{E35FEDD6-9402-4054-B17E-1C2F75F1A0CB}"/>
    <cellStyle name="Moneda 9 2 2 2 5" xfId="2713" xr:uid="{F11195E6-A4A8-47CB-837D-C8C8FBD644F8}"/>
    <cellStyle name="Moneda 9 2 2 3" xfId="2714" xr:uid="{5FF83C91-877C-47A0-8420-C4EA6EE2BE6D}"/>
    <cellStyle name="Moneda 9 2 2 3 2" xfId="2715" xr:uid="{BD65EAFB-5502-4184-B58E-5BC5D02BA6AB}"/>
    <cellStyle name="Moneda 9 2 2 4" xfId="2716" xr:uid="{6B2570C5-D13B-4F17-A8BC-3FC2E7204C87}"/>
    <cellStyle name="Moneda 9 2 2 4 2" xfId="2717" xr:uid="{C9F587AE-B951-4A42-9385-A24B75ABBEBD}"/>
    <cellStyle name="Moneda 9 2 2 5" xfId="2718" xr:uid="{A07DB8DF-89A3-41ED-A4C4-5398707DB0FB}"/>
    <cellStyle name="Moneda 9 2 2 5 2" xfId="2719" xr:uid="{87CD380F-948B-4075-A235-89B4C8AEB37A}"/>
    <cellStyle name="Moneda 9 2 2 6" xfId="2720" xr:uid="{8AFFBF02-6655-4D46-A003-B9F26CC95782}"/>
    <cellStyle name="Moneda 9 2 3" xfId="2721" xr:uid="{83CF1F18-A87C-40AF-88A4-5B6EBE45569B}"/>
    <cellStyle name="Moneda 9 2 3 2" xfId="2722" xr:uid="{70EB0013-5D89-40F8-8D6B-D5529C973EDE}"/>
    <cellStyle name="Moneda 9 2 3 2 2" xfId="2723" xr:uid="{DA4153DB-8CB0-4D7D-9ABA-20A8C3AAD416}"/>
    <cellStyle name="Moneda 9 2 3 3" xfId="2724" xr:uid="{8E3A4D0B-468C-40F8-B917-5DC8B1C43E58}"/>
    <cellStyle name="Moneda 9 2 3 3 2" xfId="2725" xr:uid="{D0809692-0CA2-406D-9C32-7221217D9BC6}"/>
    <cellStyle name="Moneda 9 2 3 4" xfId="2726" xr:uid="{AA96A2E3-DB6A-40E1-ADB0-57CB35C8D338}"/>
    <cellStyle name="Moneda 9 2 3 4 2" xfId="2727" xr:uid="{D877720A-6202-4758-B62F-E15E7BAF4406}"/>
    <cellStyle name="Moneda 9 2 3 5" xfId="2728" xr:uid="{9B5C9221-BD70-4F2C-B6EC-2C24FDAA84E0}"/>
    <cellStyle name="Moneda 9 2 4" xfId="2729" xr:uid="{464921CC-ACCF-40ED-AC77-460E1E790CA0}"/>
    <cellStyle name="Moneda 9 2 4 2" xfId="2730" xr:uid="{CA6EC016-5D3D-4C4E-B2D3-092B40BECF6F}"/>
    <cellStyle name="Moneda 9 2 5" xfId="2731" xr:uid="{558A1E8F-0ECE-4BCA-9802-06B8BC2DB7CF}"/>
    <cellStyle name="Moneda 9 2 5 2" xfId="2732" xr:uid="{E265C6AD-4F59-4A62-B405-5BF9FB7CC928}"/>
    <cellStyle name="Moneda 9 2 6" xfId="2733" xr:uid="{E5339042-9027-434D-B63C-7FA056E9D929}"/>
    <cellStyle name="Moneda 9 2 6 2" xfId="2734" xr:uid="{E7B42FED-6115-49A9-BFD8-3942BEE29BD3}"/>
    <cellStyle name="Moneda 9 2 7" xfId="2735" xr:uid="{89DC07F3-26D8-4066-AFCA-13992065C169}"/>
    <cellStyle name="Moneda 9 2 8" xfId="2736" xr:uid="{D514246C-0D73-4A5A-B2CF-899EA2F72AE0}"/>
    <cellStyle name="Moneda 9 3" xfId="2737" xr:uid="{8AA0A3D6-E244-40E9-B152-2790C3E6FC27}"/>
    <cellStyle name="Moneda 9 3 2" xfId="2738" xr:uid="{1602CAC9-2C08-471D-89B7-581C8296E39B}"/>
    <cellStyle name="Moneda 9 3 2 2" xfId="2739" xr:uid="{4B65ADCD-CACC-49D8-BAE3-D22B306B849E}"/>
    <cellStyle name="Moneda 9 3 2 2 2" xfId="2740" xr:uid="{DBE204B2-B95D-4741-8616-8235C77FCDEB}"/>
    <cellStyle name="Moneda 9 3 2 2 2 2" xfId="2741" xr:uid="{7E68546F-3B07-4344-96C3-7232B0C4F0C4}"/>
    <cellStyle name="Moneda 9 3 2 2 3" xfId="2742" xr:uid="{07A814B0-7540-4858-BE65-FBEBD72D2C10}"/>
    <cellStyle name="Moneda 9 3 2 2 3 2" xfId="2743" xr:uid="{E9D48161-2D5F-4A8D-B19A-0E2D44F942A6}"/>
    <cellStyle name="Moneda 9 3 2 2 4" xfId="2744" xr:uid="{7F1C84AA-D59B-45DB-BE06-6F22C4E1F16E}"/>
    <cellStyle name="Moneda 9 3 2 2 4 2" xfId="2745" xr:uid="{F3C61464-A8FF-4A87-A7BC-160B630CB43D}"/>
    <cellStyle name="Moneda 9 3 2 2 5" xfId="2746" xr:uid="{A2741765-68C4-4F3C-B288-B818752E9253}"/>
    <cellStyle name="Moneda 9 3 2 3" xfId="2747" xr:uid="{2103C385-05D7-4961-A90F-C927B6BEBFAA}"/>
    <cellStyle name="Moneda 9 3 2 3 2" xfId="2748" xr:uid="{6B4C6BB1-8669-4B1C-880E-A6CB53A4216F}"/>
    <cellStyle name="Moneda 9 3 2 4" xfId="2749" xr:uid="{74EF7631-F6D2-45CE-AD2A-E45A14170486}"/>
    <cellStyle name="Moneda 9 3 2 4 2" xfId="2750" xr:uid="{253B7DAD-94F4-4D56-A828-B3A22FD6EBC5}"/>
    <cellStyle name="Moneda 9 3 2 5" xfId="2751" xr:uid="{713DDD7C-F011-42FA-8E44-2A0F65A6CC6E}"/>
    <cellStyle name="Moneda 9 3 2 5 2" xfId="2752" xr:uid="{9FBC8189-802D-4196-9199-29FEFA09C737}"/>
    <cellStyle name="Moneda 9 3 2 6" xfId="2753" xr:uid="{797D5EA0-06D3-4D15-AAA1-232D676D3890}"/>
    <cellStyle name="Moneda 9 3 3" xfId="2754" xr:uid="{33A9B6B8-37A6-425A-B4A7-133EFD0C2648}"/>
    <cellStyle name="Moneda 9 3 3 2" xfId="2755" xr:uid="{8B6A669D-14CA-4219-AF44-E3CBC37B60B6}"/>
    <cellStyle name="Moneda 9 3 3 2 2" xfId="2756" xr:uid="{303FB915-FB9B-4CC4-9233-D0334694198D}"/>
    <cellStyle name="Moneda 9 3 3 3" xfId="2757" xr:uid="{514D5D3F-3FE5-40FE-9C77-4D50EF2E6544}"/>
    <cellStyle name="Moneda 9 3 3 3 2" xfId="2758" xr:uid="{B6804CC5-8EC7-4E04-83A7-AA1733BFD5AF}"/>
    <cellStyle name="Moneda 9 3 3 4" xfId="2759" xr:uid="{A13B636E-502A-486F-B753-8257A7BCE168}"/>
    <cellStyle name="Moneda 9 3 3 4 2" xfId="2760" xr:uid="{DAE10FF1-0A58-4C1E-8CD2-D5EAC318C283}"/>
    <cellStyle name="Moneda 9 3 3 5" xfId="2761" xr:uid="{4243B8A9-CB15-42D1-88A2-6ED4FF786E91}"/>
    <cellStyle name="Moneda 9 3 4" xfId="2762" xr:uid="{373F47CA-3DF6-40DC-AE65-B80CB80064A4}"/>
    <cellStyle name="Moneda 9 3 4 2" xfId="2763" xr:uid="{2ED0B7C8-F582-4AEF-B394-8A81BB5BD745}"/>
    <cellStyle name="Moneda 9 3 5" xfId="2764" xr:uid="{C02C0F95-3F16-418C-9636-0A77163A1C6E}"/>
    <cellStyle name="Moneda 9 3 5 2" xfId="2765" xr:uid="{146EB4D7-6F6A-496B-8505-7CC17DC44DA8}"/>
    <cellStyle name="Moneda 9 3 6" xfId="2766" xr:uid="{9CBF7F0F-015D-4F75-95A8-E2EB767A42CF}"/>
    <cellStyle name="Moneda 9 3 6 2" xfId="2767" xr:uid="{7E2913BD-BE5B-439C-9B86-9BFD099D4FD8}"/>
    <cellStyle name="Moneda 9 3 7" xfId="2768" xr:uid="{A328CD07-3D72-4AC8-9236-55F1DE1921ED}"/>
    <cellStyle name="Moneda 9 4" xfId="2769" xr:uid="{E645438A-76EC-4450-A518-D7B9D92C9460}"/>
    <cellStyle name="Moneda 9 4 2" xfId="2770" xr:uid="{5EBC5E16-A2A3-493E-9ACB-E28BE052A64F}"/>
    <cellStyle name="Moneda 9 4 2 2" xfId="2771" xr:uid="{0A88F9D7-EA47-4AF1-AABC-02DB8DA4171E}"/>
    <cellStyle name="Moneda 9 4 2 2 2" xfId="2772" xr:uid="{76E36C63-5BBE-419E-A7E7-9E7840A1A2D6}"/>
    <cellStyle name="Moneda 9 4 2 2 2 2" xfId="2773" xr:uid="{D3625AEA-5279-4874-A712-8D80CC83A030}"/>
    <cellStyle name="Moneda 9 4 2 2 3" xfId="2774" xr:uid="{85554727-72B0-47EA-A403-0CF272F8A58C}"/>
    <cellStyle name="Moneda 9 4 2 2 3 2" xfId="2775" xr:uid="{487AB39D-C80A-445E-BEE9-DED3D64B7C3C}"/>
    <cellStyle name="Moneda 9 4 2 2 4" xfId="2776" xr:uid="{1D2B8E4A-AD4B-4308-8175-ED5EC06ADB39}"/>
    <cellStyle name="Moneda 9 4 2 2 4 2" xfId="2777" xr:uid="{0BAF3A84-A7F6-4302-B9E4-E6BBF2409E1F}"/>
    <cellStyle name="Moneda 9 4 2 2 5" xfId="2778" xr:uid="{63F0B716-1CDE-42E3-8E3F-AF80EF7BD2A5}"/>
    <cellStyle name="Moneda 9 4 2 3" xfId="2779" xr:uid="{7963B185-422B-480B-AD3E-32C0C6B40934}"/>
    <cellStyle name="Moneda 9 4 2 3 2" xfId="2780" xr:uid="{C6684095-9DA5-4C7D-8384-9349D5FDDC50}"/>
    <cellStyle name="Moneda 9 4 2 4" xfId="2781" xr:uid="{FFC81FED-7AB3-4419-A6EF-1839FF3BFC11}"/>
    <cellStyle name="Moneda 9 4 2 4 2" xfId="2782" xr:uid="{52598A70-48A1-49B4-8010-FAB3A84C9BA2}"/>
    <cellStyle name="Moneda 9 4 2 5" xfId="2783" xr:uid="{F316B2A3-E04D-4C5B-9542-871BD4E7B0E5}"/>
    <cellStyle name="Moneda 9 4 2 5 2" xfId="2784" xr:uid="{0ABF98F6-DAE2-490F-9638-A458267D03D4}"/>
    <cellStyle name="Moneda 9 4 2 6" xfId="2785" xr:uid="{08506AEB-6049-4AA2-8C15-CB75126314ED}"/>
    <cellStyle name="Moneda 9 4 3" xfId="2786" xr:uid="{9E00D05B-2996-4FC2-9C27-659118D94768}"/>
    <cellStyle name="Moneda 9 4 3 2" xfId="2787" xr:uid="{11A03A0A-95D6-4F40-B42A-45273DB70341}"/>
    <cellStyle name="Moneda 9 4 3 2 2" xfId="2788" xr:uid="{FE6578D5-A565-4BB9-91DD-1328735C2498}"/>
    <cellStyle name="Moneda 9 4 3 3" xfId="2789" xr:uid="{D097335B-0A43-4721-B65C-D53C578F32AF}"/>
    <cellStyle name="Moneda 9 4 3 3 2" xfId="2790" xr:uid="{36DCBCAD-D5B4-467B-8EB1-A3F2C1B0E20F}"/>
    <cellStyle name="Moneda 9 4 3 4" xfId="2791" xr:uid="{DA7215C8-CDAB-4CAE-94FF-5E48CBEE5B6D}"/>
    <cellStyle name="Moneda 9 4 3 4 2" xfId="2792" xr:uid="{D4D3CDBE-89AC-4501-8F29-907A7A86EF61}"/>
    <cellStyle name="Moneda 9 4 3 5" xfId="2793" xr:uid="{228D7A7E-DB6D-4F7F-AF2D-B808A387707C}"/>
    <cellStyle name="Moneda 9 4 4" xfId="2794" xr:uid="{93543631-53A1-45E8-B07B-A48A855DE4E0}"/>
    <cellStyle name="Moneda 9 4 4 2" xfId="2795" xr:uid="{5A5C1970-893C-4775-99EF-EDE9914384E5}"/>
    <cellStyle name="Moneda 9 4 5" xfId="2796" xr:uid="{630BB0D9-408F-4866-8AC5-3E090CE8DA29}"/>
    <cellStyle name="Moneda 9 4 5 2" xfId="2797" xr:uid="{AFCC8518-2F06-4B77-8677-FB9FB9DCD937}"/>
    <cellStyle name="Moneda 9 4 6" xfId="2798" xr:uid="{A163DCD6-E084-4EE0-8666-B47E4D500BF9}"/>
    <cellStyle name="Moneda 9 4 6 2" xfId="2799" xr:uid="{C8F45F43-52AD-4D26-B21E-62C966A790C0}"/>
    <cellStyle name="Moneda 9 4 7" xfId="2800" xr:uid="{009CBE8E-E699-441A-8075-47FDA9BF8DFB}"/>
    <cellStyle name="Moneda 9 5" xfId="2801" xr:uid="{200EC992-7B7C-47BB-8123-CA4FEBF02A6B}"/>
    <cellStyle name="Moneda 9 5 2" xfId="2802" xr:uid="{4E1114AF-CA3E-42BE-BFC3-FE6D024080CD}"/>
    <cellStyle name="Moneda 9 5 2 2" xfId="2803" xr:uid="{22645C9E-C3ED-49C0-8E10-2454C4F7C7FF}"/>
    <cellStyle name="Moneda 9 5 2 2 2" xfId="2804" xr:uid="{44AF5668-689C-4250-B5C0-3290E935C4E6}"/>
    <cellStyle name="Moneda 9 5 2 3" xfId="2805" xr:uid="{50DE4A2E-D2FA-4DD7-9E6C-C47005B3331A}"/>
    <cellStyle name="Moneda 9 5 2 3 2" xfId="2806" xr:uid="{E923379A-5C58-44FD-9738-DCFBF1C2E770}"/>
    <cellStyle name="Moneda 9 5 2 4" xfId="2807" xr:uid="{ED3BC143-7541-4934-BE01-0AE2F4A2920D}"/>
    <cellStyle name="Moneda 9 5 2 4 2" xfId="2808" xr:uid="{E7843A4B-2AC5-44F9-A6E6-7372A0999E69}"/>
    <cellStyle name="Moneda 9 5 2 5" xfId="2809" xr:uid="{8C087E2F-1613-424A-B196-C0CC74141786}"/>
    <cellStyle name="Moneda 9 5 3" xfId="2810" xr:uid="{BE47D3DD-CBB4-4A2A-85D1-18276B64FBAE}"/>
    <cellStyle name="Moneda 9 5 3 2" xfId="2811" xr:uid="{33AEF936-1777-4E5A-A378-C7B0045EA8CC}"/>
    <cellStyle name="Moneda 9 5 4" xfId="2812" xr:uid="{37F33000-0723-48A6-8A4A-747118112C21}"/>
    <cellStyle name="Moneda 9 5 4 2" xfId="2813" xr:uid="{A0305DA5-6EC0-4CB9-A402-ABE932F16543}"/>
    <cellStyle name="Moneda 9 5 5" xfId="2814" xr:uid="{05B402CE-BFD8-4245-A166-8F5A1380F065}"/>
    <cellStyle name="Moneda 9 5 5 2" xfId="2815" xr:uid="{1C3038A2-9A07-4CCA-BD3E-A238FB84AF7D}"/>
    <cellStyle name="Moneda 9 5 6" xfId="2816" xr:uid="{AFBFE090-93C3-4645-BB27-5702E15BE9C9}"/>
    <cellStyle name="Moneda 9 6" xfId="2817" xr:uid="{BA0269E5-AAB2-409E-95BA-917DAA26084B}"/>
    <cellStyle name="Moneda 9 6 2" xfId="2818" xr:uid="{49AB22C4-BA55-4022-A2A2-3A9B1CD35778}"/>
    <cellStyle name="Moneda 9 6 2 2" xfId="2819" xr:uid="{FFBFB883-2A0B-464C-80FB-A9B0863B8B6D}"/>
    <cellStyle name="Moneda 9 6 3" xfId="2820" xr:uid="{901AD079-D3C0-4816-B174-D7715362C282}"/>
    <cellStyle name="Moneda 9 6 3 2" xfId="2821" xr:uid="{F106C76D-0300-4034-9BEF-B91935C41080}"/>
    <cellStyle name="Moneda 9 6 4" xfId="2822" xr:uid="{4472D27D-5824-4A7B-B55D-C2A53BE18975}"/>
    <cellStyle name="Moneda 9 6 4 2" xfId="2823" xr:uid="{C8DEBA99-C66A-49F1-96C6-5B0447574BAB}"/>
    <cellStyle name="Moneda 9 6 5" xfId="2824" xr:uid="{6FF1D6DF-E5C9-4447-9EA5-FB86D560AFED}"/>
    <cellStyle name="Moneda 9 7" xfId="2825" xr:uid="{73E46252-2DC2-4A52-95FB-95B76EE44E51}"/>
    <cellStyle name="Moneda 9 7 2" xfId="2826" xr:uid="{54ADBE74-C03A-4EEF-A1D8-F779C77F0D2C}"/>
    <cellStyle name="Moneda 9 8" xfId="2827" xr:uid="{D92F4A83-E657-48F3-8063-B4D23E91D9AF}"/>
    <cellStyle name="Moneda 9 8 2" xfId="2828" xr:uid="{5EE87133-E245-4955-9CA9-89A70AB3B1A8}"/>
    <cellStyle name="Moneda 9 9" xfId="2829" xr:uid="{94E05E09-FB7C-4ED2-A02C-EB6E59AE2E55}"/>
    <cellStyle name="Moneda 9 9 2" xfId="2830" xr:uid="{B90C5802-6D75-4044-90C8-95009291B905}"/>
    <cellStyle name="Neutral 2" xfId="2831" xr:uid="{97B97F11-2F80-4F77-94FF-6F567859D786}"/>
    <cellStyle name="Normal" xfId="0" builtinId="0"/>
    <cellStyle name="Normal 2" xfId="19" xr:uid="{C832F030-8A0F-47F0-93BF-E145A359F757}"/>
    <cellStyle name="Normal 2 10" xfId="20" xr:uid="{BFB4D95E-33C6-4D65-9936-88CAF9F6D10E}"/>
    <cellStyle name="Normal 2 2" xfId="2832" xr:uid="{C1A3719C-13CD-4515-9DC4-2A417B68C6F2}"/>
    <cellStyle name="Normal 2 2 2" xfId="2833" xr:uid="{5BEB11BB-DCA4-4EAF-BF15-BE4DBB4193A7}"/>
    <cellStyle name="Normal 2 2_GESTIÓN" xfId="2878" xr:uid="{2F3C0DCA-6DF5-4C11-AF53-86DB404139D2}"/>
    <cellStyle name="Normal 2 3" xfId="2834" xr:uid="{D146423E-2DB1-41CA-9F16-BFB29A290662}"/>
    <cellStyle name="Normal 2 3 2" xfId="2835" xr:uid="{34DCF2AD-0193-4B6F-B107-B787ED83AA65}"/>
    <cellStyle name="Normal 2 3_GESTIÓN" xfId="2877" xr:uid="{251A191A-F0C2-4F14-AB16-D16364936227}"/>
    <cellStyle name="Normal 2 4" xfId="2836" xr:uid="{FFD9EC2E-DE62-4336-A6B6-0A58AAF11BEE}"/>
    <cellStyle name="Normal 3" xfId="21" xr:uid="{FE9D3705-09CD-4617-9A21-9F3D8213F22E}"/>
    <cellStyle name="Normal 3 2" xfId="22" xr:uid="{021F6D1B-7F46-426D-BE74-4E5B7F2C3867}"/>
    <cellStyle name="Normal 3 2 2" xfId="2837" xr:uid="{8677E03E-87F8-4FDE-8177-A9BA5195C7C0}"/>
    <cellStyle name="Normal 3 2 2 2" xfId="2838" xr:uid="{847ECE27-9F30-4351-8ACC-25F8659C8EF6}"/>
    <cellStyle name="Normal 3 2 2_GESTIÓN" xfId="2876" xr:uid="{27256EF8-DAA5-4ECD-9A22-D2729253A756}"/>
    <cellStyle name="Normal 3 2 3" xfId="2839" xr:uid="{6D9683C4-0CAD-4A7B-A8E2-534E35EC36A8}"/>
    <cellStyle name="Normal 3 3" xfId="2840" xr:uid="{DF4C73CC-A956-4AA0-B9D8-B052CD964E28}"/>
    <cellStyle name="Normal 3 4" xfId="2841" xr:uid="{7837559E-5871-4903-9696-CB14C923A332}"/>
    <cellStyle name="Normal 3 5" xfId="2842" xr:uid="{071E4908-D4FC-40FD-92D3-7755D7E3835E}"/>
    <cellStyle name="Normal 3_CADENA DE VALOR" xfId="30" xr:uid="{FD867D9C-AD61-43BA-8CA3-5A37E01AFAF8}"/>
    <cellStyle name="Normal 4" xfId="2843" xr:uid="{3F203855-5654-4E4C-8A6B-1F91851BA38C}"/>
    <cellStyle name="Normal 4 2" xfId="23" xr:uid="{557B4799-1F89-48DC-BC56-EBC44855B101}"/>
    <cellStyle name="Normal 4_GESTIÓN" xfId="2875" xr:uid="{388AD193-261A-4C47-80C7-1C3A35E5075D}"/>
    <cellStyle name="Normal 5" xfId="2844" xr:uid="{4D0859A1-EE23-4C04-AFA6-C1E6B7DF2769}"/>
    <cellStyle name="Normal 6" xfId="5" xr:uid="{BF154B17-6E03-41CF-8E15-18BC6A49F66A}"/>
    <cellStyle name="Normal 6 2" xfId="2845" xr:uid="{A240E62C-1EB7-4598-8992-F253B28B9870}"/>
    <cellStyle name="Numeric" xfId="2846" xr:uid="{763275DE-D2E1-4C0D-B658-BB33598B4267}"/>
    <cellStyle name="NumericWithBorder" xfId="2847" xr:uid="{DCBBEF31-6B9F-4A06-B373-5D203FFA96BE}"/>
    <cellStyle name="NumericWithBorder 2" xfId="2848" xr:uid="{A84AE817-3967-4C9B-9607-C0F00AD58D74}"/>
    <cellStyle name="NumericWithBorder 2 2" xfId="2849" xr:uid="{B8C466E8-6BC5-428D-B57A-17B1FA1702DA}"/>
    <cellStyle name="NumericWithBorder 2 3" xfId="2850" xr:uid="{249C264B-AB52-42B0-B1ED-9254702780EE}"/>
    <cellStyle name="NumericWithBorder 2 4" xfId="2851" xr:uid="{69B27EFA-D719-406E-BFF2-D93FDA3FE06F}"/>
    <cellStyle name="NumericWithBorder 2_GESTIÓN" xfId="2873" xr:uid="{7AA0D635-13C3-4AFB-93D2-371BF8C19BCB}"/>
    <cellStyle name="NumericWithBorder 3" xfId="2852" xr:uid="{C4139A19-2E1B-4201-9E59-8F314B851EDC}"/>
    <cellStyle name="NumericWithBorder 4" xfId="2853" xr:uid="{56775CC4-0F67-4C09-9285-D0DC252221CD}"/>
    <cellStyle name="NumericWithBorder 5" xfId="2854" xr:uid="{CE19D059-A84A-4D6D-8686-A37546AF46CC}"/>
    <cellStyle name="NumericWithBorder_GESTIÓN" xfId="2874" xr:uid="{4689C711-9B7A-4FBF-8814-1E272CE9D3FA}"/>
    <cellStyle name="Percent" xfId="24" xr:uid="{2B23EE77-9CB5-4FA4-9BC8-F6E396C8324D}"/>
    <cellStyle name="Percent 2" xfId="2855" xr:uid="{A4FC138A-A8A1-4AC7-A7D1-F831CD3B1A05}"/>
    <cellStyle name="Percent 2 2" xfId="2856" xr:uid="{D86603DE-1CBD-49FE-AFAE-85A6106BB564}"/>
    <cellStyle name="Porcentaje" xfId="2" builtinId="5"/>
    <cellStyle name="Porcentaje 2" xfId="27" xr:uid="{40DA479F-D311-4344-BFFE-0726F21691A3}"/>
    <cellStyle name="Porcentaje 2 2" xfId="2857" xr:uid="{1F030DA7-645E-450A-B749-FFD9930098A1}"/>
    <cellStyle name="Porcentaje 3" xfId="28" xr:uid="{FF8BA5BE-FC87-46CB-A4DC-F5D4F75390D4}"/>
    <cellStyle name="Porcentaje 3 2" xfId="2858" xr:uid="{6946A497-25FB-419A-89B8-B7E2D70105E7}"/>
    <cellStyle name="Porcentaje 4" xfId="29" xr:uid="{DFBC9879-2412-4508-8EE2-87239EAB6FE6}"/>
    <cellStyle name="Porcentaje 5" xfId="2867" xr:uid="{23731ADC-283B-480A-A3E2-4EAD684479A6}"/>
    <cellStyle name="Porcentual 2" xfId="25" xr:uid="{F3DDEC67-2E29-4204-9A72-084E2A3E19DB}"/>
    <cellStyle name="Porcentual 2 2" xfId="26" xr:uid="{39CFDA9D-3194-440C-A3BB-28C04BE2BBB4}"/>
    <cellStyle name="Porcentual 2 2 2" xfId="2859" xr:uid="{2D6C8BAF-E4A8-4979-9BEC-D9E556D97596}"/>
    <cellStyle name="Porcentual 2 3" xfId="2860" xr:uid="{6AE1B934-C98D-4574-BAA7-086916F3FAE1}"/>
    <cellStyle name="Porcentual 2 3 2" xfId="2861" xr:uid="{8CAD3BA7-CFBD-4733-96F3-64CF5F64A034}"/>
    <cellStyle name="Porcentual 3" xfId="2862" xr:uid="{60CFE372-A4E8-4984-BF29-FD47CFE660FE}"/>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448235</xdr:colOff>
      <xdr:row>1</xdr:row>
      <xdr:rowOff>130735</xdr:rowOff>
    </xdr:from>
    <xdr:ext cx="5771030" cy="989853"/>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448235" y="336176"/>
          <a:ext cx="5771030" cy="989853"/>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116974</xdr:colOff>
      <xdr:row>0</xdr:row>
      <xdr:rowOff>274450</xdr:rowOff>
    </xdr:from>
    <xdr:ext cx="2869679" cy="92669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16974" y="274450"/>
          <a:ext cx="2869679" cy="92669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3482578" cy="152400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3482578" cy="15240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85726</xdr:colOff>
      <xdr:row>0</xdr:row>
      <xdr:rowOff>38100</xdr:rowOff>
    </xdr:from>
    <xdr:ext cx="1935434" cy="833089"/>
    <xdr:pic>
      <xdr:nvPicPr>
        <xdr:cNvPr id="2" name="image4.png">
          <a:extLst>
            <a:ext uri="{FF2B5EF4-FFF2-40B4-BE49-F238E27FC236}">
              <a16:creationId xmlns:a16="http://schemas.microsoft.com/office/drawing/2014/main" id="{D2E0B071-E4AD-4ABD-A4EF-399D530A5CCA}"/>
            </a:ext>
          </a:extLst>
        </xdr:cNvPr>
        <xdr:cNvPicPr preferRelativeResize="0"/>
      </xdr:nvPicPr>
      <xdr:blipFill>
        <a:blip xmlns:r="http://schemas.openxmlformats.org/officeDocument/2006/relationships" r:embed="rId1" cstate="print"/>
        <a:stretch>
          <a:fillRect/>
        </a:stretch>
      </xdr:blipFill>
      <xdr:spPr>
        <a:xfrm>
          <a:off x="85726" y="38100"/>
          <a:ext cx="1935434" cy="833089"/>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95250</xdr:colOff>
      <xdr:row>0</xdr:row>
      <xdr:rowOff>47625</xdr:rowOff>
    </xdr:from>
    <xdr:ext cx="3276600" cy="638175"/>
    <xdr:pic>
      <xdr:nvPicPr>
        <xdr:cNvPr id="2" name="image5.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cretaria%20de%20Ambiente%20de%20Bogota\7769%20Documentos\Planes%20de%20Accion\Plan%20de%20Acci&#243;n%202021\Plan%20de%20Acci&#243;n%20Dic%202021\1.%20Plan%20de%20Accion-%207769%20Dic%202021%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ow r="13">
          <cell r="T13">
            <v>44.87</v>
          </cell>
          <cell r="V13">
            <v>45.54</v>
          </cell>
        </row>
        <row r="14">
          <cell r="V14">
            <v>2.5379999999999998</v>
          </cell>
        </row>
        <row r="16">
          <cell r="V16">
            <v>4.8070000000000004</v>
          </cell>
        </row>
        <row r="17">
          <cell r="T17">
            <v>0.14000000000000001</v>
          </cell>
          <cell r="V17">
            <v>0.2</v>
          </cell>
        </row>
      </sheetData>
      <sheetData sheetId="1">
        <row r="10">
          <cell r="CJ10">
            <v>74</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7" Type="http://schemas.openxmlformats.org/officeDocument/2006/relationships/vmlDrawing" Target="../drawings/vmlDrawing5.v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96"/>
  <sheetViews>
    <sheetView topLeftCell="A16" zoomScale="51" zoomScaleNormal="51" workbookViewId="0">
      <selection activeCell="A11" sqref="A11:I11"/>
    </sheetView>
  </sheetViews>
  <sheetFormatPr baseColWidth="10" defaultColWidth="14.42578125" defaultRowHeight="15" customHeight="1" x14ac:dyDescent="0.25"/>
  <cols>
    <col min="1" max="2" width="8" customWidth="1"/>
    <col min="3" max="3" width="9.28515625" customWidth="1"/>
    <col min="4" max="4" width="38.7109375" customWidth="1"/>
    <col min="5" max="5" width="7.42578125" customWidth="1"/>
    <col min="6" max="6" width="31.5703125" customWidth="1"/>
    <col min="7" max="7" width="12.85546875" customWidth="1"/>
    <col min="8" max="8" width="15.85546875" customWidth="1"/>
    <col min="9" max="9" width="13" customWidth="1"/>
    <col min="10" max="10" width="11" hidden="1" customWidth="1"/>
    <col min="11" max="12" width="15.42578125" hidden="1" customWidth="1"/>
    <col min="13" max="13" width="12.7109375" hidden="1" customWidth="1"/>
    <col min="14" max="14" width="15.42578125" hidden="1" customWidth="1"/>
    <col min="15" max="15" width="14.7109375" hidden="1" customWidth="1"/>
    <col min="16" max="16" width="14.85546875" hidden="1" customWidth="1"/>
    <col min="17" max="17" width="13.28515625" hidden="1" customWidth="1"/>
    <col min="18" max="18" width="23.28515625" hidden="1" customWidth="1"/>
    <col min="19" max="19" width="19.7109375" hidden="1" customWidth="1"/>
    <col min="20" max="20" width="15.85546875" hidden="1" customWidth="1"/>
    <col min="21" max="21" width="27.28515625" hidden="1" customWidth="1"/>
    <col min="22" max="22" width="15.85546875" hidden="1" customWidth="1"/>
    <col min="23" max="23" width="11.7109375" hidden="1" customWidth="1"/>
    <col min="24" max="25" width="10.7109375" hidden="1" customWidth="1"/>
    <col min="26" max="27" width="24" hidden="1" customWidth="1"/>
    <col min="28" max="28" width="15" customWidth="1"/>
    <col min="29" max="29" width="14.7109375" customWidth="1"/>
    <col min="30" max="30" width="11.85546875" hidden="1" customWidth="1"/>
    <col min="31" max="36" width="10.28515625" hidden="1" customWidth="1"/>
    <col min="37" max="38" width="10.85546875" hidden="1" customWidth="1"/>
    <col min="39" max="40" width="9.42578125" hidden="1" customWidth="1"/>
    <col min="41" max="42" width="9.85546875" hidden="1" customWidth="1"/>
    <col min="43" max="43" width="10.42578125" hidden="1" customWidth="1"/>
    <col min="44" max="44" width="11" hidden="1" customWidth="1"/>
    <col min="45" max="45" width="10.42578125" hidden="1" customWidth="1"/>
    <col min="46" max="46" width="10.85546875" hidden="1" customWidth="1"/>
    <col min="47" max="47" width="10.42578125" hidden="1" customWidth="1"/>
    <col min="48" max="48" width="12.140625" hidden="1" customWidth="1"/>
    <col min="49" max="49" width="14.140625" hidden="1" customWidth="1"/>
    <col min="50" max="50" width="12" hidden="1" customWidth="1"/>
    <col min="51" max="51" width="12.7109375" hidden="1" customWidth="1"/>
    <col min="52" max="52" width="12.42578125" hidden="1" customWidth="1"/>
    <col min="53" max="53" width="13" hidden="1" customWidth="1"/>
    <col min="54" max="54" width="11.140625" hidden="1" customWidth="1"/>
    <col min="55" max="55" width="11.7109375" hidden="1" customWidth="1"/>
    <col min="56" max="56" width="15.140625" hidden="1" customWidth="1"/>
    <col min="57" max="57" width="11.7109375" hidden="1" customWidth="1"/>
    <col min="58" max="59" width="14.5703125" customWidth="1"/>
    <col min="60" max="60" width="12.42578125" hidden="1" customWidth="1"/>
    <col min="61" max="64" width="9.7109375" hidden="1" customWidth="1"/>
    <col min="65" max="67" width="10.85546875" hidden="1" customWidth="1"/>
    <col min="68" max="68" width="9.7109375" hidden="1" customWidth="1"/>
    <col min="69" max="69" width="13.140625" hidden="1" customWidth="1"/>
    <col min="70" max="71" width="11.42578125" hidden="1" customWidth="1"/>
    <col min="72" max="72" width="13.140625" hidden="1" customWidth="1"/>
    <col min="73" max="73" width="11.42578125" hidden="1" customWidth="1"/>
    <col min="74" max="74" width="16" hidden="1" customWidth="1"/>
    <col min="75" max="75" width="13.42578125" hidden="1" customWidth="1"/>
    <col min="76" max="76" width="11.7109375" hidden="1" customWidth="1"/>
    <col min="77" max="77" width="8.28515625" hidden="1" customWidth="1"/>
    <col min="78" max="78" width="13" hidden="1" customWidth="1"/>
    <col min="79" max="79" width="8.28515625" hidden="1" customWidth="1"/>
    <col min="80" max="80" width="11.140625" hidden="1" customWidth="1"/>
    <col min="81" max="81" width="11.42578125" hidden="1" customWidth="1"/>
    <col min="82" max="82" width="8.28515625" hidden="1" customWidth="1"/>
    <col min="83" max="83" width="12.42578125" hidden="1" customWidth="1"/>
    <col min="84" max="84" width="11.42578125" hidden="1" customWidth="1"/>
    <col min="85" max="87" width="12.7109375" hidden="1" customWidth="1"/>
    <col min="88" max="89" width="15.42578125" customWidth="1"/>
    <col min="90" max="90" width="14.7109375" customWidth="1"/>
    <col min="91" max="96" width="12.7109375" customWidth="1"/>
    <col min="97" max="114" width="12.7109375" hidden="1" customWidth="1"/>
    <col min="115" max="120" width="22.28515625" customWidth="1"/>
    <col min="121" max="142" width="11.42578125" hidden="1" customWidth="1"/>
    <col min="143" max="143" width="11.42578125" style="399" hidden="1" customWidth="1"/>
    <col min="144" max="149" width="11.42578125" hidden="1" customWidth="1"/>
    <col min="150" max="154" width="18.5703125" customWidth="1"/>
    <col min="155" max="155" width="64.85546875" customWidth="1"/>
    <col min="156" max="157" width="19.42578125" customWidth="1"/>
    <col min="158" max="158" width="30.5703125" customWidth="1"/>
    <col min="159" max="159" width="26.42578125" customWidth="1"/>
  </cols>
  <sheetData>
    <row r="1" spans="1:159" ht="15.75" thickBot="1" x14ac:dyDescent="0.3">
      <c r="C1" s="1"/>
      <c r="D1" s="1"/>
      <c r="E1" s="1"/>
      <c r="F1" s="1"/>
      <c r="G1" s="1"/>
      <c r="H1" s="1"/>
      <c r="I1" s="2"/>
      <c r="J1" s="2"/>
      <c r="K1" s="2"/>
      <c r="L1" s="2"/>
      <c r="M1" s="2"/>
      <c r="N1" s="2"/>
      <c r="O1" s="2"/>
      <c r="P1" s="2"/>
      <c r="Q1" s="2"/>
      <c r="R1" s="2"/>
      <c r="S1" s="2"/>
      <c r="T1" s="2"/>
      <c r="U1" s="2"/>
      <c r="V1" s="2"/>
      <c r="W1" s="2"/>
      <c r="X1" s="2"/>
      <c r="Y1" s="2"/>
      <c r="Z1" s="2"/>
      <c r="AA1" s="2"/>
      <c r="AB1" s="3"/>
      <c r="AC1" s="3"/>
      <c r="AD1" s="3"/>
      <c r="AE1" s="3"/>
      <c r="AF1" s="3"/>
      <c r="AG1" s="3"/>
      <c r="AH1" s="3"/>
      <c r="AI1" s="3"/>
      <c r="AJ1" s="3"/>
      <c r="AK1" s="3"/>
      <c r="AL1" s="3"/>
      <c r="AM1" s="3"/>
      <c r="AN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row>
    <row r="2" spans="1:159" ht="31.5" customHeight="1" x14ac:dyDescent="0.25">
      <c r="A2" s="748"/>
      <c r="B2" s="749"/>
      <c r="C2" s="749"/>
      <c r="D2" s="749"/>
      <c r="E2" s="749"/>
      <c r="F2" s="749"/>
      <c r="G2" s="735" t="s">
        <v>0</v>
      </c>
      <c r="H2" s="716"/>
      <c r="I2" s="716"/>
      <c r="J2" s="716"/>
      <c r="K2" s="716"/>
      <c r="L2" s="716"/>
      <c r="M2" s="716"/>
      <c r="N2" s="716"/>
      <c r="O2" s="716"/>
      <c r="P2" s="716"/>
      <c r="Q2" s="716"/>
      <c r="R2" s="716"/>
      <c r="S2" s="716"/>
      <c r="T2" s="716"/>
      <c r="U2" s="716"/>
      <c r="V2" s="716"/>
      <c r="W2" s="716"/>
      <c r="X2" s="716"/>
      <c r="Y2" s="716"/>
      <c r="Z2" s="716"/>
      <c r="AA2" s="716"/>
      <c r="AB2" s="716"/>
      <c r="AC2" s="716"/>
      <c r="AD2" s="716"/>
      <c r="AE2" s="716"/>
      <c r="AF2" s="716"/>
      <c r="AG2" s="716"/>
      <c r="AH2" s="716"/>
      <c r="AI2" s="716"/>
      <c r="AJ2" s="716"/>
      <c r="AK2" s="716"/>
      <c r="AL2" s="716"/>
      <c r="AM2" s="716"/>
      <c r="AN2" s="716"/>
      <c r="AO2" s="716"/>
      <c r="AP2" s="716"/>
      <c r="AQ2" s="716"/>
      <c r="AR2" s="716"/>
      <c r="AS2" s="716"/>
      <c r="AT2" s="716"/>
      <c r="AU2" s="716"/>
      <c r="AV2" s="716"/>
      <c r="AW2" s="716"/>
      <c r="AX2" s="716"/>
      <c r="AY2" s="716"/>
      <c r="AZ2" s="716"/>
      <c r="BA2" s="716"/>
      <c r="BB2" s="716"/>
      <c r="BC2" s="716"/>
      <c r="BD2" s="716"/>
      <c r="BE2" s="716"/>
      <c r="BF2" s="716"/>
      <c r="BG2" s="716"/>
      <c r="BH2" s="716"/>
      <c r="BI2" s="716"/>
      <c r="BJ2" s="716"/>
      <c r="BK2" s="716"/>
      <c r="BL2" s="716"/>
      <c r="BM2" s="716"/>
      <c r="BN2" s="716"/>
      <c r="BO2" s="716"/>
      <c r="BP2" s="716"/>
      <c r="BQ2" s="716"/>
      <c r="BR2" s="716"/>
      <c r="BS2" s="716"/>
      <c r="BT2" s="716"/>
      <c r="BU2" s="716"/>
      <c r="BV2" s="716"/>
      <c r="BW2" s="716"/>
      <c r="BX2" s="716"/>
      <c r="BY2" s="716"/>
      <c r="BZ2" s="716"/>
      <c r="CA2" s="716"/>
      <c r="CB2" s="716"/>
      <c r="CC2" s="716"/>
      <c r="CD2" s="716"/>
      <c r="CE2" s="716"/>
      <c r="CF2" s="716"/>
      <c r="CG2" s="716"/>
      <c r="CH2" s="716"/>
      <c r="CI2" s="716"/>
      <c r="CJ2" s="716"/>
      <c r="CK2" s="716"/>
      <c r="CL2" s="716"/>
      <c r="CM2" s="716"/>
      <c r="CN2" s="716"/>
      <c r="CO2" s="716"/>
      <c r="CP2" s="716"/>
      <c r="CQ2" s="716"/>
      <c r="CR2" s="716"/>
      <c r="CS2" s="716"/>
      <c r="CT2" s="716"/>
      <c r="CU2" s="716"/>
      <c r="CV2" s="716"/>
      <c r="CW2" s="716"/>
      <c r="CX2" s="716"/>
      <c r="CY2" s="716"/>
      <c r="CZ2" s="716"/>
      <c r="DA2" s="716"/>
      <c r="DB2" s="716"/>
      <c r="DC2" s="716"/>
      <c r="DD2" s="716"/>
      <c r="DE2" s="716"/>
      <c r="DF2" s="716"/>
      <c r="DG2" s="716"/>
      <c r="DH2" s="716"/>
      <c r="DI2" s="716"/>
      <c r="DJ2" s="716"/>
      <c r="DK2" s="716"/>
      <c r="DL2" s="716"/>
      <c r="DM2" s="716"/>
      <c r="DN2" s="716"/>
      <c r="DO2" s="716"/>
      <c r="DP2" s="716"/>
      <c r="DQ2" s="716"/>
      <c r="DR2" s="716"/>
      <c r="DS2" s="716"/>
      <c r="DT2" s="716"/>
      <c r="DU2" s="716"/>
      <c r="DV2" s="716"/>
      <c r="DW2" s="716"/>
      <c r="DX2" s="716"/>
      <c r="DY2" s="716"/>
      <c r="DZ2" s="716"/>
      <c r="EA2" s="716"/>
      <c r="EB2" s="716"/>
      <c r="EC2" s="716"/>
      <c r="ED2" s="716"/>
      <c r="EE2" s="716"/>
      <c r="EF2" s="716"/>
      <c r="EG2" s="716"/>
      <c r="EH2" s="716"/>
      <c r="EI2" s="716"/>
      <c r="EJ2" s="716"/>
      <c r="EK2" s="716"/>
      <c r="EL2" s="716"/>
      <c r="EM2" s="736"/>
      <c r="EN2" s="716"/>
      <c r="EO2" s="716"/>
      <c r="EP2" s="716"/>
      <c r="EQ2" s="716"/>
      <c r="ER2" s="716"/>
      <c r="ES2" s="716"/>
      <c r="ET2" s="716"/>
      <c r="EU2" s="716"/>
      <c r="EV2" s="716"/>
      <c r="EW2" s="716"/>
      <c r="EX2" s="716"/>
      <c r="EY2" s="716"/>
      <c r="EZ2" s="716"/>
      <c r="FA2" s="716"/>
      <c r="FB2" s="716"/>
      <c r="FC2" s="717"/>
    </row>
    <row r="3" spans="1:159" ht="28.5" customHeight="1" thickBot="1" x14ac:dyDescent="0.3">
      <c r="A3" s="750"/>
      <c r="B3" s="751"/>
      <c r="C3" s="751"/>
      <c r="D3" s="751"/>
      <c r="E3" s="751"/>
      <c r="F3" s="751"/>
      <c r="G3" s="737" t="s">
        <v>1</v>
      </c>
      <c r="H3" s="738"/>
      <c r="I3" s="738"/>
      <c r="J3" s="738"/>
      <c r="K3" s="738"/>
      <c r="L3" s="738"/>
      <c r="M3" s="738"/>
      <c r="N3" s="738"/>
      <c r="O3" s="738"/>
      <c r="P3" s="738"/>
      <c r="Q3" s="738"/>
      <c r="R3" s="738"/>
      <c r="S3" s="738"/>
      <c r="T3" s="738"/>
      <c r="U3" s="738"/>
      <c r="V3" s="738"/>
      <c r="W3" s="738"/>
      <c r="X3" s="738"/>
      <c r="Y3" s="738"/>
      <c r="Z3" s="738"/>
      <c r="AA3" s="738"/>
      <c r="AB3" s="738"/>
      <c r="AC3" s="738"/>
      <c r="AD3" s="738"/>
      <c r="AE3" s="738"/>
      <c r="AF3" s="738"/>
      <c r="AG3" s="738"/>
      <c r="AH3" s="738"/>
      <c r="AI3" s="738"/>
      <c r="AJ3" s="738"/>
      <c r="AK3" s="738"/>
      <c r="AL3" s="738"/>
      <c r="AM3" s="738"/>
      <c r="AN3" s="738"/>
      <c r="AO3" s="738"/>
      <c r="AP3" s="738"/>
      <c r="AQ3" s="738"/>
      <c r="AR3" s="738"/>
      <c r="AS3" s="738"/>
      <c r="AT3" s="738"/>
      <c r="AU3" s="738"/>
      <c r="AV3" s="738"/>
      <c r="AW3" s="738"/>
      <c r="AX3" s="738"/>
      <c r="AY3" s="738"/>
      <c r="AZ3" s="738"/>
      <c r="BA3" s="738"/>
      <c r="BB3" s="738"/>
      <c r="BC3" s="738"/>
      <c r="BD3" s="738"/>
      <c r="BE3" s="738"/>
      <c r="BF3" s="738"/>
      <c r="BG3" s="738"/>
      <c r="BH3" s="738"/>
      <c r="BI3" s="738"/>
      <c r="BJ3" s="738"/>
      <c r="BK3" s="738"/>
      <c r="BL3" s="738"/>
      <c r="BM3" s="738"/>
      <c r="BN3" s="738"/>
      <c r="BO3" s="738"/>
      <c r="BP3" s="738"/>
      <c r="BQ3" s="738"/>
      <c r="BR3" s="738"/>
      <c r="BS3" s="738"/>
      <c r="BT3" s="738"/>
      <c r="BU3" s="738"/>
      <c r="BV3" s="738"/>
      <c r="BW3" s="738"/>
      <c r="BX3" s="738"/>
      <c r="BY3" s="738"/>
      <c r="BZ3" s="738"/>
      <c r="CA3" s="738"/>
      <c r="CB3" s="738"/>
      <c r="CC3" s="738"/>
      <c r="CD3" s="738"/>
      <c r="CE3" s="738"/>
      <c r="CF3" s="738"/>
      <c r="CG3" s="738"/>
      <c r="CH3" s="738"/>
      <c r="CI3" s="738"/>
      <c r="CJ3" s="738"/>
      <c r="CK3" s="738"/>
      <c r="CL3" s="738"/>
      <c r="CM3" s="738"/>
      <c r="CN3" s="738"/>
      <c r="CO3" s="738"/>
      <c r="CP3" s="738"/>
      <c r="CQ3" s="738"/>
      <c r="CR3" s="738"/>
      <c r="CS3" s="738"/>
      <c r="CT3" s="738"/>
      <c r="CU3" s="738"/>
      <c r="CV3" s="738"/>
      <c r="CW3" s="738"/>
      <c r="CX3" s="738"/>
      <c r="CY3" s="738"/>
      <c r="CZ3" s="738"/>
      <c r="DA3" s="738"/>
      <c r="DB3" s="738"/>
      <c r="DC3" s="738"/>
      <c r="DD3" s="738"/>
      <c r="DE3" s="738"/>
      <c r="DF3" s="738"/>
      <c r="DG3" s="738"/>
      <c r="DH3" s="738"/>
      <c r="DI3" s="738"/>
      <c r="DJ3" s="738"/>
      <c r="DK3" s="738"/>
      <c r="DL3" s="738"/>
      <c r="DM3" s="738"/>
      <c r="DN3" s="738"/>
      <c r="DO3" s="738"/>
      <c r="DP3" s="738"/>
      <c r="DQ3" s="738"/>
      <c r="DR3" s="738"/>
      <c r="DS3" s="738"/>
      <c r="DT3" s="738"/>
      <c r="DU3" s="738"/>
      <c r="DV3" s="738"/>
      <c r="DW3" s="738"/>
      <c r="DX3" s="738"/>
      <c r="DY3" s="738"/>
      <c r="DZ3" s="738"/>
      <c r="EA3" s="738"/>
      <c r="EB3" s="738"/>
      <c r="EC3" s="738"/>
      <c r="ED3" s="738"/>
      <c r="EE3" s="738"/>
      <c r="EF3" s="738"/>
      <c r="EG3" s="738"/>
      <c r="EH3" s="738"/>
      <c r="EI3" s="738"/>
      <c r="EJ3" s="738"/>
      <c r="EK3" s="738"/>
      <c r="EL3" s="738"/>
      <c r="EM3" s="739"/>
      <c r="EN3" s="738"/>
      <c r="EO3" s="738"/>
      <c r="EP3" s="738"/>
      <c r="EQ3" s="738"/>
      <c r="ER3" s="738"/>
      <c r="ES3" s="738"/>
      <c r="ET3" s="738"/>
      <c r="EU3" s="738"/>
      <c r="EV3" s="738"/>
      <c r="EW3" s="738"/>
      <c r="EX3" s="738"/>
      <c r="EY3" s="738"/>
      <c r="EZ3" s="738"/>
      <c r="FA3" s="738"/>
      <c r="FB3" s="738"/>
      <c r="FC3" s="740"/>
    </row>
    <row r="4" spans="1:159" ht="42" customHeight="1" thickBot="1" x14ac:dyDescent="0.3">
      <c r="A4" s="752"/>
      <c r="B4" s="753"/>
      <c r="C4" s="753"/>
      <c r="D4" s="753"/>
      <c r="E4" s="753"/>
      <c r="F4" s="753"/>
      <c r="G4" s="741" t="s">
        <v>2</v>
      </c>
      <c r="H4" s="742"/>
      <c r="I4" s="742"/>
      <c r="J4" s="742"/>
      <c r="K4" s="742"/>
      <c r="L4" s="742"/>
      <c r="M4" s="742"/>
      <c r="N4" s="742"/>
      <c r="O4" s="742"/>
      <c r="P4" s="742"/>
      <c r="Q4" s="742"/>
      <c r="R4" s="742"/>
      <c r="S4" s="742"/>
      <c r="T4" s="742"/>
      <c r="U4" s="742"/>
      <c r="V4" s="742"/>
      <c r="W4" s="742"/>
      <c r="X4" s="742"/>
      <c r="Y4" s="742"/>
      <c r="Z4" s="742"/>
      <c r="AA4" s="742"/>
      <c r="AB4" s="742"/>
      <c r="AC4" s="742"/>
      <c r="AD4" s="742"/>
      <c r="AE4" s="742"/>
      <c r="AF4" s="742"/>
      <c r="AG4" s="742"/>
      <c r="AH4" s="742"/>
      <c r="AI4" s="742"/>
      <c r="AJ4" s="742"/>
      <c r="AK4" s="742"/>
      <c r="AL4" s="742"/>
      <c r="AM4" s="742"/>
      <c r="AN4" s="742"/>
      <c r="AO4" s="742"/>
      <c r="AP4" s="742"/>
      <c r="AQ4" s="742"/>
      <c r="AR4" s="742"/>
      <c r="AS4" s="742"/>
      <c r="AT4" s="742"/>
      <c r="AU4" s="742"/>
      <c r="AV4" s="742"/>
      <c r="AW4" s="742"/>
      <c r="AX4" s="742"/>
      <c r="AY4" s="742"/>
      <c r="AZ4" s="742"/>
      <c r="BA4" s="742"/>
      <c r="BB4" s="742"/>
      <c r="BC4" s="742"/>
      <c r="BD4" s="742"/>
      <c r="BE4" s="742"/>
      <c r="BF4" s="742"/>
      <c r="BG4" s="742"/>
      <c r="BH4" s="742"/>
      <c r="BI4" s="742"/>
      <c r="BJ4" s="742"/>
      <c r="BK4" s="742"/>
      <c r="BL4" s="742"/>
      <c r="BM4" s="742"/>
      <c r="BN4" s="742"/>
      <c r="BO4" s="742"/>
      <c r="BP4" s="742"/>
      <c r="BQ4" s="742"/>
      <c r="BR4" s="742"/>
      <c r="BS4" s="742"/>
      <c r="BT4" s="742"/>
      <c r="BU4" s="742"/>
      <c r="BV4" s="742"/>
      <c r="BW4" s="742"/>
      <c r="BX4" s="742"/>
      <c r="BY4" s="742"/>
      <c r="BZ4" s="742"/>
      <c r="CA4" s="742"/>
      <c r="CB4" s="742"/>
      <c r="CC4" s="742"/>
      <c r="CD4" s="742"/>
      <c r="CE4" s="742"/>
      <c r="CF4" s="742"/>
      <c r="CG4" s="742"/>
      <c r="CH4" s="742"/>
      <c r="CI4" s="742"/>
      <c r="CJ4" s="742"/>
      <c r="CK4" s="742"/>
      <c r="CL4" s="742"/>
      <c r="CM4" s="742"/>
      <c r="CN4" s="742"/>
      <c r="CO4" s="742"/>
      <c r="CP4" s="742"/>
      <c r="CQ4" s="742"/>
      <c r="CR4" s="742"/>
      <c r="CS4" s="742"/>
      <c r="CT4" s="742"/>
      <c r="CU4" s="742"/>
      <c r="CV4" s="742"/>
      <c r="CW4" s="742"/>
      <c r="CX4" s="742"/>
      <c r="CY4" s="742"/>
      <c r="CZ4" s="742"/>
      <c r="DA4" s="742"/>
      <c r="DB4" s="742"/>
      <c r="DC4" s="742"/>
      <c r="DD4" s="742"/>
      <c r="DE4" s="742"/>
      <c r="DF4" s="742"/>
      <c r="DG4" s="742"/>
      <c r="DH4" s="742"/>
      <c r="DI4" s="742"/>
      <c r="DJ4" s="742"/>
      <c r="DK4" s="742"/>
      <c r="DL4" s="742"/>
      <c r="DM4" s="742"/>
      <c r="DN4" s="742"/>
      <c r="DO4" s="742"/>
      <c r="DP4" s="742"/>
      <c r="DQ4" s="742"/>
      <c r="DR4" s="742"/>
      <c r="DS4" s="742"/>
      <c r="DT4" s="742"/>
      <c r="DU4" s="742"/>
      <c r="DV4" s="742"/>
      <c r="DW4" s="742"/>
      <c r="DX4" s="742"/>
      <c r="DY4" s="742"/>
      <c r="DZ4" s="742"/>
      <c r="EA4" s="742"/>
      <c r="EB4" s="742"/>
      <c r="EC4" s="742"/>
      <c r="ED4" s="742"/>
      <c r="EE4" s="742"/>
      <c r="EF4" s="742"/>
      <c r="EG4" s="742"/>
      <c r="EH4" s="742"/>
      <c r="EI4" s="742"/>
      <c r="EJ4" s="742"/>
      <c r="EK4" s="742"/>
      <c r="EL4" s="742"/>
      <c r="EM4" s="743"/>
      <c r="EN4" s="742"/>
      <c r="EO4" s="742"/>
      <c r="EP4" s="742"/>
      <c r="EQ4" s="742"/>
      <c r="ER4" s="742"/>
      <c r="ES4" s="742"/>
      <c r="ET4" s="744"/>
      <c r="EU4" s="745" t="s">
        <v>3</v>
      </c>
      <c r="EV4" s="746"/>
      <c r="EW4" s="746"/>
      <c r="EX4" s="746"/>
      <c r="EY4" s="746"/>
      <c r="EZ4" s="746"/>
      <c r="FA4" s="746"/>
      <c r="FB4" s="746"/>
      <c r="FC4" s="747"/>
    </row>
    <row r="5" spans="1:159" ht="15.75" thickBot="1" x14ac:dyDescent="0.3">
      <c r="A5" s="715" t="s">
        <v>4</v>
      </c>
      <c r="B5" s="716"/>
      <c r="C5" s="716"/>
      <c r="D5" s="716"/>
      <c r="E5" s="716"/>
      <c r="F5" s="717"/>
      <c r="G5" s="760" t="s">
        <v>5</v>
      </c>
      <c r="H5" s="742"/>
      <c r="I5" s="742"/>
      <c r="J5" s="742"/>
      <c r="K5" s="742"/>
      <c r="L5" s="742"/>
      <c r="M5" s="742"/>
      <c r="N5" s="742"/>
      <c r="O5" s="742"/>
      <c r="P5" s="742"/>
      <c r="Q5" s="742"/>
      <c r="R5" s="742"/>
      <c r="S5" s="742"/>
      <c r="T5" s="742"/>
      <c r="U5" s="742"/>
      <c r="V5" s="742"/>
      <c r="W5" s="742"/>
      <c r="X5" s="742"/>
      <c r="Y5" s="742"/>
      <c r="Z5" s="742"/>
      <c r="AA5" s="742"/>
      <c r="AB5" s="742"/>
      <c r="AC5" s="742"/>
      <c r="AD5" s="742"/>
      <c r="AE5" s="742"/>
      <c r="AF5" s="742"/>
      <c r="AG5" s="742"/>
      <c r="AH5" s="742"/>
      <c r="AI5" s="742"/>
      <c r="AJ5" s="742"/>
      <c r="AK5" s="742"/>
      <c r="AL5" s="742"/>
      <c r="AM5" s="742"/>
      <c r="AN5" s="742"/>
      <c r="AO5" s="742"/>
      <c r="AP5" s="742"/>
      <c r="AQ5" s="742"/>
      <c r="AR5" s="742"/>
      <c r="AS5" s="742"/>
      <c r="AT5" s="742"/>
      <c r="AU5" s="742"/>
      <c r="AV5" s="742"/>
      <c r="AW5" s="742"/>
      <c r="AX5" s="742"/>
      <c r="AY5" s="742"/>
      <c r="AZ5" s="742"/>
      <c r="BA5" s="742"/>
      <c r="BB5" s="742"/>
      <c r="BC5" s="742"/>
      <c r="BD5" s="742"/>
      <c r="BE5" s="742"/>
      <c r="BF5" s="742"/>
      <c r="BG5" s="742"/>
      <c r="BH5" s="742"/>
      <c r="BI5" s="742"/>
      <c r="BJ5" s="742"/>
      <c r="BK5" s="742"/>
      <c r="BL5" s="742"/>
      <c r="BM5" s="742"/>
      <c r="BN5" s="742"/>
      <c r="BO5" s="742"/>
      <c r="BP5" s="742"/>
      <c r="BQ5" s="742"/>
      <c r="BR5" s="742"/>
      <c r="BS5" s="742"/>
      <c r="BT5" s="742"/>
      <c r="BU5" s="742"/>
      <c r="BV5" s="742"/>
      <c r="BW5" s="742"/>
      <c r="BX5" s="742"/>
      <c r="BY5" s="742"/>
      <c r="BZ5" s="742"/>
      <c r="CA5" s="742"/>
      <c r="CB5" s="742"/>
      <c r="CC5" s="742"/>
      <c r="CD5" s="742"/>
      <c r="CE5" s="742"/>
      <c r="CF5" s="742"/>
      <c r="CG5" s="742"/>
      <c r="CH5" s="742"/>
      <c r="CI5" s="742"/>
      <c r="CJ5" s="742"/>
      <c r="CK5" s="742"/>
      <c r="CL5" s="742"/>
      <c r="CM5" s="742"/>
      <c r="CN5" s="742"/>
      <c r="CO5" s="742"/>
      <c r="CP5" s="742"/>
      <c r="CQ5" s="742"/>
      <c r="CR5" s="742"/>
      <c r="CS5" s="742"/>
      <c r="CT5" s="742"/>
      <c r="CU5" s="742"/>
      <c r="CV5" s="742"/>
      <c r="CW5" s="742"/>
      <c r="CX5" s="742"/>
      <c r="CY5" s="742"/>
      <c r="CZ5" s="742"/>
      <c r="DA5" s="742"/>
      <c r="DB5" s="742"/>
      <c r="DC5" s="742"/>
      <c r="DD5" s="742"/>
      <c r="DE5" s="742"/>
      <c r="DF5" s="742"/>
      <c r="DG5" s="742"/>
      <c r="DH5" s="742"/>
      <c r="DI5" s="742"/>
      <c r="DJ5" s="742"/>
      <c r="DK5" s="742"/>
      <c r="DL5" s="742"/>
      <c r="DM5" s="742"/>
      <c r="DN5" s="742"/>
      <c r="DO5" s="742"/>
      <c r="DP5" s="742"/>
      <c r="DQ5" s="742"/>
      <c r="DR5" s="742"/>
      <c r="DS5" s="742"/>
      <c r="DT5" s="742"/>
      <c r="DU5" s="742"/>
      <c r="DV5" s="742"/>
      <c r="DW5" s="742"/>
      <c r="DX5" s="742"/>
      <c r="DY5" s="742"/>
      <c r="DZ5" s="742"/>
      <c r="EA5" s="742"/>
      <c r="EB5" s="742"/>
      <c r="EC5" s="742"/>
      <c r="ED5" s="742"/>
      <c r="EE5" s="742"/>
      <c r="EF5" s="742"/>
      <c r="EG5" s="742"/>
      <c r="EH5" s="742"/>
      <c r="EI5" s="742"/>
      <c r="EJ5" s="742"/>
      <c r="EK5" s="742"/>
      <c r="EL5" s="742"/>
      <c r="EM5" s="743"/>
      <c r="EN5" s="742"/>
      <c r="EO5" s="742"/>
      <c r="EP5" s="742"/>
      <c r="EQ5" s="742"/>
      <c r="ER5" s="742"/>
      <c r="ES5" s="742"/>
      <c r="ET5" s="742"/>
      <c r="EU5" s="742"/>
      <c r="EV5" s="742"/>
      <c r="EW5" s="742"/>
      <c r="EX5" s="742"/>
      <c r="EY5" s="742"/>
      <c r="EZ5" s="742"/>
      <c r="FA5" s="742"/>
      <c r="FB5" s="742"/>
      <c r="FC5" s="744"/>
    </row>
    <row r="6" spans="1:159" ht="15.75" thickBot="1" x14ac:dyDescent="0.3">
      <c r="A6" s="715" t="s">
        <v>6</v>
      </c>
      <c r="B6" s="716"/>
      <c r="C6" s="716"/>
      <c r="D6" s="716"/>
      <c r="E6" s="716"/>
      <c r="F6" s="717"/>
      <c r="G6" s="760" t="s">
        <v>7</v>
      </c>
      <c r="H6" s="742"/>
      <c r="I6" s="742"/>
      <c r="J6" s="742"/>
      <c r="K6" s="742"/>
      <c r="L6" s="742"/>
      <c r="M6" s="742"/>
      <c r="N6" s="742"/>
      <c r="O6" s="742"/>
      <c r="P6" s="742"/>
      <c r="Q6" s="742"/>
      <c r="R6" s="742"/>
      <c r="S6" s="742"/>
      <c r="T6" s="742"/>
      <c r="U6" s="742"/>
      <c r="V6" s="742"/>
      <c r="W6" s="742"/>
      <c r="X6" s="742"/>
      <c r="Y6" s="742"/>
      <c r="Z6" s="742"/>
      <c r="AA6" s="742"/>
      <c r="AB6" s="742"/>
      <c r="AC6" s="742"/>
      <c r="AD6" s="742"/>
      <c r="AE6" s="742"/>
      <c r="AF6" s="742"/>
      <c r="AG6" s="742"/>
      <c r="AH6" s="742"/>
      <c r="AI6" s="742"/>
      <c r="AJ6" s="742"/>
      <c r="AK6" s="742"/>
      <c r="AL6" s="742"/>
      <c r="AM6" s="742"/>
      <c r="AN6" s="742"/>
      <c r="AO6" s="742"/>
      <c r="AP6" s="742"/>
      <c r="AQ6" s="742"/>
      <c r="AR6" s="742"/>
      <c r="AS6" s="742"/>
      <c r="AT6" s="742"/>
      <c r="AU6" s="742"/>
      <c r="AV6" s="742"/>
      <c r="AW6" s="742"/>
      <c r="AX6" s="742"/>
      <c r="AY6" s="742"/>
      <c r="AZ6" s="742"/>
      <c r="BA6" s="742"/>
      <c r="BB6" s="742"/>
      <c r="BC6" s="742"/>
      <c r="BD6" s="742"/>
      <c r="BE6" s="742"/>
      <c r="BF6" s="742"/>
      <c r="BG6" s="742"/>
      <c r="BH6" s="742"/>
      <c r="BI6" s="742"/>
      <c r="BJ6" s="742"/>
      <c r="BK6" s="742"/>
      <c r="BL6" s="742"/>
      <c r="BM6" s="742"/>
      <c r="BN6" s="742"/>
      <c r="BO6" s="742"/>
      <c r="BP6" s="742"/>
      <c r="BQ6" s="742"/>
      <c r="BR6" s="742"/>
      <c r="BS6" s="742"/>
      <c r="BT6" s="742"/>
      <c r="BU6" s="742"/>
      <c r="BV6" s="742"/>
      <c r="BW6" s="742"/>
      <c r="BX6" s="742"/>
      <c r="BY6" s="742"/>
      <c r="BZ6" s="742"/>
      <c r="CA6" s="742"/>
      <c r="CB6" s="742"/>
      <c r="CC6" s="742"/>
      <c r="CD6" s="742"/>
      <c r="CE6" s="742"/>
      <c r="CF6" s="742"/>
      <c r="CG6" s="742"/>
      <c r="CH6" s="742"/>
      <c r="CI6" s="742"/>
      <c r="CJ6" s="742"/>
      <c r="CK6" s="742"/>
      <c r="CL6" s="742"/>
      <c r="CM6" s="742"/>
      <c r="CN6" s="742"/>
      <c r="CO6" s="742"/>
      <c r="CP6" s="742"/>
      <c r="CQ6" s="742"/>
      <c r="CR6" s="742"/>
      <c r="CS6" s="742"/>
      <c r="CT6" s="742"/>
      <c r="CU6" s="742"/>
      <c r="CV6" s="742"/>
      <c r="CW6" s="742"/>
      <c r="CX6" s="742"/>
      <c r="CY6" s="742"/>
      <c r="CZ6" s="742"/>
      <c r="DA6" s="742"/>
      <c r="DB6" s="742"/>
      <c r="DC6" s="742"/>
      <c r="DD6" s="742"/>
      <c r="DE6" s="742"/>
      <c r="DF6" s="742"/>
      <c r="DG6" s="742"/>
      <c r="DH6" s="742"/>
      <c r="DI6" s="742"/>
      <c r="DJ6" s="742"/>
      <c r="DK6" s="742"/>
      <c r="DL6" s="742"/>
      <c r="DM6" s="742"/>
      <c r="DN6" s="742"/>
      <c r="DO6" s="742"/>
      <c r="DP6" s="742"/>
      <c r="DQ6" s="742"/>
      <c r="DR6" s="742"/>
      <c r="DS6" s="742"/>
      <c r="DT6" s="742"/>
      <c r="DU6" s="742"/>
      <c r="DV6" s="742"/>
      <c r="DW6" s="742"/>
      <c r="DX6" s="742"/>
      <c r="DY6" s="742"/>
      <c r="DZ6" s="742"/>
      <c r="EA6" s="742"/>
      <c r="EB6" s="742"/>
      <c r="EC6" s="742"/>
      <c r="ED6" s="742"/>
      <c r="EE6" s="742"/>
      <c r="EF6" s="742"/>
      <c r="EG6" s="742"/>
      <c r="EH6" s="742"/>
      <c r="EI6" s="742"/>
      <c r="EJ6" s="742"/>
      <c r="EK6" s="742"/>
      <c r="EL6" s="742"/>
      <c r="EM6" s="743"/>
      <c r="EN6" s="742"/>
      <c r="EO6" s="742"/>
      <c r="EP6" s="742"/>
      <c r="EQ6" s="742"/>
      <c r="ER6" s="742"/>
      <c r="ES6" s="742"/>
      <c r="ET6" s="742"/>
      <c r="EU6" s="742"/>
      <c r="EV6" s="742"/>
      <c r="EW6" s="742"/>
      <c r="EX6" s="742"/>
      <c r="EY6" s="742"/>
      <c r="EZ6" s="742"/>
      <c r="FA6" s="742"/>
      <c r="FB6" s="742"/>
      <c r="FC6" s="744"/>
    </row>
    <row r="7" spans="1:159" ht="15.75" thickBot="1" x14ac:dyDescent="0.3">
      <c r="A7" s="715" t="s">
        <v>8</v>
      </c>
      <c r="B7" s="716"/>
      <c r="C7" s="716"/>
      <c r="D7" s="716"/>
      <c r="E7" s="716"/>
      <c r="F7" s="717"/>
      <c r="G7" s="760" t="s">
        <v>9</v>
      </c>
      <c r="H7" s="742"/>
      <c r="I7" s="742"/>
      <c r="J7" s="742"/>
      <c r="K7" s="742"/>
      <c r="L7" s="742"/>
      <c r="M7" s="742"/>
      <c r="N7" s="742"/>
      <c r="O7" s="742"/>
      <c r="P7" s="742"/>
      <c r="Q7" s="742"/>
      <c r="R7" s="742"/>
      <c r="S7" s="742"/>
      <c r="T7" s="742"/>
      <c r="U7" s="742"/>
      <c r="V7" s="742"/>
      <c r="W7" s="742"/>
      <c r="X7" s="742"/>
      <c r="Y7" s="742"/>
      <c r="Z7" s="742"/>
      <c r="AA7" s="742"/>
      <c r="AB7" s="742"/>
      <c r="AC7" s="742"/>
      <c r="AD7" s="742"/>
      <c r="AE7" s="742"/>
      <c r="AF7" s="742"/>
      <c r="AG7" s="742"/>
      <c r="AH7" s="742"/>
      <c r="AI7" s="742"/>
      <c r="AJ7" s="742"/>
      <c r="AK7" s="742"/>
      <c r="AL7" s="742"/>
      <c r="AM7" s="742"/>
      <c r="AN7" s="742"/>
      <c r="AO7" s="742"/>
      <c r="AP7" s="742"/>
      <c r="AQ7" s="742"/>
      <c r="AR7" s="742"/>
      <c r="AS7" s="742"/>
      <c r="AT7" s="742"/>
      <c r="AU7" s="742"/>
      <c r="AV7" s="742"/>
      <c r="AW7" s="742"/>
      <c r="AX7" s="742"/>
      <c r="AY7" s="742"/>
      <c r="AZ7" s="742"/>
      <c r="BA7" s="742"/>
      <c r="BB7" s="742"/>
      <c r="BC7" s="742"/>
      <c r="BD7" s="742"/>
      <c r="BE7" s="742"/>
      <c r="BF7" s="742"/>
      <c r="BG7" s="742"/>
      <c r="BH7" s="742"/>
      <c r="BI7" s="742"/>
      <c r="BJ7" s="742"/>
      <c r="BK7" s="742"/>
      <c r="BL7" s="742"/>
      <c r="BM7" s="742"/>
      <c r="BN7" s="742"/>
      <c r="BO7" s="742"/>
      <c r="BP7" s="742"/>
      <c r="BQ7" s="742"/>
      <c r="BR7" s="742"/>
      <c r="BS7" s="742"/>
      <c r="BT7" s="742"/>
      <c r="BU7" s="742"/>
      <c r="BV7" s="742"/>
      <c r="BW7" s="742"/>
      <c r="BX7" s="742"/>
      <c r="BY7" s="742"/>
      <c r="BZ7" s="742"/>
      <c r="CA7" s="742"/>
      <c r="CB7" s="742"/>
      <c r="CC7" s="742"/>
      <c r="CD7" s="742"/>
      <c r="CE7" s="742"/>
      <c r="CF7" s="742"/>
      <c r="CG7" s="742"/>
      <c r="CH7" s="742"/>
      <c r="CI7" s="742"/>
      <c r="CJ7" s="742"/>
      <c r="CK7" s="742"/>
      <c r="CL7" s="742"/>
      <c r="CM7" s="742"/>
      <c r="CN7" s="742"/>
      <c r="CO7" s="742"/>
      <c r="CP7" s="742"/>
      <c r="CQ7" s="742"/>
      <c r="CR7" s="742"/>
      <c r="CS7" s="742"/>
      <c r="CT7" s="742"/>
      <c r="CU7" s="742"/>
      <c r="CV7" s="742"/>
      <c r="CW7" s="742"/>
      <c r="CX7" s="742"/>
      <c r="CY7" s="742"/>
      <c r="CZ7" s="742"/>
      <c r="DA7" s="742"/>
      <c r="DB7" s="742"/>
      <c r="DC7" s="742"/>
      <c r="DD7" s="742"/>
      <c r="DE7" s="742"/>
      <c r="DF7" s="742"/>
      <c r="DG7" s="742"/>
      <c r="DH7" s="742"/>
      <c r="DI7" s="742"/>
      <c r="DJ7" s="742"/>
      <c r="DK7" s="742"/>
      <c r="DL7" s="742"/>
      <c r="DM7" s="742"/>
      <c r="DN7" s="742"/>
      <c r="DO7" s="742"/>
      <c r="DP7" s="742"/>
      <c r="DQ7" s="742"/>
      <c r="DR7" s="742"/>
      <c r="DS7" s="742"/>
      <c r="DT7" s="742"/>
      <c r="DU7" s="742"/>
      <c r="DV7" s="742"/>
      <c r="DW7" s="742"/>
      <c r="DX7" s="742"/>
      <c r="DY7" s="742"/>
      <c r="DZ7" s="742"/>
      <c r="EA7" s="742"/>
      <c r="EB7" s="742"/>
      <c r="EC7" s="742"/>
      <c r="ED7" s="742"/>
      <c r="EE7" s="742"/>
      <c r="EF7" s="742"/>
      <c r="EG7" s="742"/>
      <c r="EH7" s="742"/>
      <c r="EI7" s="742"/>
      <c r="EJ7" s="742"/>
      <c r="EK7" s="742"/>
      <c r="EL7" s="742"/>
      <c r="EM7" s="743"/>
      <c r="EN7" s="742"/>
      <c r="EO7" s="742"/>
      <c r="EP7" s="742"/>
      <c r="EQ7" s="742"/>
      <c r="ER7" s="742"/>
      <c r="ES7" s="742"/>
      <c r="ET7" s="742"/>
      <c r="EU7" s="742"/>
      <c r="EV7" s="742"/>
      <c r="EW7" s="742"/>
      <c r="EX7" s="742"/>
      <c r="EY7" s="742"/>
      <c r="EZ7" s="742"/>
      <c r="FA7" s="742"/>
      <c r="FB7" s="742"/>
      <c r="FC7" s="744"/>
    </row>
    <row r="8" spans="1:159" ht="15.75" thickBot="1" x14ac:dyDescent="0.3">
      <c r="A8" s="715" t="s">
        <v>10</v>
      </c>
      <c r="B8" s="716"/>
      <c r="C8" s="716"/>
      <c r="D8" s="716"/>
      <c r="E8" s="716"/>
      <c r="F8" s="717"/>
      <c r="G8" s="761" t="s">
        <v>11</v>
      </c>
      <c r="H8" s="753"/>
      <c r="I8" s="753"/>
      <c r="J8" s="753"/>
      <c r="K8" s="753"/>
      <c r="L8" s="753"/>
      <c r="M8" s="753"/>
      <c r="N8" s="753"/>
      <c r="O8" s="753"/>
      <c r="P8" s="753"/>
      <c r="Q8" s="753"/>
      <c r="R8" s="753"/>
      <c r="S8" s="753"/>
      <c r="T8" s="753"/>
      <c r="U8" s="753"/>
      <c r="V8" s="753"/>
      <c r="W8" s="753"/>
      <c r="X8" s="753"/>
      <c r="Y8" s="753"/>
      <c r="Z8" s="753"/>
      <c r="AA8" s="753"/>
      <c r="AB8" s="753"/>
      <c r="AC8" s="753"/>
      <c r="AD8" s="753"/>
      <c r="AE8" s="753"/>
      <c r="AF8" s="753"/>
      <c r="AG8" s="753"/>
      <c r="AH8" s="753"/>
      <c r="AI8" s="753"/>
      <c r="AJ8" s="753"/>
      <c r="AK8" s="753"/>
      <c r="AL8" s="753"/>
      <c r="AM8" s="753"/>
      <c r="AN8" s="753"/>
      <c r="AO8" s="753"/>
      <c r="AP8" s="753"/>
      <c r="AQ8" s="753"/>
      <c r="AR8" s="753"/>
      <c r="AS8" s="753"/>
      <c r="AT8" s="753"/>
      <c r="AU8" s="753"/>
      <c r="AV8" s="753"/>
      <c r="AW8" s="753"/>
      <c r="AX8" s="753"/>
      <c r="AY8" s="753"/>
      <c r="AZ8" s="753"/>
      <c r="BA8" s="753"/>
      <c r="BB8" s="753"/>
      <c r="BC8" s="753"/>
      <c r="BD8" s="753"/>
      <c r="BE8" s="753"/>
      <c r="BF8" s="753"/>
      <c r="BG8" s="753"/>
      <c r="BH8" s="753"/>
      <c r="BI8" s="753"/>
      <c r="BJ8" s="753"/>
      <c r="BK8" s="753"/>
      <c r="BL8" s="753"/>
      <c r="BM8" s="753"/>
      <c r="BN8" s="753"/>
      <c r="BO8" s="753"/>
      <c r="BP8" s="753"/>
      <c r="BQ8" s="753"/>
      <c r="BR8" s="753"/>
      <c r="BS8" s="753"/>
      <c r="BT8" s="753"/>
      <c r="BU8" s="753"/>
      <c r="BV8" s="753"/>
      <c r="BW8" s="753"/>
      <c r="BX8" s="753"/>
      <c r="BY8" s="753"/>
      <c r="BZ8" s="753"/>
      <c r="CA8" s="753"/>
      <c r="CB8" s="753"/>
      <c r="CC8" s="753"/>
      <c r="CD8" s="753"/>
      <c r="CE8" s="753"/>
      <c r="CF8" s="753"/>
      <c r="CG8" s="753"/>
      <c r="CH8" s="753"/>
      <c r="CI8" s="753"/>
      <c r="CJ8" s="753"/>
      <c r="CK8" s="753"/>
      <c r="CL8" s="753"/>
      <c r="CM8" s="753"/>
      <c r="CN8" s="753"/>
      <c r="CO8" s="753"/>
      <c r="CP8" s="753"/>
      <c r="CQ8" s="753"/>
      <c r="CR8" s="753"/>
      <c r="CS8" s="753"/>
      <c r="CT8" s="753"/>
      <c r="CU8" s="753"/>
      <c r="CV8" s="753"/>
      <c r="CW8" s="753"/>
      <c r="CX8" s="753"/>
      <c r="CY8" s="753"/>
      <c r="CZ8" s="753"/>
      <c r="DA8" s="753"/>
      <c r="DB8" s="753"/>
      <c r="DC8" s="753"/>
      <c r="DD8" s="753"/>
      <c r="DE8" s="753"/>
      <c r="DF8" s="753"/>
      <c r="DG8" s="753"/>
      <c r="DH8" s="753"/>
      <c r="DI8" s="753"/>
      <c r="DJ8" s="753"/>
      <c r="DK8" s="753"/>
      <c r="DL8" s="753"/>
      <c r="DM8" s="753"/>
      <c r="DN8" s="753"/>
      <c r="DO8" s="753"/>
      <c r="DP8" s="753"/>
      <c r="DQ8" s="753"/>
      <c r="DR8" s="753"/>
      <c r="DS8" s="753"/>
      <c r="DT8" s="753"/>
      <c r="DU8" s="753"/>
      <c r="DV8" s="753"/>
      <c r="DW8" s="753"/>
      <c r="DX8" s="753"/>
      <c r="DY8" s="753"/>
      <c r="DZ8" s="753"/>
      <c r="EA8" s="753"/>
      <c r="EB8" s="753"/>
      <c r="EC8" s="753"/>
      <c r="ED8" s="753"/>
      <c r="EE8" s="753"/>
      <c r="EF8" s="753"/>
      <c r="EG8" s="753"/>
      <c r="EH8" s="753"/>
      <c r="EI8" s="753"/>
      <c r="EJ8" s="753"/>
      <c r="EK8" s="753"/>
      <c r="EL8" s="753"/>
      <c r="EM8" s="762"/>
      <c r="EN8" s="753"/>
      <c r="EO8" s="753"/>
      <c r="EP8" s="753"/>
      <c r="EQ8" s="753"/>
      <c r="ER8" s="753"/>
      <c r="ES8" s="753"/>
      <c r="ET8" s="753"/>
      <c r="EU8" s="753"/>
      <c r="EV8" s="753"/>
      <c r="EW8" s="753"/>
      <c r="EX8" s="753"/>
      <c r="EY8" s="753"/>
      <c r="EZ8" s="753"/>
      <c r="FA8" s="753"/>
      <c r="FB8" s="753"/>
      <c r="FC8" s="763"/>
    </row>
    <row r="9" spans="1:159" ht="18.75" thickBot="1" x14ac:dyDescent="0.3">
      <c r="A9" s="5"/>
      <c r="B9" s="6"/>
      <c r="C9" s="6"/>
      <c r="D9" s="6"/>
      <c r="E9" s="6"/>
      <c r="F9" s="6"/>
      <c r="G9" s="7"/>
      <c r="H9" s="7"/>
      <c r="I9" s="7"/>
      <c r="J9" s="7"/>
      <c r="K9" s="7"/>
      <c r="L9" s="7"/>
      <c r="M9" s="7"/>
      <c r="N9" s="7"/>
      <c r="O9" s="7"/>
      <c r="P9" s="7"/>
      <c r="Q9" s="7"/>
      <c r="R9" s="7"/>
      <c r="S9" s="7"/>
      <c r="T9" s="7"/>
      <c r="U9" s="8"/>
      <c r="V9" s="7"/>
      <c r="W9" s="7"/>
      <c r="X9" s="7"/>
      <c r="Y9" s="7"/>
      <c r="Z9" s="7"/>
      <c r="AA9" s="7"/>
      <c r="AB9" s="7"/>
      <c r="AC9" s="7"/>
      <c r="AD9" s="8"/>
      <c r="AE9" s="7"/>
      <c r="AF9" s="7"/>
      <c r="AG9" s="7"/>
      <c r="AH9" s="7"/>
      <c r="AI9" s="8"/>
      <c r="AJ9" s="7"/>
      <c r="AK9" s="7"/>
      <c r="AL9" s="8"/>
      <c r="AM9" s="7"/>
      <c r="AN9" s="7"/>
      <c r="AO9" s="9"/>
      <c r="AP9" s="9"/>
      <c r="AQ9" s="9"/>
      <c r="AR9" s="9"/>
      <c r="AS9" s="9"/>
      <c r="AT9" s="9"/>
      <c r="AU9" s="9"/>
      <c r="AV9" s="9"/>
      <c r="AW9" s="9"/>
      <c r="AX9" s="9"/>
      <c r="AY9" s="9"/>
      <c r="AZ9" s="9"/>
      <c r="BA9" s="10"/>
      <c r="BB9" s="10"/>
      <c r="BC9" s="6"/>
      <c r="BD9" s="6"/>
      <c r="BE9" s="6"/>
      <c r="BF9" s="6"/>
      <c r="BG9" s="6"/>
      <c r="BH9" s="6"/>
      <c r="BI9" s="11"/>
      <c r="BJ9" s="11"/>
      <c r="BK9" s="11"/>
      <c r="BL9" s="11"/>
      <c r="BM9" s="11"/>
      <c r="BN9" s="11"/>
      <c r="BO9" s="11"/>
      <c r="BP9" s="11"/>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row>
    <row r="10" spans="1:159" ht="24.75" customHeight="1" thickBot="1" x14ac:dyDescent="0.3">
      <c r="A10" s="730" t="s">
        <v>12</v>
      </c>
      <c r="B10" s="731"/>
      <c r="C10" s="731"/>
      <c r="D10" s="731"/>
      <c r="E10" s="731"/>
      <c r="F10" s="731"/>
      <c r="G10" s="731"/>
      <c r="H10" s="731"/>
      <c r="I10" s="732"/>
      <c r="J10" s="731" t="s">
        <v>13</v>
      </c>
      <c r="K10" s="731"/>
      <c r="L10" s="731"/>
      <c r="M10" s="731"/>
      <c r="N10" s="731"/>
      <c r="O10" s="731"/>
      <c r="P10" s="731"/>
      <c r="Q10" s="731"/>
      <c r="R10" s="731"/>
      <c r="S10" s="731"/>
      <c r="T10" s="731"/>
      <c r="U10" s="731"/>
      <c r="V10" s="731"/>
      <c r="W10" s="731"/>
      <c r="X10" s="731"/>
      <c r="Y10" s="731"/>
      <c r="Z10" s="731"/>
      <c r="AA10" s="731"/>
      <c r="AB10" s="731"/>
      <c r="AC10" s="731"/>
      <c r="AD10" s="731"/>
      <c r="AE10" s="731"/>
      <c r="AF10" s="731"/>
      <c r="AG10" s="731"/>
      <c r="AH10" s="731"/>
      <c r="AI10" s="731"/>
      <c r="AJ10" s="731"/>
      <c r="AK10" s="731"/>
      <c r="AL10" s="731"/>
      <c r="AM10" s="731"/>
      <c r="AN10" s="731"/>
      <c r="AO10" s="731"/>
      <c r="AP10" s="731"/>
      <c r="AQ10" s="731"/>
      <c r="AR10" s="731"/>
      <c r="AS10" s="731"/>
      <c r="AT10" s="731"/>
      <c r="AU10" s="731"/>
      <c r="AV10" s="731"/>
      <c r="AW10" s="731"/>
      <c r="AX10" s="731"/>
      <c r="AY10" s="731"/>
      <c r="AZ10" s="731"/>
      <c r="BA10" s="731"/>
      <c r="BB10" s="731"/>
      <c r="BC10" s="731"/>
      <c r="BD10" s="731"/>
      <c r="BE10" s="731"/>
      <c r="BF10" s="731"/>
      <c r="BG10" s="731"/>
      <c r="BH10" s="731"/>
      <c r="BI10" s="731"/>
      <c r="BJ10" s="731"/>
      <c r="BK10" s="731"/>
      <c r="BL10" s="731"/>
      <c r="BM10" s="731"/>
      <c r="BN10" s="731"/>
      <c r="BO10" s="731"/>
      <c r="BP10" s="731"/>
      <c r="BQ10" s="731"/>
      <c r="BR10" s="731"/>
      <c r="BS10" s="731"/>
      <c r="BT10" s="731"/>
      <c r="BU10" s="731"/>
      <c r="BV10" s="731"/>
      <c r="BW10" s="731"/>
      <c r="BX10" s="731"/>
      <c r="BY10" s="731"/>
      <c r="BZ10" s="731"/>
      <c r="CA10" s="731"/>
      <c r="CB10" s="731"/>
      <c r="CC10" s="731"/>
      <c r="CD10" s="731"/>
      <c r="CE10" s="731"/>
      <c r="CF10" s="731"/>
      <c r="CG10" s="731"/>
      <c r="CH10" s="731"/>
      <c r="CI10" s="731"/>
      <c r="CJ10" s="731"/>
      <c r="CK10" s="731"/>
      <c r="CL10" s="731"/>
      <c r="CM10" s="731"/>
      <c r="CN10" s="731"/>
      <c r="CO10" s="731"/>
      <c r="CP10" s="731"/>
      <c r="CQ10" s="731"/>
      <c r="CR10" s="731"/>
      <c r="CS10" s="731"/>
      <c r="CT10" s="731"/>
      <c r="CU10" s="731"/>
      <c r="CV10" s="731"/>
      <c r="CW10" s="731"/>
      <c r="CX10" s="731"/>
      <c r="CY10" s="731"/>
      <c r="CZ10" s="731"/>
      <c r="DA10" s="731"/>
      <c r="DB10" s="731"/>
      <c r="DC10" s="731"/>
      <c r="DD10" s="731"/>
      <c r="DE10" s="731"/>
      <c r="DF10" s="731"/>
      <c r="DG10" s="731"/>
      <c r="DH10" s="731"/>
      <c r="DI10" s="731"/>
      <c r="DJ10" s="731"/>
      <c r="DK10" s="731"/>
      <c r="DL10" s="731"/>
      <c r="DM10" s="731"/>
      <c r="DN10" s="731"/>
      <c r="DO10" s="731"/>
      <c r="DP10" s="731"/>
      <c r="DQ10" s="731"/>
      <c r="DR10" s="731"/>
      <c r="DS10" s="731"/>
      <c r="DT10" s="731"/>
      <c r="DU10" s="731"/>
      <c r="DV10" s="731"/>
      <c r="DW10" s="731"/>
      <c r="DX10" s="731"/>
      <c r="DY10" s="731"/>
      <c r="DZ10" s="731"/>
      <c r="EA10" s="731"/>
      <c r="EB10" s="731"/>
      <c r="EC10" s="731"/>
      <c r="ED10" s="731"/>
      <c r="EE10" s="731"/>
      <c r="EF10" s="731"/>
      <c r="EG10" s="731"/>
      <c r="EH10" s="731"/>
      <c r="EI10" s="731"/>
      <c r="EJ10" s="731"/>
      <c r="EK10" s="731"/>
      <c r="EL10" s="731"/>
      <c r="EM10" s="731"/>
      <c r="EN10" s="731"/>
      <c r="EO10" s="731"/>
      <c r="EP10" s="731"/>
      <c r="EQ10" s="731"/>
      <c r="ER10" s="731"/>
      <c r="ES10" s="732"/>
      <c r="ET10" s="733" t="s">
        <v>14</v>
      </c>
      <c r="EU10" s="733" t="s">
        <v>15</v>
      </c>
      <c r="EV10" s="726" t="s">
        <v>16</v>
      </c>
      <c r="EW10" s="728" t="s">
        <v>660</v>
      </c>
      <c r="EX10" s="726" t="s">
        <v>17</v>
      </c>
      <c r="EY10" s="764" t="s">
        <v>18</v>
      </c>
      <c r="EZ10" s="723" t="s">
        <v>19</v>
      </c>
      <c r="FA10" s="723" t="s">
        <v>20</v>
      </c>
      <c r="FB10" s="723" t="s">
        <v>21</v>
      </c>
      <c r="FC10" s="718" t="s">
        <v>22</v>
      </c>
    </row>
    <row r="11" spans="1:159" ht="21.75" customHeight="1" thickBot="1" x14ac:dyDescent="0.3">
      <c r="A11" s="730" t="s">
        <v>23</v>
      </c>
      <c r="B11" s="731"/>
      <c r="C11" s="731"/>
      <c r="D11" s="731"/>
      <c r="E11" s="731"/>
      <c r="F11" s="731"/>
      <c r="G11" s="731"/>
      <c r="H11" s="731"/>
      <c r="I11" s="732"/>
      <c r="J11" s="721" t="s">
        <v>24</v>
      </c>
      <c r="K11" s="722"/>
      <c r="L11" s="722"/>
      <c r="M11" s="722"/>
      <c r="N11" s="722"/>
      <c r="O11" s="722"/>
      <c r="P11" s="722"/>
      <c r="Q11" s="722"/>
      <c r="R11" s="722"/>
      <c r="S11" s="722"/>
      <c r="T11" s="722"/>
      <c r="U11" s="722"/>
      <c r="V11" s="722"/>
      <c r="W11" s="722"/>
      <c r="X11" s="722"/>
      <c r="Y11" s="722"/>
      <c r="Z11" s="722"/>
      <c r="AA11" s="722"/>
      <c r="AB11" s="722"/>
      <c r="AC11" s="767"/>
      <c r="AD11" s="721" t="s">
        <v>25</v>
      </c>
      <c r="AE11" s="722"/>
      <c r="AF11" s="722"/>
      <c r="AG11" s="722"/>
      <c r="AH11" s="722"/>
      <c r="AI11" s="722"/>
      <c r="AJ11" s="722"/>
      <c r="AK11" s="722"/>
      <c r="AL11" s="722"/>
      <c r="AM11" s="722"/>
      <c r="AN11" s="722"/>
      <c r="AO11" s="722"/>
      <c r="AP11" s="722"/>
      <c r="AQ11" s="722"/>
      <c r="AR11" s="722"/>
      <c r="AS11" s="722"/>
      <c r="AT11" s="722"/>
      <c r="AU11" s="722"/>
      <c r="AV11" s="722"/>
      <c r="AW11" s="722"/>
      <c r="AX11" s="722"/>
      <c r="AY11" s="722"/>
      <c r="AZ11" s="722"/>
      <c r="BA11" s="722"/>
      <c r="BB11" s="722"/>
      <c r="BC11" s="722"/>
      <c r="BD11" s="722"/>
      <c r="BE11" s="722"/>
      <c r="BF11" s="722"/>
      <c r="BG11" s="767"/>
      <c r="BH11" s="721" t="s">
        <v>26</v>
      </c>
      <c r="BI11" s="722"/>
      <c r="BJ11" s="722"/>
      <c r="BK11" s="722"/>
      <c r="BL11" s="722"/>
      <c r="BM11" s="722"/>
      <c r="BN11" s="722"/>
      <c r="BO11" s="722"/>
      <c r="BP11" s="722"/>
      <c r="BQ11" s="722"/>
      <c r="BR11" s="722"/>
      <c r="BS11" s="722"/>
      <c r="BT11" s="722"/>
      <c r="BU11" s="722"/>
      <c r="BV11" s="722"/>
      <c r="BW11" s="722"/>
      <c r="BX11" s="722"/>
      <c r="BY11" s="722"/>
      <c r="BZ11" s="722"/>
      <c r="CA11" s="722"/>
      <c r="CB11" s="722"/>
      <c r="CC11" s="722"/>
      <c r="CD11" s="722"/>
      <c r="CE11" s="722"/>
      <c r="CF11" s="722"/>
      <c r="CG11" s="722"/>
      <c r="CH11" s="722"/>
      <c r="CI11" s="722"/>
      <c r="CJ11" s="722"/>
      <c r="CK11" s="767"/>
      <c r="CL11" s="722" t="s">
        <v>27</v>
      </c>
      <c r="CM11" s="722"/>
      <c r="CN11" s="722"/>
      <c r="CO11" s="722"/>
      <c r="CP11" s="722"/>
      <c r="CQ11" s="722"/>
      <c r="CR11" s="722"/>
      <c r="CS11" s="722"/>
      <c r="CT11" s="722"/>
      <c r="CU11" s="722"/>
      <c r="CV11" s="722"/>
      <c r="CW11" s="722"/>
      <c r="CX11" s="722"/>
      <c r="CY11" s="722"/>
      <c r="CZ11" s="722"/>
      <c r="DA11" s="722"/>
      <c r="DB11" s="722"/>
      <c r="DC11" s="722"/>
      <c r="DD11" s="722"/>
      <c r="DE11" s="722"/>
      <c r="DF11" s="722"/>
      <c r="DG11" s="722"/>
      <c r="DH11" s="722"/>
      <c r="DI11" s="722"/>
      <c r="DJ11" s="722"/>
      <c r="DK11" s="722"/>
      <c r="DL11" s="722"/>
      <c r="DM11" s="722"/>
      <c r="DN11" s="722"/>
      <c r="DO11" s="722"/>
      <c r="DP11" s="721" t="s">
        <v>28</v>
      </c>
      <c r="DQ11" s="722"/>
      <c r="DR11" s="722"/>
      <c r="DS11" s="722"/>
      <c r="DT11" s="722"/>
      <c r="DU11" s="722"/>
      <c r="DV11" s="722"/>
      <c r="DW11" s="722"/>
      <c r="DX11" s="722"/>
      <c r="DY11" s="722"/>
      <c r="DZ11" s="722"/>
      <c r="EA11" s="722"/>
      <c r="EB11" s="722"/>
      <c r="EC11" s="722"/>
      <c r="ED11" s="722"/>
      <c r="EE11" s="722"/>
      <c r="EF11" s="722"/>
      <c r="EG11" s="722"/>
      <c r="EH11" s="722"/>
      <c r="EI11" s="722"/>
      <c r="EJ11" s="722"/>
      <c r="EK11" s="722"/>
      <c r="EL11" s="722"/>
      <c r="EM11" s="722"/>
      <c r="EN11" s="722"/>
      <c r="EO11" s="722"/>
      <c r="EP11" s="722"/>
      <c r="EQ11" s="722"/>
      <c r="ER11" s="722"/>
      <c r="ES11" s="722"/>
      <c r="ET11" s="734"/>
      <c r="EU11" s="734"/>
      <c r="EV11" s="727"/>
      <c r="EW11" s="729"/>
      <c r="EX11" s="727"/>
      <c r="EY11" s="765"/>
      <c r="EZ11" s="724"/>
      <c r="FA11" s="724"/>
      <c r="FB11" s="724"/>
      <c r="FC11" s="719"/>
    </row>
    <row r="12" spans="1:159" ht="135" customHeight="1" thickBot="1" x14ac:dyDescent="0.3">
      <c r="A12" s="639" t="s">
        <v>29</v>
      </c>
      <c r="B12" s="639" t="s">
        <v>30</v>
      </c>
      <c r="C12" s="640" t="s">
        <v>31</v>
      </c>
      <c r="D12" s="640" t="s">
        <v>32</v>
      </c>
      <c r="E12" s="640" t="s">
        <v>33</v>
      </c>
      <c r="F12" s="640" t="s">
        <v>34</v>
      </c>
      <c r="G12" s="640" t="s">
        <v>35</v>
      </c>
      <c r="H12" s="646" t="s">
        <v>36</v>
      </c>
      <c r="I12" s="654" t="s">
        <v>37</v>
      </c>
      <c r="J12" s="644" t="s">
        <v>634</v>
      </c>
      <c r="K12" s="645" t="s">
        <v>635</v>
      </c>
      <c r="L12" s="646" t="s">
        <v>636</v>
      </c>
      <c r="M12" s="645" t="s">
        <v>637</v>
      </c>
      <c r="N12" s="646" t="s">
        <v>638</v>
      </c>
      <c r="O12" s="645" t="s">
        <v>639</v>
      </c>
      <c r="P12" s="646" t="s">
        <v>640</v>
      </c>
      <c r="Q12" s="645" t="s">
        <v>641</v>
      </c>
      <c r="R12" s="646" t="s">
        <v>642</v>
      </c>
      <c r="S12" s="645" t="s">
        <v>643</v>
      </c>
      <c r="T12" s="646" t="s">
        <v>644</v>
      </c>
      <c r="U12" s="645" t="s">
        <v>645</v>
      </c>
      <c r="V12" s="646" t="s">
        <v>646</v>
      </c>
      <c r="W12" s="645" t="s">
        <v>647</v>
      </c>
      <c r="X12" s="647" t="s">
        <v>648</v>
      </c>
      <c r="Y12" s="653" t="s">
        <v>38</v>
      </c>
      <c r="Z12" s="655" t="s">
        <v>39</v>
      </c>
      <c r="AA12" s="649" t="s">
        <v>40</v>
      </c>
      <c r="AB12" s="650" t="s">
        <v>41</v>
      </c>
      <c r="AC12" s="649" t="s">
        <v>42</v>
      </c>
      <c r="AD12" s="644" t="s">
        <v>634</v>
      </c>
      <c r="AE12" s="645" t="s">
        <v>649</v>
      </c>
      <c r="AF12" s="646" t="s">
        <v>650</v>
      </c>
      <c r="AG12" s="645" t="s">
        <v>651</v>
      </c>
      <c r="AH12" s="646" t="s">
        <v>652</v>
      </c>
      <c r="AI12" s="645" t="s">
        <v>653</v>
      </c>
      <c r="AJ12" s="646" t="s">
        <v>654</v>
      </c>
      <c r="AK12" s="645" t="s">
        <v>655</v>
      </c>
      <c r="AL12" s="646" t="s">
        <v>656</v>
      </c>
      <c r="AM12" s="645" t="s">
        <v>657</v>
      </c>
      <c r="AN12" s="646" t="s">
        <v>658</v>
      </c>
      <c r="AO12" s="645" t="s">
        <v>635</v>
      </c>
      <c r="AP12" s="646" t="s">
        <v>636</v>
      </c>
      <c r="AQ12" s="645" t="s">
        <v>637</v>
      </c>
      <c r="AR12" s="646" t="s">
        <v>638</v>
      </c>
      <c r="AS12" s="645" t="s">
        <v>639</v>
      </c>
      <c r="AT12" s="646" t="s">
        <v>640</v>
      </c>
      <c r="AU12" s="645" t="s">
        <v>641</v>
      </c>
      <c r="AV12" s="646" t="s">
        <v>642</v>
      </c>
      <c r="AW12" s="645" t="s">
        <v>643</v>
      </c>
      <c r="AX12" s="646" t="s">
        <v>644</v>
      </c>
      <c r="AY12" s="645" t="s">
        <v>645</v>
      </c>
      <c r="AZ12" s="646" t="s">
        <v>646</v>
      </c>
      <c r="BA12" s="645" t="s">
        <v>647</v>
      </c>
      <c r="BB12" s="647" t="s">
        <v>648</v>
      </c>
      <c r="BC12" s="653" t="s">
        <v>38</v>
      </c>
      <c r="BD12" s="648" t="s">
        <v>43</v>
      </c>
      <c r="BE12" s="649" t="s">
        <v>44</v>
      </c>
      <c r="BF12" s="650" t="s">
        <v>45</v>
      </c>
      <c r="BG12" s="649" t="s">
        <v>46</v>
      </c>
      <c r="BH12" s="644" t="s">
        <v>634</v>
      </c>
      <c r="BI12" s="645" t="s">
        <v>649</v>
      </c>
      <c r="BJ12" s="646" t="s">
        <v>650</v>
      </c>
      <c r="BK12" s="645" t="s">
        <v>651</v>
      </c>
      <c r="BL12" s="646" t="s">
        <v>652</v>
      </c>
      <c r="BM12" s="645" t="s">
        <v>653</v>
      </c>
      <c r="BN12" s="646" t="s">
        <v>654</v>
      </c>
      <c r="BO12" s="645" t="s">
        <v>655</v>
      </c>
      <c r="BP12" s="646" t="s">
        <v>656</v>
      </c>
      <c r="BQ12" s="645" t="s">
        <v>657</v>
      </c>
      <c r="BR12" s="646" t="s">
        <v>658</v>
      </c>
      <c r="BS12" s="645" t="s">
        <v>635</v>
      </c>
      <c r="BT12" s="646" t="s">
        <v>636</v>
      </c>
      <c r="BU12" s="645" t="s">
        <v>637</v>
      </c>
      <c r="BV12" s="646" t="s">
        <v>638</v>
      </c>
      <c r="BW12" s="645" t="s">
        <v>639</v>
      </c>
      <c r="BX12" s="646" t="s">
        <v>640</v>
      </c>
      <c r="BY12" s="645" t="s">
        <v>641</v>
      </c>
      <c r="BZ12" s="646" t="s">
        <v>642</v>
      </c>
      <c r="CA12" s="645" t="s">
        <v>643</v>
      </c>
      <c r="CB12" s="646" t="s">
        <v>644</v>
      </c>
      <c r="CC12" s="645" t="s">
        <v>645</v>
      </c>
      <c r="CD12" s="646" t="s">
        <v>646</v>
      </c>
      <c r="CE12" s="645" t="s">
        <v>647</v>
      </c>
      <c r="CF12" s="647" t="s">
        <v>648</v>
      </c>
      <c r="CG12" s="653" t="s">
        <v>38</v>
      </c>
      <c r="CH12" s="650" t="s">
        <v>47</v>
      </c>
      <c r="CI12" s="649" t="s">
        <v>48</v>
      </c>
      <c r="CJ12" s="650" t="s">
        <v>49</v>
      </c>
      <c r="CK12" s="649" t="s">
        <v>50</v>
      </c>
      <c r="CL12" s="651" t="s">
        <v>634</v>
      </c>
      <c r="CM12" s="645" t="s">
        <v>649</v>
      </c>
      <c r="CN12" s="646" t="s">
        <v>650</v>
      </c>
      <c r="CO12" s="645" t="s">
        <v>651</v>
      </c>
      <c r="CP12" s="646" t="s">
        <v>652</v>
      </c>
      <c r="CQ12" s="645" t="s">
        <v>653</v>
      </c>
      <c r="CR12" s="646" t="s">
        <v>654</v>
      </c>
      <c r="CS12" s="645" t="s">
        <v>655</v>
      </c>
      <c r="CT12" s="646" t="s">
        <v>656</v>
      </c>
      <c r="CU12" s="645" t="s">
        <v>657</v>
      </c>
      <c r="CV12" s="646" t="s">
        <v>658</v>
      </c>
      <c r="CW12" s="645" t="s">
        <v>635</v>
      </c>
      <c r="CX12" s="646" t="s">
        <v>636</v>
      </c>
      <c r="CY12" s="645" t="s">
        <v>637</v>
      </c>
      <c r="CZ12" s="646" t="s">
        <v>638</v>
      </c>
      <c r="DA12" s="645" t="s">
        <v>639</v>
      </c>
      <c r="DB12" s="646" t="s">
        <v>640</v>
      </c>
      <c r="DC12" s="645" t="s">
        <v>641</v>
      </c>
      <c r="DD12" s="646" t="s">
        <v>642</v>
      </c>
      <c r="DE12" s="645" t="s">
        <v>643</v>
      </c>
      <c r="DF12" s="646" t="s">
        <v>644</v>
      </c>
      <c r="DG12" s="645" t="s">
        <v>645</v>
      </c>
      <c r="DH12" s="646" t="s">
        <v>646</v>
      </c>
      <c r="DI12" s="645" t="s">
        <v>647</v>
      </c>
      <c r="DJ12" s="647" t="s">
        <v>648</v>
      </c>
      <c r="DK12" s="653" t="s">
        <v>38</v>
      </c>
      <c r="DL12" s="641" t="s">
        <v>51</v>
      </c>
      <c r="DM12" s="642" t="s">
        <v>52</v>
      </c>
      <c r="DN12" s="643" t="s">
        <v>53</v>
      </c>
      <c r="DO12" s="642" t="s">
        <v>54</v>
      </c>
      <c r="DP12" s="651" t="s">
        <v>634</v>
      </c>
      <c r="DQ12" s="645" t="s">
        <v>649</v>
      </c>
      <c r="DR12" s="646" t="s">
        <v>650</v>
      </c>
      <c r="DS12" s="645" t="s">
        <v>651</v>
      </c>
      <c r="DT12" s="646" t="s">
        <v>652</v>
      </c>
      <c r="DU12" s="645" t="s">
        <v>653</v>
      </c>
      <c r="DV12" s="646" t="s">
        <v>654</v>
      </c>
      <c r="DW12" s="645" t="s">
        <v>655</v>
      </c>
      <c r="DX12" s="646" t="s">
        <v>656</v>
      </c>
      <c r="DY12" s="645" t="s">
        <v>657</v>
      </c>
      <c r="DZ12" s="646" t="s">
        <v>658</v>
      </c>
      <c r="EA12" s="645" t="s">
        <v>635</v>
      </c>
      <c r="EB12" s="646" t="s">
        <v>636</v>
      </c>
      <c r="EC12" s="645" t="s">
        <v>637</v>
      </c>
      <c r="ED12" s="646" t="s">
        <v>638</v>
      </c>
      <c r="EE12" s="645" t="s">
        <v>639</v>
      </c>
      <c r="EF12" s="646" t="s">
        <v>640</v>
      </c>
      <c r="EG12" s="645" t="s">
        <v>641</v>
      </c>
      <c r="EH12" s="646" t="s">
        <v>642</v>
      </c>
      <c r="EI12" s="645" t="s">
        <v>643</v>
      </c>
      <c r="EJ12" s="646" t="s">
        <v>644</v>
      </c>
      <c r="EK12" s="645" t="s">
        <v>645</v>
      </c>
      <c r="EL12" s="646" t="s">
        <v>646</v>
      </c>
      <c r="EM12" s="645" t="s">
        <v>647</v>
      </c>
      <c r="EN12" s="647" t="s">
        <v>648</v>
      </c>
      <c r="EO12" s="653" t="s">
        <v>38</v>
      </c>
      <c r="EP12" s="641" t="s">
        <v>55</v>
      </c>
      <c r="EQ12" s="642" t="s">
        <v>56</v>
      </c>
      <c r="ER12" s="643" t="s">
        <v>57</v>
      </c>
      <c r="ES12" s="652" t="s">
        <v>58</v>
      </c>
      <c r="ET12" s="734"/>
      <c r="EU12" s="734"/>
      <c r="EV12" s="727"/>
      <c r="EW12" s="729"/>
      <c r="EX12" s="727"/>
      <c r="EY12" s="766"/>
      <c r="EZ12" s="725"/>
      <c r="FA12" s="725"/>
      <c r="FB12" s="725"/>
      <c r="FC12" s="720"/>
    </row>
    <row r="13" spans="1:159" ht="82.5" customHeight="1" x14ac:dyDescent="0.25">
      <c r="A13" s="754" t="s">
        <v>661</v>
      </c>
      <c r="B13" s="757">
        <v>28</v>
      </c>
      <c r="C13" s="567">
        <v>202</v>
      </c>
      <c r="D13" s="566" t="s">
        <v>59</v>
      </c>
      <c r="E13" s="567">
        <v>217</v>
      </c>
      <c r="F13" s="566" t="s">
        <v>60</v>
      </c>
      <c r="G13" s="565" t="s">
        <v>61</v>
      </c>
      <c r="H13" s="564" t="s">
        <v>62</v>
      </c>
      <c r="I13" s="563">
        <v>75</v>
      </c>
      <c r="J13" s="562">
        <v>75</v>
      </c>
      <c r="K13" s="563">
        <v>46</v>
      </c>
      <c r="L13" s="561">
        <v>0</v>
      </c>
      <c r="M13" s="563">
        <v>46</v>
      </c>
      <c r="N13" s="561">
        <v>0</v>
      </c>
      <c r="O13" s="563">
        <v>46</v>
      </c>
      <c r="P13" s="560">
        <v>44.02</v>
      </c>
      <c r="Q13" s="563">
        <v>46</v>
      </c>
      <c r="R13" s="560">
        <v>44.39</v>
      </c>
      <c r="S13" s="563">
        <v>46</v>
      </c>
      <c r="T13" s="560">
        <v>44.87</v>
      </c>
      <c r="U13" s="562">
        <v>46</v>
      </c>
      <c r="V13" s="560">
        <v>45.54</v>
      </c>
      <c r="W13" s="562">
        <v>46</v>
      </c>
      <c r="X13" s="559">
        <v>45.92</v>
      </c>
      <c r="Y13" s="559">
        <v>46</v>
      </c>
      <c r="Z13" s="559"/>
      <c r="AA13" s="559"/>
      <c r="AB13" s="562">
        <v>46</v>
      </c>
      <c r="AC13" s="559">
        <v>45.92</v>
      </c>
      <c r="AD13" s="562">
        <v>56</v>
      </c>
      <c r="AE13" s="558">
        <v>0.36</v>
      </c>
      <c r="AF13" s="558">
        <v>0.36</v>
      </c>
      <c r="AG13" s="558">
        <v>0.36</v>
      </c>
      <c r="AH13" s="558">
        <v>0.36</v>
      </c>
      <c r="AI13" s="558">
        <v>0.38</v>
      </c>
      <c r="AJ13" s="558">
        <v>0.38</v>
      </c>
      <c r="AK13" s="558">
        <v>0.08</v>
      </c>
      <c r="AL13" s="558">
        <v>0.08</v>
      </c>
      <c r="AM13" s="558">
        <v>0.3</v>
      </c>
      <c r="AN13" s="558">
        <v>0.2</v>
      </c>
      <c r="AO13" s="559">
        <v>0.85</v>
      </c>
      <c r="AP13" s="559">
        <v>0.51</v>
      </c>
      <c r="AQ13" s="559">
        <v>0.95</v>
      </c>
      <c r="AR13" s="559">
        <v>0.93</v>
      </c>
      <c r="AS13" s="559">
        <v>0.98</v>
      </c>
      <c r="AT13" s="559">
        <v>0.45</v>
      </c>
      <c r="AU13" s="559">
        <v>0.98</v>
      </c>
      <c r="AV13" s="559">
        <v>0.76</v>
      </c>
      <c r="AW13" s="559">
        <v>0.98</v>
      </c>
      <c r="AX13" s="559">
        <v>0.91</v>
      </c>
      <c r="AY13" s="559">
        <v>0.98</v>
      </c>
      <c r="AZ13" s="559">
        <v>0.8</v>
      </c>
      <c r="BA13" s="559">
        <v>2.88</v>
      </c>
      <c r="BB13" s="559">
        <v>0.53</v>
      </c>
      <c r="BC13" s="557">
        <f t="shared" ref="BC13:BC17" si="0">BA13+AY13+AW13+AU13+AQ13+AO13+AM13+AK13+AI13+AG13+AE13+AS13</f>
        <v>10.08</v>
      </c>
      <c r="BD13" s="557">
        <f t="shared" ref="BD13:BE13" si="1">AE13+AG13+AI13+AK13+AM13+AO13+AQ13+AS13+AU13+AW13+AY13+BA13</f>
        <v>10.080000000000002</v>
      </c>
      <c r="BE13" s="558">
        <f t="shared" si="1"/>
        <v>6.2700000000000005</v>
      </c>
      <c r="BF13" s="558">
        <f>AC13+BC13</f>
        <v>56</v>
      </c>
      <c r="BG13" s="558">
        <f>BE13+AC13</f>
        <v>52.190000000000005</v>
      </c>
      <c r="BH13" s="562">
        <v>64</v>
      </c>
      <c r="BI13" s="557">
        <v>0</v>
      </c>
      <c r="BJ13" s="556">
        <v>0</v>
      </c>
      <c r="BK13" s="557">
        <v>0.4</v>
      </c>
      <c r="BL13" s="557">
        <v>0.4</v>
      </c>
      <c r="BM13" s="557">
        <v>0.59</v>
      </c>
      <c r="BN13" s="557">
        <v>0.59</v>
      </c>
      <c r="BO13" s="557">
        <v>0.67</v>
      </c>
      <c r="BP13" s="557">
        <v>0.67</v>
      </c>
      <c r="BQ13" s="557">
        <v>0.71</v>
      </c>
      <c r="BR13" s="557">
        <v>0.65</v>
      </c>
      <c r="BS13" s="557">
        <v>1</v>
      </c>
      <c r="BT13" s="557">
        <v>0.95</v>
      </c>
      <c r="BU13" s="557">
        <v>1.39</v>
      </c>
      <c r="BV13" s="557">
        <v>1.28</v>
      </c>
      <c r="BW13" s="557">
        <v>1.51</v>
      </c>
      <c r="BX13" s="557">
        <v>1.1200000000000001</v>
      </c>
      <c r="BY13" s="557">
        <v>1.65</v>
      </c>
      <c r="BZ13" s="557">
        <v>1.21</v>
      </c>
      <c r="CA13" s="557">
        <v>1.65</v>
      </c>
      <c r="CB13" s="556">
        <v>1.18</v>
      </c>
      <c r="CC13" s="557">
        <v>1.57</v>
      </c>
      <c r="CD13" s="557">
        <v>1.0900000000000001</v>
      </c>
      <c r="CE13" s="557">
        <v>0.67</v>
      </c>
      <c r="CF13" s="558">
        <v>1.28</v>
      </c>
      <c r="CG13" s="557">
        <f t="shared" ref="CG13:CG17" si="2">CE13+CC13+CA13+BY13+BU13+BS13+BQ13+BO13+BM13+BK13+BI13+BW13</f>
        <v>11.81</v>
      </c>
      <c r="CH13" s="557">
        <f t="shared" ref="CH13:CI13" si="3">BI13+BK13+BM13+BO13+BQ13+BS13+BU13+BW13+BY13+CA13+CC13+CE13</f>
        <v>11.81</v>
      </c>
      <c r="CI13" s="559">
        <f t="shared" si="3"/>
        <v>10.42</v>
      </c>
      <c r="CJ13" s="558">
        <f>BG13+CG13</f>
        <v>64</v>
      </c>
      <c r="CK13" s="558">
        <f>CI13+BG13</f>
        <v>62.610000000000007</v>
      </c>
      <c r="CL13" s="562">
        <f>[1]INVERSIÓN!CJ10</f>
        <v>74</v>
      </c>
      <c r="CM13" s="559">
        <v>0</v>
      </c>
      <c r="CN13" s="559">
        <v>0</v>
      </c>
      <c r="CO13" s="559">
        <v>0.2</v>
      </c>
      <c r="CP13" s="559">
        <v>0.2</v>
      </c>
      <c r="CQ13" s="559">
        <v>0.4</v>
      </c>
      <c r="CR13" s="559">
        <v>0.4</v>
      </c>
      <c r="CS13" s="559">
        <v>0.6</v>
      </c>
      <c r="CT13" s="559"/>
      <c r="CU13" s="559">
        <v>1</v>
      </c>
      <c r="CV13" s="559"/>
      <c r="CW13" s="559">
        <v>1</v>
      </c>
      <c r="CX13" s="559"/>
      <c r="CY13" s="559">
        <v>1</v>
      </c>
      <c r="CZ13" s="559"/>
      <c r="DA13" s="559">
        <v>1.39</v>
      </c>
      <c r="DB13" s="559"/>
      <c r="DC13" s="559">
        <v>1.5</v>
      </c>
      <c r="DD13" s="559"/>
      <c r="DE13" s="559">
        <v>1.5</v>
      </c>
      <c r="DF13" s="559"/>
      <c r="DG13" s="559">
        <v>1.5</v>
      </c>
      <c r="DH13" s="559"/>
      <c r="DI13" s="559">
        <v>1.3</v>
      </c>
      <c r="DJ13" s="559"/>
      <c r="DK13" s="557">
        <f>DI13+DG13+DE13+DC13+CY13+CW13+CU13+CS13+CQ13+CO13+CM13+DA13</f>
        <v>11.39</v>
      </c>
      <c r="DL13" s="557">
        <f>CM13+CO13+CQ13+CS13+CU13+CW13+CY13+DA13+DC13+DE13+DG13+DI13</f>
        <v>11.39</v>
      </c>
      <c r="DM13" s="559">
        <f t="shared" ref="DM13:DM17" si="4">CN13+CP13+CR13+CT13+CV13+CX13+CZ13+DB13+DD13+DF13+DH13</f>
        <v>0.60000000000000009</v>
      </c>
      <c r="DN13" s="558">
        <f>CK13+DK13</f>
        <v>74</v>
      </c>
      <c r="DO13" s="558">
        <f>DM13+CK13</f>
        <v>63.210000000000008</v>
      </c>
      <c r="DP13" s="562">
        <v>75</v>
      </c>
      <c r="DQ13" s="562"/>
      <c r="DR13" s="562"/>
      <c r="DS13" s="562"/>
      <c r="DT13" s="562"/>
      <c r="DU13" s="562"/>
      <c r="DV13" s="562"/>
      <c r="DW13" s="562"/>
      <c r="DX13" s="562"/>
      <c r="DY13" s="562"/>
      <c r="DZ13" s="562"/>
      <c r="EA13" s="562"/>
      <c r="EB13" s="562"/>
      <c r="EC13" s="562"/>
      <c r="ED13" s="562"/>
      <c r="EE13" s="562"/>
      <c r="EF13" s="562"/>
      <c r="EG13" s="562"/>
      <c r="EH13" s="562"/>
      <c r="EI13" s="562"/>
      <c r="EJ13" s="562"/>
      <c r="EK13" s="562"/>
      <c r="EL13" s="562"/>
      <c r="EM13" s="562"/>
      <c r="EN13" s="562"/>
      <c r="EO13" s="562"/>
      <c r="EP13" s="562"/>
      <c r="EQ13" s="562"/>
      <c r="ER13" s="562"/>
      <c r="ES13" s="562"/>
      <c r="ET13" s="555">
        <f>CR13/CQ13</f>
        <v>1</v>
      </c>
      <c r="EU13" s="555">
        <f>DM13/DL13</f>
        <v>5.2677787532923626E-2</v>
      </c>
      <c r="EV13" s="555">
        <f t="shared" ref="EV13" si="5">DO13/DN13</f>
        <v>0.85418918918918929</v>
      </c>
      <c r="EW13" s="555">
        <f>(DM13+CK13)/(DL13+CJ13)</f>
        <v>0.83844011142061292</v>
      </c>
      <c r="EX13" s="555">
        <f>DO13/I13</f>
        <v>0.8428000000000001</v>
      </c>
      <c r="EY13" s="554" t="s">
        <v>587</v>
      </c>
      <c r="EZ13" s="553" t="s">
        <v>63</v>
      </c>
      <c r="FA13" s="553" t="s">
        <v>63</v>
      </c>
      <c r="FB13" s="552" t="s">
        <v>64</v>
      </c>
      <c r="FC13" s="551" t="s">
        <v>65</v>
      </c>
    </row>
    <row r="14" spans="1:159" ht="82.5" customHeight="1" x14ac:dyDescent="0.25">
      <c r="A14" s="755"/>
      <c r="B14" s="758"/>
      <c r="C14" s="769">
        <v>216</v>
      </c>
      <c r="D14" s="768" t="s">
        <v>66</v>
      </c>
      <c r="E14" s="610">
        <v>231</v>
      </c>
      <c r="F14" s="598" t="s">
        <v>67</v>
      </c>
      <c r="G14" s="597" t="s">
        <v>68</v>
      </c>
      <c r="H14" s="608" t="s">
        <v>69</v>
      </c>
      <c r="I14" s="607">
        <v>370</v>
      </c>
      <c r="J14" s="596">
        <f>Y14+BC14+BH14+CL14+DP14</f>
        <v>524.66</v>
      </c>
      <c r="K14" s="463">
        <v>5</v>
      </c>
      <c r="L14" s="605">
        <v>0</v>
      </c>
      <c r="M14" s="595">
        <v>5</v>
      </c>
      <c r="N14" s="595">
        <v>0</v>
      </c>
      <c r="O14" s="607">
        <v>5</v>
      </c>
      <c r="P14" s="595">
        <v>0</v>
      </c>
      <c r="Q14" s="607">
        <v>5</v>
      </c>
      <c r="R14" s="604">
        <v>0.24</v>
      </c>
      <c r="S14" s="607">
        <v>5</v>
      </c>
      <c r="T14" s="604">
        <v>1.54</v>
      </c>
      <c r="U14" s="606">
        <v>5</v>
      </c>
      <c r="V14" s="594">
        <v>2.5379999999999998</v>
      </c>
      <c r="W14" s="606">
        <v>5</v>
      </c>
      <c r="X14" s="463">
        <v>5.49</v>
      </c>
      <c r="Y14" s="463">
        <v>5</v>
      </c>
      <c r="Z14" s="463"/>
      <c r="AA14" s="463"/>
      <c r="AB14" s="606">
        <v>5</v>
      </c>
      <c r="AC14" s="463">
        <v>5.49</v>
      </c>
      <c r="AD14" s="606">
        <v>50</v>
      </c>
      <c r="AE14" s="604">
        <v>0.12</v>
      </c>
      <c r="AF14" s="604">
        <v>0.12</v>
      </c>
      <c r="AG14" s="463">
        <v>0</v>
      </c>
      <c r="AH14" s="463">
        <v>0</v>
      </c>
      <c r="AI14" s="463">
        <v>0</v>
      </c>
      <c r="AJ14" s="593">
        <v>0</v>
      </c>
      <c r="AK14" s="463">
        <v>0</v>
      </c>
      <c r="AL14" s="463">
        <v>0</v>
      </c>
      <c r="AM14" s="463">
        <v>0</v>
      </c>
      <c r="AN14" s="463">
        <v>0</v>
      </c>
      <c r="AO14" s="463">
        <v>0</v>
      </c>
      <c r="AP14" s="463">
        <v>0.98</v>
      </c>
      <c r="AQ14" s="463">
        <v>0</v>
      </c>
      <c r="AR14" s="463">
        <v>0</v>
      </c>
      <c r="AS14" s="463">
        <v>0</v>
      </c>
      <c r="AT14" s="610">
        <v>0.63</v>
      </c>
      <c r="AU14" s="463">
        <v>0</v>
      </c>
      <c r="AV14" s="610">
        <v>0.51</v>
      </c>
      <c r="AW14" s="463">
        <v>9.8800000000000008</v>
      </c>
      <c r="AX14" s="610">
        <v>4.05</v>
      </c>
      <c r="AY14" s="610">
        <v>20</v>
      </c>
      <c r="AZ14" s="610">
        <v>4.7699999999999996</v>
      </c>
      <c r="BA14" s="610">
        <v>20</v>
      </c>
      <c r="BB14" s="610">
        <v>3.13</v>
      </c>
      <c r="BC14" s="602">
        <f t="shared" si="0"/>
        <v>50</v>
      </c>
      <c r="BD14" s="602">
        <f t="shared" ref="BD14:BE14" si="6">AE14+AG14+AI14+AK14+AM14+AO14+AQ14+AS14+AU14+AW14+AY14+BA14</f>
        <v>50</v>
      </c>
      <c r="BE14" s="603">
        <f t="shared" si="6"/>
        <v>14.189999999999998</v>
      </c>
      <c r="BF14" s="603">
        <f t="shared" ref="BF14:BF17" si="7">AE14+AG14+AI14+AK14+AM14+AO14+AQ14+AS14+AU14+AW14+AY14+BA14</f>
        <v>50</v>
      </c>
      <c r="BG14" s="603">
        <v>14.19</v>
      </c>
      <c r="BH14" s="603">
        <f>150+35.81</f>
        <v>185.81</v>
      </c>
      <c r="BI14" s="592">
        <v>0</v>
      </c>
      <c r="BJ14" s="463">
        <v>0</v>
      </c>
      <c r="BK14" s="592">
        <v>0</v>
      </c>
      <c r="BL14" s="463">
        <v>0</v>
      </c>
      <c r="BM14" s="592">
        <v>1.84</v>
      </c>
      <c r="BN14" s="592">
        <v>3.2</v>
      </c>
      <c r="BO14" s="592">
        <v>5</v>
      </c>
      <c r="BP14" s="592">
        <v>0.1</v>
      </c>
      <c r="BQ14" s="592">
        <v>15</v>
      </c>
      <c r="BR14" s="592">
        <v>0.97</v>
      </c>
      <c r="BS14" s="592">
        <v>15.81</v>
      </c>
      <c r="BT14" s="592">
        <v>21.87</v>
      </c>
      <c r="BU14" s="592">
        <v>10</v>
      </c>
      <c r="BV14" s="592">
        <v>26.56</v>
      </c>
      <c r="BW14" s="592">
        <v>10.19</v>
      </c>
      <c r="BX14" s="592">
        <v>0.13</v>
      </c>
      <c r="BY14" s="592">
        <v>0.47</v>
      </c>
      <c r="BZ14" s="592">
        <v>7.44</v>
      </c>
      <c r="CA14" s="592">
        <v>0.5</v>
      </c>
      <c r="CB14" s="463">
        <v>2.72</v>
      </c>
      <c r="CC14" s="592">
        <v>60</v>
      </c>
      <c r="CD14" s="592">
        <v>0.97</v>
      </c>
      <c r="CE14" s="592">
        <v>67</v>
      </c>
      <c r="CF14" s="603">
        <v>2.5099999999999998</v>
      </c>
      <c r="CG14" s="455">
        <f t="shared" si="2"/>
        <v>185.81</v>
      </c>
      <c r="CH14" s="602">
        <f t="shared" ref="CH14:CI14" si="8">BI14+BK14+BM14+BO14+BQ14+BS14+BU14+BW14+BY14+CA14+CC14+CE14</f>
        <v>185.81</v>
      </c>
      <c r="CI14" s="463">
        <f t="shared" si="8"/>
        <v>66.47</v>
      </c>
      <c r="CJ14" s="463">
        <f t="shared" ref="CJ14:CJ15" si="9">BH14</f>
        <v>185.81</v>
      </c>
      <c r="CK14" s="463">
        <f t="shared" ref="CK14:CK17" si="10">CI14</f>
        <v>66.47</v>
      </c>
      <c r="CL14" s="603">
        <f>135+119.34</f>
        <v>254.34</v>
      </c>
      <c r="CM14" s="463">
        <v>0</v>
      </c>
      <c r="CN14" s="463">
        <v>0</v>
      </c>
      <c r="CO14" s="463">
        <v>2.9000000000000001E-2</v>
      </c>
      <c r="CP14" s="463">
        <v>2.9000000000000001E-2</v>
      </c>
      <c r="CQ14" s="463">
        <v>5.0000000000000001E-3</v>
      </c>
      <c r="CR14" s="463">
        <v>5.0000000000000001E-3</v>
      </c>
      <c r="CS14" s="463">
        <v>0</v>
      </c>
      <c r="CT14" s="463"/>
      <c r="CU14" s="463">
        <v>20</v>
      </c>
      <c r="CV14" s="463"/>
      <c r="CW14" s="463">
        <v>30</v>
      </c>
      <c r="CX14" s="463"/>
      <c r="CY14" s="463">
        <v>30</v>
      </c>
      <c r="CZ14" s="463"/>
      <c r="DA14" s="463">
        <v>39.340000000000003</v>
      </c>
      <c r="DB14" s="463"/>
      <c r="DC14" s="463">
        <v>39.97</v>
      </c>
      <c r="DD14" s="463"/>
      <c r="DE14" s="463">
        <v>40</v>
      </c>
      <c r="DF14" s="463"/>
      <c r="DG14" s="463">
        <v>40</v>
      </c>
      <c r="DH14" s="463"/>
      <c r="DI14" s="463">
        <v>15</v>
      </c>
      <c r="DJ14" s="463"/>
      <c r="DK14" s="602">
        <f t="shared" ref="DK14:DK17" si="11">DI14+DG14+DE14+DC14+CY14+CW14+CU14+CS14+CQ14+CO14+CM14+DA14</f>
        <v>254.34399999999999</v>
      </c>
      <c r="DL14" s="602">
        <f>CM14+CO14+CQ14</f>
        <v>3.4000000000000002E-2</v>
      </c>
      <c r="DM14" s="463">
        <f t="shared" si="4"/>
        <v>3.4000000000000002E-2</v>
      </c>
      <c r="DN14" s="463">
        <f t="shared" ref="DN14:DN15" si="12">CL14</f>
        <v>254.34</v>
      </c>
      <c r="DO14" s="463">
        <f t="shared" ref="DO14:DO17" si="13">DM14</f>
        <v>3.4000000000000002E-2</v>
      </c>
      <c r="DP14" s="603">
        <v>29.51</v>
      </c>
      <c r="DQ14" s="606"/>
      <c r="DR14" s="606"/>
      <c r="DS14" s="606"/>
      <c r="DT14" s="606"/>
      <c r="DU14" s="606"/>
      <c r="DV14" s="606"/>
      <c r="DW14" s="606"/>
      <c r="DX14" s="606"/>
      <c r="DY14" s="606"/>
      <c r="DZ14" s="606"/>
      <c r="EA14" s="606"/>
      <c r="EB14" s="606"/>
      <c r="EC14" s="606"/>
      <c r="ED14" s="606"/>
      <c r="EE14" s="606"/>
      <c r="EF14" s="606"/>
      <c r="EG14" s="606"/>
      <c r="EH14" s="606"/>
      <c r="EI14" s="606"/>
      <c r="EJ14" s="606"/>
      <c r="EK14" s="606"/>
      <c r="EL14" s="606"/>
      <c r="EM14" s="606"/>
      <c r="EN14" s="606"/>
      <c r="EO14" s="606"/>
      <c r="EP14" s="606"/>
      <c r="EQ14" s="606"/>
      <c r="ER14" s="606"/>
      <c r="ES14" s="606"/>
      <c r="ET14" s="456">
        <f t="shared" ref="ET14:ET17" si="14">CR14/CQ14</f>
        <v>1</v>
      </c>
      <c r="EU14" s="456">
        <f t="shared" ref="EU14:EU17" si="15">DM14/DL14</f>
        <v>1</v>
      </c>
      <c r="EV14" s="456">
        <f t="shared" ref="EV14:EV17" si="16">DO14/DN14</f>
        <v>1.3367932688527169E-4</v>
      </c>
      <c r="EW14" s="456">
        <f>(AC14+BG14+CK14+DM14)/(AB14+BF14+CJ14+DL14)</f>
        <v>0.35784159040706853</v>
      </c>
      <c r="EX14" s="456">
        <f>(AC14+BG14+CK14+DO14)/I14</f>
        <v>0.23292972972972975</v>
      </c>
      <c r="EY14" s="601" t="s">
        <v>622</v>
      </c>
      <c r="EZ14" s="600" t="s">
        <v>63</v>
      </c>
      <c r="FA14" s="600" t="s">
        <v>63</v>
      </c>
      <c r="FB14" s="599" t="s">
        <v>70</v>
      </c>
      <c r="FC14" s="550" t="s">
        <v>65</v>
      </c>
    </row>
    <row r="15" spans="1:159" ht="82.5" customHeight="1" x14ac:dyDescent="0.25">
      <c r="A15" s="755"/>
      <c r="B15" s="758"/>
      <c r="C15" s="758"/>
      <c r="D15" s="758"/>
      <c r="E15" s="610">
        <v>232</v>
      </c>
      <c r="F15" s="591" t="s">
        <v>71</v>
      </c>
      <c r="G15" s="590" t="s">
        <v>72</v>
      </c>
      <c r="H15" s="589" t="s">
        <v>69</v>
      </c>
      <c r="I15" s="588">
        <v>450000</v>
      </c>
      <c r="J15" s="596">
        <f>AC15+BC15+BH15+CL15+DP15</f>
        <v>645040</v>
      </c>
      <c r="K15" s="587">
        <v>6080</v>
      </c>
      <c r="L15" s="586">
        <v>0</v>
      </c>
      <c r="M15" s="586">
        <v>6080</v>
      </c>
      <c r="N15" s="586">
        <v>0</v>
      </c>
      <c r="O15" s="585">
        <v>6080</v>
      </c>
      <c r="P15" s="586">
        <v>0</v>
      </c>
      <c r="Q15" s="585">
        <v>6080</v>
      </c>
      <c r="R15" s="585">
        <v>204</v>
      </c>
      <c r="S15" s="585">
        <f>+Q15</f>
        <v>6080</v>
      </c>
      <c r="T15" s="585">
        <v>1042</v>
      </c>
      <c r="U15" s="585">
        <f t="shared" ref="U15:U17" si="17">+S15</f>
        <v>6080</v>
      </c>
      <c r="V15" s="585">
        <v>1729</v>
      </c>
      <c r="W15" s="585">
        <f t="shared" ref="W15:W17" si="18">+U15</f>
        <v>6080</v>
      </c>
      <c r="X15" s="584">
        <v>2900</v>
      </c>
      <c r="Y15" s="583">
        <f>+W15</f>
        <v>6080</v>
      </c>
      <c r="Z15" s="584"/>
      <c r="AA15" s="584"/>
      <c r="AB15" s="585">
        <v>6080</v>
      </c>
      <c r="AC15" s="584">
        <v>2900</v>
      </c>
      <c r="AD15" s="585">
        <f>60800+3180</f>
        <v>63980</v>
      </c>
      <c r="AE15" s="585">
        <v>85</v>
      </c>
      <c r="AF15" s="585">
        <v>85</v>
      </c>
      <c r="AG15" s="582">
        <v>0</v>
      </c>
      <c r="AH15" s="582">
        <v>0</v>
      </c>
      <c r="AI15" s="582">
        <v>0</v>
      </c>
      <c r="AJ15" s="582">
        <v>0</v>
      </c>
      <c r="AK15" s="585">
        <v>2147</v>
      </c>
      <c r="AL15" s="585">
        <v>2147</v>
      </c>
      <c r="AM15" s="585">
        <v>500</v>
      </c>
      <c r="AN15" s="585">
        <v>294</v>
      </c>
      <c r="AO15" s="588">
        <v>500</v>
      </c>
      <c r="AP15" s="588">
        <v>625</v>
      </c>
      <c r="AQ15" s="588">
        <v>500</v>
      </c>
      <c r="AR15" s="588">
        <v>683</v>
      </c>
      <c r="AS15" s="588">
        <v>500</v>
      </c>
      <c r="AT15" s="588">
        <v>1609</v>
      </c>
      <c r="AU15" s="588">
        <v>500</v>
      </c>
      <c r="AV15" s="588">
        <v>2204</v>
      </c>
      <c r="AW15" s="588">
        <v>19000</v>
      </c>
      <c r="AX15" s="588">
        <v>1256</v>
      </c>
      <c r="AY15" s="588">
        <v>19800</v>
      </c>
      <c r="AZ15" s="588">
        <v>13995</v>
      </c>
      <c r="BA15" s="588">
        <v>20448</v>
      </c>
      <c r="BB15" s="588">
        <v>7121</v>
      </c>
      <c r="BC15" s="581">
        <f t="shared" si="0"/>
        <v>63980</v>
      </c>
      <c r="BD15" s="581">
        <f t="shared" ref="BD15:BE15" si="19">AE15+AG15+AI15+AK15+AM15+AO15+AQ15+AS15+AU15+AW15+AY15+BA15</f>
        <v>63980</v>
      </c>
      <c r="BE15" s="606">
        <f t="shared" si="19"/>
        <v>30019</v>
      </c>
      <c r="BF15" s="606">
        <f t="shared" si="7"/>
        <v>63980</v>
      </c>
      <c r="BG15" s="606">
        <f t="shared" ref="BG15:BG17" si="20">BE15</f>
        <v>30019</v>
      </c>
      <c r="BH15" s="585">
        <f>182400+33961</f>
        <v>216361</v>
      </c>
      <c r="BI15" s="582">
        <v>0</v>
      </c>
      <c r="BJ15" s="582">
        <v>0</v>
      </c>
      <c r="BK15" s="582">
        <v>0</v>
      </c>
      <c r="BL15" s="463">
        <v>0</v>
      </c>
      <c r="BM15" s="585">
        <v>1643</v>
      </c>
      <c r="BN15" s="585">
        <v>2760</v>
      </c>
      <c r="BO15" s="585">
        <v>5838</v>
      </c>
      <c r="BP15" s="585">
        <v>123</v>
      </c>
      <c r="BQ15" s="585">
        <v>17420</v>
      </c>
      <c r="BR15" s="585">
        <v>175</v>
      </c>
      <c r="BS15" s="585">
        <v>18459</v>
      </c>
      <c r="BT15" s="585">
        <v>7801</v>
      </c>
      <c r="BU15" s="585">
        <v>11676</v>
      </c>
      <c r="BV15" s="585">
        <v>16811</v>
      </c>
      <c r="BW15" s="585">
        <v>11897</v>
      </c>
      <c r="BX15" s="585">
        <v>11733</v>
      </c>
      <c r="BY15" s="582">
        <v>549</v>
      </c>
      <c r="BZ15" s="580">
        <v>11568</v>
      </c>
      <c r="CA15" s="580">
        <v>584</v>
      </c>
      <c r="CB15" s="584">
        <v>479</v>
      </c>
      <c r="CC15" s="580">
        <v>70054</v>
      </c>
      <c r="CD15" s="580">
        <v>1037</v>
      </c>
      <c r="CE15" s="580">
        <v>78241</v>
      </c>
      <c r="CF15" s="580">
        <v>2795</v>
      </c>
      <c r="CG15" s="579">
        <f t="shared" si="2"/>
        <v>216361</v>
      </c>
      <c r="CH15" s="581">
        <f t="shared" ref="CH15:CI15" si="21">BI15+BK15+BM15+BO15+BQ15+BS15+BU15+BW15+BY15+CA15+CC15+CE15</f>
        <v>216361</v>
      </c>
      <c r="CI15" s="578">
        <f t="shared" si="21"/>
        <v>55282</v>
      </c>
      <c r="CJ15" s="578">
        <f t="shared" si="9"/>
        <v>216361</v>
      </c>
      <c r="CK15" s="578">
        <f t="shared" si="10"/>
        <v>55282</v>
      </c>
      <c r="CL15" s="580">
        <f>164150+161079</f>
        <v>325229</v>
      </c>
      <c r="CM15" s="463">
        <v>0</v>
      </c>
      <c r="CN15" s="582">
        <v>0</v>
      </c>
      <c r="CO15" s="577">
        <v>237</v>
      </c>
      <c r="CP15" s="577">
        <v>237</v>
      </c>
      <c r="CQ15" s="576">
        <v>1245</v>
      </c>
      <c r="CR15" s="576">
        <v>1245</v>
      </c>
      <c r="CS15" s="577">
        <v>0</v>
      </c>
      <c r="CT15" s="577"/>
      <c r="CU15" s="575">
        <v>24092</v>
      </c>
      <c r="CV15" s="575"/>
      <c r="CW15" s="575">
        <v>38362</v>
      </c>
      <c r="CX15" s="575"/>
      <c r="CY15" s="575">
        <v>38362</v>
      </c>
      <c r="CZ15" s="575"/>
      <c r="DA15" s="575">
        <v>50305</v>
      </c>
      <c r="DB15" s="575"/>
      <c r="DC15" s="575">
        <v>51148</v>
      </c>
      <c r="DD15" s="575"/>
      <c r="DE15" s="575">
        <v>51148</v>
      </c>
      <c r="DF15" s="575"/>
      <c r="DG15" s="575">
        <v>51149</v>
      </c>
      <c r="DH15" s="575"/>
      <c r="DI15" s="575">
        <v>19181</v>
      </c>
      <c r="DJ15" s="577"/>
      <c r="DK15" s="574">
        <f t="shared" si="11"/>
        <v>325229</v>
      </c>
      <c r="DL15" s="602">
        <f>CM15+CO15+CQ15</f>
        <v>1482</v>
      </c>
      <c r="DM15" s="576">
        <f t="shared" si="4"/>
        <v>1482</v>
      </c>
      <c r="DN15" s="573">
        <f t="shared" si="12"/>
        <v>325229</v>
      </c>
      <c r="DO15" s="572">
        <f t="shared" si="13"/>
        <v>1482</v>
      </c>
      <c r="DP15" s="580">
        <v>36570</v>
      </c>
      <c r="DQ15" s="585"/>
      <c r="DR15" s="585"/>
      <c r="DS15" s="585"/>
      <c r="DT15" s="585"/>
      <c r="DU15" s="585"/>
      <c r="DV15" s="585"/>
      <c r="DW15" s="585"/>
      <c r="DX15" s="585"/>
      <c r="DY15" s="585"/>
      <c r="DZ15" s="585"/>
      <c r="EA15" s="585"/>
      <c r="EB15" s="585"/>
      <c r="EC15" s="585"/>
      <c r="ED15" s="585"/>
      <c r="EE15" s="585"/>
      <c r="EF15" s="585"/>
      <c r="EG15" s="585"/>
      <c r="EH15" s="585"/>
      <c r="EI15" s="585"/>
      <c r="EJ15" s="585"/>
      <c r="EK15" s="585"/>
      <c r="EL15" s="585"/>
      <c r="EM15" s="585"/>
      <c r="EN15" s="585"/>
      <c r="EO15" s="585"/>
      <c r="EP15" s="585"/>
      <c r="EQ15" s="585"/>
      <c r="ER15" s="585"/>
      <c r="ES15" s="585"/>
      <c r="ET15" s="456">
        <f t="shared" si="14"/>
        <v>1</v>
      </c>
      <c r="EU15" s="456">
        <f t="shared" si="15"/>
        <v>1</v>
      </c>
      <c r="EV15" s="456">
        <f t="shared" si="16"/>
        <v>4.5567892162138059E-3</v>
      </c>
      <c r="EW15" s="456">
        <f t="shared" ref="EW15:EW17" si="22">(AC15+BG15+CK15+DM15)/(AB15+BF15+CJ15+DL15)</f>
        <v>0.3115042219080732</v>
      </c>
      <c r="EX15" s="456">
        <f t="shared" ref="EX15:EX17" si="23">(AC15+BG15+CK15+DO15)/I15</f>
        <v>0.19929555555555556</v>
      </c>
      <c r="EY15" s="601" t="s">
        <v>623</v>
      </c>
      <c r="EZ15" s="600" t="s">
        <v>63</v>
      </c>
      <c r="FA15" s="600" t="s">
        <v>63</v>
      </c>
      <c r="FB15" s="599" t="s">
        <v>70</v>
      </c>
      <c r="FC15" s="550" t="s">
        <v>65</v>
      </c>
    </row>
    <row r="16" spans="1:159" ht="82.5" customHeight="1" x14ac:dyDescent="0.25">
      <c r="A16" s="755"/>
      <c r="B16" s="758"/>
      <c r="C16" s="610">
        <v>214</v>
      </c>
      <c r="D16" s="571" t="s">
        <v>73</v>
      </c>
      <c r="E16" s="610">
        <v>229</v>
      </c>
      <c r="F16" s="609" t="s">
        <v>74</v>
      </c>
      <c r="G16" s="610" t="s">
        <v>68</v>
      </c>
      <c r="H16" s="608" t="s">
        <v>75</v>
      </c>
      <c r="I16" s="606">
        <v>590</v>
      </c>
      <c r="J16" s="606">
        <v>590</v>
      </c>
      <c r="K16" s="606">
        <v>54</v>
      </c>
      <c r="L16" s="605">
        <v>0</v>
      </c>
      <c r="M16" s="606">
        <v>54</v>
      </c>
      <c r="N16" s="605">
        <v>0</v>
      </c>
      <c r="O16" s="606">
        <v>54</v>
      </c>
      <c r="P16" s="605">
        <v>0</v>
      </c>
      <c r="Q16" s="606">
        <v>54</v>
      </c>
      <c r="R16" s="603">
        <v>4.1100000000000003</v>
      </c>
      <c r="S16" s="606">
        <v>54</v>
      </c>
      <c r="T16" s="603">
        <v>4.24</v>
      </c>
      <c r="U16" s="606">
        <f t="shared" si="17"/>
        <v>54</v>
      </c>
      <c r="V16" s="570">
        <v>4.8070000000000004</v>
      </c>
      <c r="W16" s="606">
        <f t="shared" si="18"/>
        <v>54</v>
      </c>
      <c r="X16" s="463">
        <v>5.24</v>
      </c>
      <c r="Y16" s="463">
        <v>54</v>
      </c>
      <c r="Z16" s="463"/>
      <c r="AA16" s="463"/>
      <c r="AB16" s="606">
        <v>54</v>
      </c>
      <c r="AC16" s="463">
        <v>5.24</v>
      </c>
      <c r="AD16" s="606">
        <v>590</v>
      </c>
      <c r="AE16" s="603">
        <v>1.48</v>
      </c>
      <c r="AF16" s="603">
        <v>1.48</v>
      </c>
      <c r="AG16" s="463">
        <v>0</v>
      </c>
      <c r="AH16" s="463">
        <v>0</v>
      </c>
      <c r="AI16" s="463">
        <v>0</v>
      </c>
      <c r="AJ16" s="463">
        <v>0</v>
      </c>
      <c r="AK16" s="603">
        <v>1.38</v>
      </c>
      <c r="AL16" s="603">
        <v>1.38</v>
      </c>
      <c r="AM16" s="603">
        <v>7.84</v>
      </c>
      <c r="AN16" s="603">
        <v>5.85</v>
      </c>
      <c r="AO16" s="604">
        <v>2.5</v>
      </c>
      <c r="AP16" s="604">
        <v>1.3</v>
      </c>
      <c r="AQ16" s="604">
        <v>3</v>
      </c>
      <c r="AR16" s="604">
        <v>19.72</v>
      </c>
      <c r="AS16" s="604">
        <v>2.81</v>
      </c>
      <c r="AT16" s="604">
        <v>5.75</v>
      </c>
      <c r="AU16" s="604">
        <v>2.99</v>
      </c>
      <c r="AV16" s="604">
        <v>5.24</v>
      </c>
      <c r="AW16" s="604">
        <v>188</v>
      </c>
      <c r="AX16" s="604">
        <v>14.3</v>
      </c>
      <c r="AY16" s="604">
        <v>190</v>
      </c>
      <c r="AZ16" s="604">
        <v>2.12</v>
      </c>
      <c r="BA16" s="604">
        <v>190</v>
      </c>
      <c r="BB16" s="604">
        <v>3.42</v>
      </c>
      <c r="BC16" s="581">
        <f t="shared" si="0"/>
        <v>590</v>
      </c>
      <c r="BD16" s="581">
        <f t="shared" ref="BD16:BE16" si="24">AE16+AG16+AI16+AK16+AM16+AO16+AQ16+AS16+AU16+AW16+AY16+BA16</f>
        <v>590</v>
      </c>
      <c r="BE16" s="603">
        <f t="shared" si="24"/>
        <v>60.559999999999995</v>
      </c>
      <c r="BF16" s="606">
        <f t="shared" si="7"/>
        <v>590</v>
      </c>
      <c r="BG16" s="603">
        <f t="shared" si="20"/>
        <v>60.559999999999995</v>
      </c>
      <c r="BH16" s="606">
        <v>590</v>
      </c>
      <c r="BI16" s="463">
        <v>0</v>
      </c>
      <c r="BJ16" s="463">
        <v>0</v>
      </c>
      <c r="BK16" s="463">
        <v>2.5499999999999998</v>
      </c>
      <c r="BL16" s="463">
        <v>2.5499999999999998</v>
      </c>
      <c r="BM16" s="463">
        <v>2</v>
      </c>
      <c r="BN16" s="463">
        <v>4.57</v>
      </c>
      <c r="BO16" s="463">
        <v>2</v>
      </c>
      <c r="BP16" s="463">
        <v>6.97</v>
      </c>
      <c r="BQ16" s="463">
        <v>2</v>
      </c>
      <c r="BR16" s="463">
        <v>3.46</v>
      </c>
      <c r="BS16" s="463">
        <v>2</v>
      </c>
      <c r="BT16" s="463">
        <v>6.97</v>
      </c>
      <c r="BU16" s="463">
        <v>2</v>
      </c>
      <c r="BV16" s="463">
        <v>3.14</v>
      </c>
      <c r="BW16" s="463">
        <v>2</v>
      </c>
      <c r="BX16" s="463">
        <v>7.5</v>
      </c>
      <c r="BY16" s="463">
        <v>148</v>
      </c>
      <c r="BZ16" s="463">
        <v>8</v>
      </c>
      <c r="CA16" s="463">
        <v>148</v>
      </c>
      <c r="CB16" s="463">
        <v>25.2</v>
      </c>
      <c r="CC16" s="463">
        <v>148</v>
      </c>
      <c r="CD16" s="463">
        <v>3.03</v>
      </c>
      <c r="CE16" s="463">
        <f>146-2.55-12</f>
        <v>131.44999999999999</v>
      </c>
      <c r="CF16" s="603">
        <v>4.34</v>
      </c>
      <c r="CG16" s="569">
        <f t="shared" si="2"/>
        <v>590</v>
      </c>
      <c r="CH16" s="602">
        <f t="shared" ref="CH16:CI16" si="25">BI16+BK16+BM16+BO16+BQ16+BS16+BU16+BW16+BY16+CA16+CC16+CE16</f>
        <v>590</v>
      </c>
      <c r="CI16" s="463">
        <f t="shared" si="25"/>
        <v>75.73</v>
      </c>
      <c r="CJ16" s="583">
        <f>BI16+BK16+BM16+BO16+BQ16+BS16+BU16+BW16+BY16+CA16+CC16+CE16</f>
        <v>590</v>
      </c>
      <c r="CK16" s="463">
        <f t="shared" si="10"/>
        <v>75.73</v>
      </c>
      <c r="CL16" s="606">
        <v>590</v>
      </c>
      <c r="CM16" s="463">
        <v>0</v>
      </c>
      <c r="CN16" s="463">
        <v>0</v>
      </c>
      <c r="CO16" s="463">
        <v>0</v>
      </c>
      <c r="CP16" s="463">
        <v>0</v>
      </c>
      <c r="CQ16" s="463">
        <v>0</v>
      </c>
      <c r="CR16" s="463">
        <v>0</v>
      </c>
      <c r="CS16" s="463">
        <v>0</v>
      </c>
      <c r="CT16" s="463"/>
      <c r="CU16" s="463">
        <v>0</v>
      </c>
      <c r="CV16" s="463"/>
      <c r="CW16" s="463">
        <v>0</v>
      </c>
      <c r="CX16" s="463"/>
      <c r="CY16" s="463">
        <v>0</v>
      </c>
      <c r="CZ16" s="463"/>
      <c r="DA16" s="463">
        <v>0</v>
      </c>
      <c r="DB16" s="463"/>
      <c r="DC16" s="463">
        <v>148</v>
      </c>
      <c r="DD16" s="463"/>
      <c r="DE16" s="463">
        <v>148</v>
      </c>
      <c r="DF16" s="463"/>
      <c r="DG16" s="463">
        <v>148</v>
      </c>
      <c r="DH16" s="463"/>
      <c r="DI16" s="463">
        <v>146</v>
      </c>
      <c r="DJ16" s="463"/>
      <c r="DK16" s="602">
        <f t="shared" si="11"/>
        <v>590</v>
      </c>
      <c r="DL16" s="602">
        <f t="shared" ref="DL16" si="26">CM16+CO16+CQ16+CS16+CU16+CW16+CY16+DA16+DC16+DE16+DG16+DI16</f>
        <v>590</v>
      </c>
      <c r="DM16" s="463">
        <f t="shared" si="4"/>
        <v>0</v>
      </c>
      <c r="DN16" s="583">
        <f>CM16+CO16+CQ16+CS16+CU16+CW16+CY16+DA16+DC16+DE16+DG16+DI16</f>
        <v>590</v>
      </c>
      <c r="DO16" s="463">
        <f t="shared" si="13"/>
        <v>0</v>
      </c>
      <c r="DP16" s="606">
        <v>590</v>
      </c>
      <c r="DQ16" s="606"/>
      <c r="DR16" s="606"/>
      <c r="DS16" s="606"/>
      <c r="DT16" s="606"/>
      <c r="DU16" s="606"/>
      <c r="DV16" s="606"/>
      <c r="DW16" s="606"/>
      <c r="DX16" s="606"/>
      <c r="DY16" s="606"/>
      <c r="DZ16" s="606"/>
      <c r="EA16" s="606"/>
      <c r="EB16" s="606"/>
      <c r="EC16" s="606"/>
      <c r="ED16" s="606"/>
      <c r="EE16" s="606"/>
      <c r="EF16" s="606"/>
      <c r="EG16" s="606"/>
      <c r="EH16" s="606"/>
      <c r="EI16" s="606"/>
      <c r="EJ16" s="606"/>
      <c r="EK16" s="606"/>
      <c r="EL16" s="606"/>
      <c r="EM16" s="606"/>
      <c r="EN16" s="606"/>
      <c r="EO16" s="606"/>
      <c r="EP16" s="606"/>
      <c r="EQ16" s="606"/>
      <c r="ER16" s="606"/>
      <c r="ES16" s="606"/>
      <c r="ET16" s="456">
        <f>IFERROR(CR16/CQ16,0)</f>
        <v>0</v>
      </c>
      <c r="EU16" s="456">
        <f t="shared" si="15"/>
        <v>0</v>
      </c>
      <c r="EV16" s="456">
        <f t="shared" si="16"/>
        <v>0</v>
      </c>
      <c r="EW16" s="456">
        <f t="shared" si="22"/>
        <v>7.7593201754385971E-2</v>
      </c>
      <c r="EX16" s="456">
        <f>(AC16+BG16+CK16+DO16)/2414</f>
        <v>5.8628831814415909E-2</v>
      </c>
      <c r="EY16" s="568" t="s">
        <v>621</v>
      </c>
      <c r="EZ16" s="600" t="s">
        <v>63</v>
      </c>
      <c r="FA16" s="600" t="s">
        <v>63</v>
      </c>
      <c r="FB16" s="599" t="s">
        <v>76</v>
      </c>
      <c r="FC16" s="549" t="s">
        <v>65</v>
      </c>
    </row>
    <row r="17" spans="1:159" ht="82.5" customHeight="1" thickBot="1" x14ac:dyDescent="0.3">
      <c r="A17" s="756"/>
      <c r="B17" s="759"/>
      <c r="C17" s="548">
        <v>211</v>
      </c>
      <c r="D17" s="547" t="s">
        <v>77</v>
      </c>
      <c r="E17" s="546">
        <v>226</v>
      </c>
      <c r="F17" s="545" t="s">
        <v>78</v>
      </c>
      <c r="G17" s="544" t="s">
        <v>72</v>
      </c>
      <c r="H17" s="543" t="s">
        <v>69</v>
      </c>
      <c r="I17" s="548">
        <v>4</v>
      </c>
      <c r="J17" s="548">
        <v>4</v>
      </c>
      <c r="K17" s="548">
        <v>0.27</v>
      </c>
      <c r="L17" s="548">
        <v>0</v>
      </c>
      <c r="M17" s="548">
        <v>0.27</v>
      </c>
      <c r="N17" s="548">
        <v>0</v>
      </c>
      <c r="O17" s="548">
        <v>0.27</v>
      </c>
      <c r="P17" s="548">
        <v>0.02</v>
      </c>
      <c r="Q17" s="548">
        <v>0.27</v>
      </c>
      <c r="R17" s="548">
        <v>0.05</v>
      </c>
      <c r="S17" s="548">
        <f>+Q17</f>
        <v>0.27</v>
      </c>
      <c r="T17" s="548">
        <v>0.14000000000000001</v>
      </c>
      <c r="U17" s="548">
        <f t="shared" si="17"/>
        <v>0.27</v>
      </c>
      <c r="V17" s="542">
        <v>0.2</v>
      </c>
      <c r="W17" s="548">
        <f t="shared" si="18"/>
        <v>0.27</v>
      </c>
      <c r="X17" s="542">
        <v>0.26</v>
      </c>
      <c r="Y17" s="542">
        <v>0.27</v>
      </c>
      <c r="Z17" s="542"/>
      <c r="AA17" s="542"/>
      <c r="AB17" s="548">
        <v>0.27</v>
      </c>
      <c r="AC17" s="542">
        <v>0.26</v>
      </c>
      <c r="AD17" s="548">
        <v>0.74</v>
      </c>
      <c r="AE17" s="548">
        <v>0.05</v>
      </c>
      <c r="AF17" s="548">
        <v>0.05</v>
      </c>
      <c r="AG17" s="542">
        <v>0.05</v>
      </c>
      <c r="AH17" s="542">
        <v>0.05</v>
      </c>
      <c r="AI17" s="548">
        <v>0.04</v>
      </c>
      <c r="AJ17" s="548">
        <v>0.04</v>
      </c>
      <c r="AK17" s="548">
        <v>0.06</v>
      </c>
      <c r="AL17" s="542">
        <v>0.06</v>
      </c>
      <c r="AM17" s="548">
        <v>7.0000000000000007E-2</v>
      </c>
      <c r="AN17" s="548">
        <v>7.0000000000000007E-2</v>
      </c>
      <c r="AO17" s="548">
        <v>0.06</v>
      </c>
      <c r="AP17" s="548">
        <v>0.06</v>
      </c>
      <c r="AQ17" s="548">
        <v>0.06</v>
      </c>
      <c r="AR17" s="548">
        <v>0.06</v>
      </c>
      <c r="AS17" s="548">
        <v>7.0000000000000007E-2</v>
      </c>
      <c r="AT17" s="548">
        <v>7.0000000000000007E-2</v>
      </c>
      <c r="AU17" s="548">
        <v>7.0000000000000007E-2</v>
      </c>
      <c r="AV17" s="541">
        <v>7.0000000000000007E-2</v>
      </c>
      <c r="AW17" s="548">
        <v>7.0000000000000007E-2</v>
      </c>
      <c r="AX17" s="548">
        <v>7.0000000000000007E-2</v>
      </c>
      <c r="AY17" s="548">
        <v>7.0000000000000007E-2</v>
      </c>
      <c r="AZ17" s="548">
        <v>7.0000000000000007E-2</v>
      </c>
      <c r="BA17" s="548">
        <v>7.0000000000000007E-2</v>
      </c>
      <c r="BB17" s="546">
        <v>7.0000000000000007E-2</v>
      </c>
      <c r="BC17" s="540">
        <f t="shared" si="0"/>
        <v>0.74000000000000021</v>
      </c>
      <c r="BD17" s="540">
        <f t="shared" ref="BD17:BE17" si="27">AE17+AG17+AI17+AK17+AM17+AO17+AQ17+AS17+AU17+AW17+AY17+BA17</f>
        <v>0.74000000000000021</v>
      </c>
      <c r="BE17" s="539">
        <f t="shared" si="27"/>
        <v>0.74000000000000021</v>
      </c>
      <c r="BF17" s="539">
        <f t="shared" si="7"/>
        <v>0.74000000000000021</v>
      </c>
      <c r="BG17" s="539">
        <f t="shared" si="20"/>
        <v>0.74000000000000021</v>
      </c>
      <c r="BH17" s="548">
        <v>1</v>
      </c>
      <c r="BI17" s="548">
        <v>0</v>
      </c>
      <c r="BJ17" s="542">
        <v>0</v>
      </c>
      <c r="BK17" s="548">
        <v>0.09</v>
      </c>
      <c r="BL17" s="548">
        <v>0.09</v>
      </c>
      <c r="BM17" s="548">
        <v>0.09</v>
      </c>
      <c r="BN17" s="548">
        <v>0.09</v>
      </c>
      <c r="BO17" s="548">
        <v>0.09</v>
      </c>
      <c r="BP17" s="548">
        <v>0.09</v>
      </c>
      <c r="BQ17" s="548">
        <v>0.09</v>
      </c>
      <c r="BR17" s="548">
        <v>0.09</v>
      </c>
      <c r="BS17" s="548">
        <v>0.09</v>
      </c>
      <c r="BT17" s="548">
        <v>0.09</v>
      </c>
      <c r="BU17" s="548">
        <v>0.09</v>
      </c>
      <c r="BV17" s="548">
        <v>0.09</v>
      </c>
      <c r="BW17" s="548">
        <v>0.09</v>
      </c>
      <c r="BX17" s="548">
        <v>0.09</v>
      </c>
      <c r="BY17" s="548">
        <v>0.09</v>
      </c>
      <c r="BZ17" s="548">
        <v>0.09</v>
      </c>
      <c r="CA17" s="548">
        <v>0.09</v>
      </c>
      <c r="CB17" s="542">
        <v>0.09</v>
      </c>
      <c r="CC17" s="548">
        <v>0.09</v>
      </c>
      <c r="CD17" s="548">
        <v>0.09</v>
      </c>
      <c r="CE17" s="542">
        <v>0.1</v>
      </c>
      <c r="CF17" s="542">
        <v>0.1</v>
      </c>
      <c r="CG17" s="538">
        <f t="shared" si="2"/>
        <v>0.99999999999999978</v>
      </c>
      <c r="CH17" s="537">
        <f t="shared" ref="CH17:CI17" si="28">BI17+BK17+BM17+BO17+BQ17+BS17+BU17+BW17+BY17+CA17+CC17+CE17</f>
        <v>0.99999999999999978</v>
      </c>
      <c r="CI17" s="542">
        <f t="shared" si="28"/>
        <v>0.99999999999999978</v>
      </c>
      <c r="CJ17" s="539">
        <f>BH17</f>
        <v>1</v>
      </c>
      <c r="CK17" s="542">
        <f t="shared" si="10"/>
        <v>0.99999999999999978</v>
      </c>
      <c r="CL17" s="548">
        <v>1</v>
      </c>
      <c r="CM17" s="542">
        <v>0</v>
      </c>
      <c r="CN17" s="542">
        <v>0</v>
      </c>
      <c r="CO17" s="548">
        <v>0.09</v>
      </c>
      <c r="CP17" s="542">
        <v>0.09</v>
      </c>
      <c r="CQ17" s="548">
        <v>0.09</v>
      </c>
      <c r="CR17" s="542">
        <v>0.09</v>
      </c>
      <c r="CS17" s="548">
        <v>0.09</v>
      </c>
      <c r="CT17" s="542"/>
      <c r="CU17" s="548">
        <v>0.09</v>
      </c>
      <c r="CV17" s="542"/>
      <c r="CW17" s="548">
        <v>0.09</v>
      </c>
      <c r="CX17" s="542"/>
      <c r="CY17" s="548">
        <v>0.09</v>
      </c>
      <c r="CZ17" s="542"/>
      <c r="DA17" s="548">
        <v>0.09</v>
      </c>
      <c r="DB17" s="542"/>
      <c r="DC17" s="548">
        <v>0.09</v>
      </c>
      <c r="DD17" s="542"/>
      <c r="DE17" s="548">
        <v>0.09</v>
      </c>
      <c r="DF17" s="542"/>
      <c r="DG17" s="548">
        <v>0.09</v>
      </c>
      <c r="DH17" s="542"/>
      <c r="DI17" s="542">
        <v>0.1</v>
      </c>
      <c r="DJ17" s="542"/>
      <c r="DK17" s="537">
        <f t="shared" si="11"/>
        <v>0.99999999999999978</v>
      </c>
      <c r="DL17" s="537">
        <f>CM17+CO17+CQ17</f>
        <v>0.18</v>
      </c>
      <c r="DM17" s="542">
        <f t="shared" si="4"/>
        <v>0.18</v>
      </c>
      <c r="DN17" s="539">
        <f>CL17</f>
        <v>1</v>
      </c>
      <c r="DO17" s="542">
        <f t="shared" si="13"/>
        <v>0.18</v>
      </c>
      <c r="DP17" s="548">
        <v>1</v>
      </c>
      <c r="DQ17" s="548"/>
      <c r="DR17" s="548"/>
      <c r="DS17" s="548"/>
      <c r="DT17" s="548"/>
      <c r="DU17" s="548"/>
      <c r="DV17" s="548"/>
      <c r="DW17" s="548"/>
      <c r="DX17" s="548"/>
      <c r="DY17" s="548"/>
      <c r="DZ17" s="548"/>
      <c r="EA17" s="548"/>
      <c r="EB17" s="548"/>
      <c r="EC17" s="548"/>
      <c r="ED17" s="548"/>
      <c r="EE17" s="548"/>
      <c r="EF17" s="548"/>
      <c r="EG17" s="548"/>
      <c r="EH17" s="548"/>
      <c r="EI17" s="548"/>
      <c r="EJ17" s="548"/>
      <c r="EK17" s="548"/>
      <c r="EL17" s="548"/>
      <c r="EM17" s="548"/>
      <c r="EN17" s="548"/>
      <c r="EO17" s="548"/>
      <c r="EP17" s="548"/>
      <c r="EQ17" s="548"/>
      <c r="ER17" s="548"/>
      <c r="ES17" s="548"/>
      <c r="ET17" s="536">
        <f t="shared" si="14"/>
        <v>1</v>
      </c>
      <c r="EU17" s="536">
        <f t="shared" si="15"/>
        <v>1</v>
      </c>
      <c r="EV17" s="536">
        <f t="shared" si="16"/>
        <v>0.18</v>
      </c>
      <c r="EW17" s="536">
        <f t="shared" si="22"/>
        <v>0.99543378995433784</v>
      </c>
      <c r="EX17" s="536">
        <f t="shared" si="23"/>
        <v>0.54500000000000004</v>
      </c>
      <c r="EY17" s="535" t="s">
        <v>597</v>
      </c>
      <c r="EZ17" s="534" t="s">
        <v>63</v>
      </c>
      <c r="FA17" s="534" t="s">
        <v>63</v>
      </c>
      <c r="FB17" s="533" t="s">
        <v>79</v>
      </c>
      <c r="FC17" s="532" t="s">
        <v>65</v>
      </c>
    </row>
    <row r="18" spans="1:159" ht="15.75" x14ac:dyDescent="0.25">
      <c r="I18" s="3"/>
      <c r="J18" s="3"/>
      <c r="K18" s="3"/>
      <c r="L18" s="3"/>
      <c r="M18" s="3"/>
      <c r="N18" s="3"/>
      <c r="O18" s="3"/>
      <c r="P18" s="3"/>
      <c r="Q18" s="3"/>
      <c r="R18" s="3"/>
      <c r="S18" s="3"/>
      <c r="T18" s="3"/>
      <c r="U18" s="3"/>
      <c r="V18" s="3"/>
      <c r="W18" s="3"/>
      <c r="X18" s="3"/>
      <c r="Y18" s="3"/>
      <c r="Z18" s="3"/>
      <c r="AA18" s="3"/>
      <c r="AB18" s="3"/>
      <c r="AC18" s="3"/>
      <c r="AD18" s="3"/>
      <c r="AE18" s="3"/>
      <c r="AF18" s="20"/>
      <c r="AG18" s="3"/>
      <c r="AH18" s="3"/>
      <c r="AI18" s="3"/>
      <c r="AJ18" s="3"/>
      <c r="AK18" s="21"/>
      <c r="AL18" s="3"/>
      <c r="AM18" s="3"/>
      <c r="AN18" s="3"/>
      <c r="BC18" s="22"/>
      <c r="BD18" s="22"/>
      <c r="BE18" s="22"/>
      <c r="BF18" s="22"/>
      <c r="BG18" s="22"/>
      <c r="BH18" s="3"/>
      <c r="BI18" s="3"/>
      <c r="BJ18" s="3"/>
      <c r="BK18" s="12"/>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23"/>
      <c r="CL18" s="2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row>
    <row r="19" spans="1:159" x14ac:dyDescent="0.25">
      <c r="I19" s="3"/>
      <c r="J19" s="3"/>
      <c r="K19" s="3"/>
      <c r="L19" s="3"/>
      <c r="M19" s="3"/>
      <c r="N19" s="3"/>
      <c r="O19" s="3"/>
      <c r="P19" s="3"/>
      <c r="Q19" s="3"/>
      <c r="R19" s="3"/>
      <c r="S19" s="3"/>
      <c r="T19" s="3"/>
      <c r="U19" s="3"/>
      <c r="V19" s="3"/>
      <c r="W19" s="3"/>
      <c r="X19" s="3"/>
      <c r="Y19" s="3"/>
      <c r="Z19" s="3"/>
      <c r="AA19" s="3"/>
      <c r="AB19" s="3"/>
      <c r="AC19" s="3"/>
      <c r="AD19" s="3"/>
      <c r="AE19" s="3"/>
      <c r="AF19" s="3"/>
      <c r="AG19" s="3"/>
      <c r="AH19" s="20"/>
      <c r="AI19" s="3"/>
      <c r="AJ19" s="3"/>
      <c r="AK19" s="3"/>
      <c r="AL19" s="3"/>
      <c r="AM19" s="3"/>
      <c r="AN19" s="3"/>
      <c r="AU19" s="24"/>
      <c r="BC19" s="3"/>
      <c r="BD19" s="25"/>
      <c r="BE19" s="3"/>
      <c r="BF19" s="3"/>
      <c r="BG19" s="3"/>
      <c r="BH19" s="3"/>
      <c r="BI19" s="3"/>
      <c r="BJ19" s="3"/>
      <c r="BK19" s="3"/>
      <c r="BL19" s="23"/>
      <c r="BM19" s="3"/>
      <c r="BN19" s="3"/>
      <c r="BO19" s="3"/>
      <c r="BP19" s="3"/>
      <c r="BQ19" s="25"/>
      <c r="BR19" s="3"/>
      <c r="BS19" s="3"/>
      <c r="BT19" s="3"/>
      <c r="BU19" s="3"/>
      <c r="BV19" s="3"/>
      <c r="BW19" s="3"/>
      <c r="BX19" s="3"/>
      <c r="BY19" s="3"/>
      <c r="BZ19" s="3"/>
      <c r="CA19" s="3"/>
      <c r="CB19" s="3"/>
      <c r="CC19" s="3"/>
      <c r="CD19" s="3"/>
      <c r="CE19" s="3"/>
      <c r="CF19" s="3"/>
      <c r="CG19" s="3"/>
      <c r="CH19" s="3"/>
      <c r="CI19" s="3"/>
      <c r="CJ19" s="3"/>
      <c r="CK19" s="23"/>
      <c r="CL19" s="3"/>
      <c r="CM19" s="3"/>
      <c r="CN19" s="3"/>
      <c r="CO19" s="3"/>
      <c r="CP19" s="3"/>
      <c r="CQ19" s="3"/>
      <c r="CR19" s="3"/>
      <c r="CS19" s="3"/>
      <c r="CT19" s="3"/>
      <c r="CU19" s="3"/>
      <c r="CV19" s="3"/>
      <c r="CW19" s="3"/>
      <c r="CX19" s="3"/>
      <c r="CY19" s="3"/>
      <c r="CZ19" s="3"/>
      <c r="DA19" s="3"/>
      <c r="DB19" s="3"/>
      <c r="DC19" s="3"/>
      <c r="DD19" s="3"/>
      <c r="DE19" s="3"/>
      <c r="DF19" s="3"/>
      <c r="DG19" s="3"/>
      <c r="DH19" s="3"/>
      <c r="DI19" s="3"/>
      <c r="DJ19" s="21"/>
      <c r="DK19" s="3"/>
      <c r="DL19" s="3"/>
      <c r="DM19" s="3"/>
      <c r="DN19" s="3"/>
      <c r="DO19" s="3"/>
      <c r="DP19" s="20"/>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row>
    <row r="20" spans="1:159" ht="18.75" x14ac:dyDescent="0.3">
      <c r="D20" s="26" t="s">
        <v>80</v>
      </c>
      <c r="I20" s="3"/>
      <c r="J20" s="3"/>
      <c r="K20" s="3"/>
      <c r="L20" s="3"/>
      <c r="M20" s="3"/>
      <c r="N20" s="3"/>
      <c r="O20" s="3"/>
      <c r="P20" s="3"/>
      <c r="Q20" s="3"/>
      <c r="R20" s="3"/>
      <c r="S20" s="3"/>
      <c r="T20" s="3"/>
      <c r="U20" s="3"/>
      <c r="V20" s="3"/>
      <c r="W20" s="3"/>
      <c r="X20" s="3"/>
      <c r="Y20" s="3"/>
      <c r="Z20" s="3"/>
      <c r="AA20" s="3"/>
      <c r="AB20" s="3"/>
      <c r="AC20" s="3"/>
      <c r="AD20" s="3"/>
      <c r="AE20" s="3"/>
      <c r="AF20" s="23"/>
      <c r="AG20" s="3"/>
      <c r="AH20" s="3"/>
      <c r="AI20" s="3"/>
      <c r="AJ20" s="20"/>
      <c r="AK20" s="3"/>
      <c r="AL20" s="3"/>
      <c r="AM20" s="3"/>
      <c r="AN20" s="27"/>
      <c r="BC20" s="20"/>
      <c r="BD20" s="27"/>
      <c r="BE20" s="20"/>
      <c r="BF20" s="3"/>
      <c r="BG20" s="20"/>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28"/>
      <c r="CM20" s="3"/>
      <c r="CN20" s="3"/>
      <c r="CO20" s="3"/>
      <c r="CP20" s="3"/>
      <c r="CQ20" s="3"/>
      <c r="CR20" s="3"/>
      <c r="CS20" s="3"/>
      <c r="CT20" s="3"/>
      <c r="CU20" s="3"/>
      <c r="CV20" s="3"/>
      <c r="CW20" s="3"/>
      <c r="CX20" s="3"/>
      <c r="CY20" s="3"/>
      <c r="CZ20" s="29"/>
      <c r="DA20" s="30"/>
      <c r="DB20" s="3"/>
      <c r="DC20" s="3"/>
      <c r="DD20" s="3"/>
      <c r="DE20" s="20"/>
      <c r="DF20" s="3"/>
      <c r="DG20" s="3"/>
      <c r="DH20" s="3"/>
      <c r="DI20" s="3"/>
      <c r="DJ20" s="27"/>
      <c r="DK20" s="3"/>
      <c r="DL20" s="31"/>
      <c r="DM20" s="31"/>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row>
    <row r="21" spans="1:159" ht="15.75" customHeight="1" x14ac:dyDescent="0.3">
      <c r="D21" s="32" t="s">
        <v>81</v>
      </c>
      <c r="E21" s="770" t="s">
        <v>82</v>
      </c>
      <c r="F21" s="771"/>
      <c r="G21" s="771"/>
      <c r="H21" s="771"/>
      <c r="I21" s="771"/>
      <c r="J21" s="771"/>
      <c r="K21" s="772"/>
      <c r="L21" s="773" t="s">
        <v>83</v>
      </c>
      <c r="M21" s="771"/>
      <c r="N21" s="771"/>
      <c r="O21" s="771"/>
      <c r="P21" s="771"/>
      <c r="Q21" s="771"/>
      <c r="R21" s="772"/>
      <c r="S21" s="3"/>
      <c r="T21" s="3"/>
      <c r="U21" s="3"/>
      <c r="V21" s="3"/>
      <c r="W21" s="3"/>
      <c r="X21" s="3"/>
      <c r="Y21" s="3"/>
      <c r="Z21" s="3"/>
      <c r="AA21" s="3"/>
      <c r="AB21" s="3"/>
      <c r="AC21" s="21"/>
      <c r="AD21" s="3"/>
      <c r="AE21" s="3"/>
      <c r="AF21" s="3"/>
      <c r="AG21" s="3"/>
      <c r="AH21" s="3"/>
      <c r="AI21" s="3"/>
      <c r="AJ21" s="3"/>
      <c r="AK21" s="3"/>
      <c r="AL21" s="3"/>
      <c r="AM21" s="3"/>
      <c r="AN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5"/>
      <c r="CO21" s="3"/>
      <c r="CP21" s="3"/>
      <c r="CQ21" s="3"/>
      <c r="CR21" s="3"/>
      <c r="CS21" s="3"/>
      <c r="CT21" s="3"/>
      <c r="CU21" s="3"/>
      <c r="CV21" s="3"/>
      <c r="CW21" s="3"/>
      <c r="CX21" s="3"/>
      <c r="CY21" s="3"/>
      <c r="CZ21" s="29"/>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row>
    <row r="22" spans="1:159" ht="15.75" customHeight="1" x14ac:dyDescent="0.3">
      <c r="D22" s="34">
        <v>13</v>
      </c>
      <c r="E22" s="774" t="s">
        <v>161</v>
      </c>
      <c r="F22" s="771"/>
      <c r="G22" s="771"/>
      <c r="H22" s="771"/>
      <c r="I22" s="771"/>
      <c r="J22" s="771"/>
      <c r="K22" s="772"/>
      <c r="L22" s="774" t="s">
        <v>84</v>
      </c>
      <c r="M22" s="771"/>
      <c r="N22" s="771"/>
      <c r="O22" s="771"/>
      <c r="P22" s="771"/>
      <c r="Q22" s="771"/>
      <c r="R22" s="772"/>
      <c r="S22" s="3"/>
      <c r="T22" s="3"/>
      <c r="U22" s="3"/>
      <c r="V22" s="3"/>
      <c r="W22" s="3"/>
      <c r="X22" s="3"/>
      <c r="Y22" s="3"/>
      <c r="Z22" s="3"/>
      <c r="AA22" s="3"/>
      <c r="AB22" s="3"/>
      <c r="AC22" s="3"/>
      <c r="AD22" s="3"/>
      <c r="AE22" s="3"/>
      <c r="AF22" s="3"/>
      <c r="AG22" s="3"/>
      <c r="AH22" s="3"/>
      <c r="AI22" s="3"/>
      <c r="AJ22" s="3"/>
      <c r="AK22" s="3"/>
      <c r="AL22" s="3"/>
      <c r="AM22" s="3"/>
      <c r="AN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23"/>
      <c r="CK22" s="3"/>
      <c r="CL22" s="3"/>
      <c r="CM22" s="3"/>
      <c r="CN22" s="21"/>
      <c r="CO22" s="3"/>
      <c r="CP22" s="3"/>
      <c r="CQ22" s="3"/>
      <c r="CR22" s="3"/>
      <c r="CS22" s="3"/>
      <c r="CT22" s="3"/>
      <c r="CU22" s="3"/>
      <c r="CV22" s="3"/>
      <c r="CW22" s="3"/>
      <c r="CX22" s="3"/>
      <c r="CY22" s="3"/>
      <c r="CZ22" s="29"/>
      <c r="DA22" s="3"/>
      <c r="DB22" s="3"/>
      <c r="DC22" s="3"/>
      <c r="DD22" s="3"/>
      <c r="DE22" s="3"/>
      <c r="DF22" s="3"/>
      <c r="DG22" s="27"/>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row>
    <row r="23" spans="1:159" ht="15.75" customHeight="1" x14ac:dyDescent="0.25">
      <c r="D23" s="34">
        <v>14</v>
      </c>
      <c r="E23" s="774" t="s">
        <v>85</v>
      </c>
      <c r="F23" s="771"/>
      <c r="G23" s="771"/>
      <c r="H23" s="771"/>
      <c r="I23" s="771"/>
      <c r="J23" s="771"/>
      <c r="K23" s="772"/>
      <c r="L23" s="775" t="s">
        <v>162</v>
      </c>
      <c r="M23" s="771"/>
      <c r="N23" s="771"/>
      <c r="O23" s="771"/>
      <c r="P23" s="771"/>
      <c r="Q23" s="771"/>
      <c r="R23" s="772"/>
      <c r="S23" s="3"/>
      <c r="T23" s="3"/>
      <c r="U23" s="3"/>
      <c r="V23" s="3"/>
      <c r="W23" s="3"/>
      <c r="X23" s="3"/>
      <c r="Y23" s="3"/>
      <c r="Z23" s="3"/>
      <c r="AA23" s="3"/>
      <c r="AB23" s="3"/>
      <c r="AC23" s="3"/>
      <c r="AD23" s="3"/>
      <c r="AE23" s="3"/>
      <c r="AF23" s="3"/>
      <c r="AG23" s="3"/>
      <c r="AH23" s="3"/>
      <c r="AI23" s="3"/>
      <c r="AJ23" s="3"/>
      <c r="AK23" s="3"/>
      <c r="AL23" s="3"/>
      <c r="AM23" s="3"/>
      <c r="AN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2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row>
    <row r="24" spans="1:159" ht="15.75" customHeight="1" x14ac:dyDescent="0.25">
      <c r="I24" s="3"/>
      <c r="J24" s="3"/>
      <c r="K24" s="3"/>
      <c r="L24" s="3"/>
      <c r="M24" s="3"/>
      <c r="N24" s="3"/>
      <c r="O24" s="3"/>
      <c r="P24" s="3"/>
      <c r="Q24" s="3"/>
      <c r="R24" s="3"/>
      <c r="S24" s="3"/>
      <c r="T24" s="3"/>
      <c r="U24" s="3"/>
      <c r="V24" s="3"/>
      <c r="W24" s="3"/>
      <c r="X24" s="3"/>
      <c r="Y24" s="3"/>
      <c r="Z24" s="3"/>
      <c r="AA24" s="3"/>
      <c r="AB24" s="3"/>
      <c r="AC24" s="20"/>
      <c r="AD24" s="3"/>
      <c r="AE24" s="3"/>
      <c r="AF24" s="3"/>
      <c r="AG24" s="3"/>
      <c r="AH24" s="3"/>
      <c r="AI24" s="3"/>
      <c r="AJ24" s="3"/>
      <c r="AK24" s="3"/>
      <c r="AL24" s="3"/>
      <c r="AM24" s="3"/>
      <c r="AN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row>
    <row r="25" spans="1:159" ht="15.75" customHeight="1" x14ac:dyDescent="0.25">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row>
    <row r="26" spans="1:159" ht="15.75" customHeight="1" x14ac:dyDescent="0.25">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3"/>
    </row>
    <row r="27" spans="1:159" ht="15.75" customHeight="1" x14ac:dyDescent="0.25">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row>
    <row r="28" spans="1:159" ht="15.75" customHeight="1" x14ac:dyDescent="0.25">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3"/>
    </row>
    <row r="29" spans="1:159" ht="15.75" customHeight="1" x14ac:dyDescent="0.25">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row>
    <row r="30" spans="1:159" ht="15.75" customHeight="1" x14ac:dyDescent="0.25">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3"/>
    </row>
    <row r="31" spans="1:159" ht="15.75" customHeight="1" x14ac:dyDescent="0.25">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3"/>
    </row>
    <row r="32" spans="1:159" ht="15.75" customHeight="1" x14ac:dyDescent="0.25">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row>
    <row r="33" spans="9:149" ht="15.75" customHeight="1" x14ac:dyDescent="0.25">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row>
    <row r="34" spans="9:149" ht="15.75" customHeight="1" x14ac:dyDescent="0.25">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row>
    <row r="35" spans="9:149" ht="15.75" customHeight="1" x14ac:dyDescent="0.25">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row>
    <row r="36" spans="9:149" ht="15.75" customHeight="1" x14ac:dyDescent="0.25">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row>
    <row r="37" spans="9:149" ht="15.75" customHeight="1" x14ac:dyDescent="0.25">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row>
    <row r="38" spans="9:149" ht="15.75" customHeight="1" x14ac:dyDescent="0.25">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row>
    <row r="39" spans="9:149" ht="15.75" customHeight="1" x14ac:dyDescent="0.25">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row>
    <row r="40" spans="9:149" ht="15.75" customHeight="1" x14ac:dyDescent="0.25">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row>
    <row r="41" spans="9:149" ht="15.75" customHeight="1" x14ac:dyDescent="0.25">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row>
    <row r="42" spans="9:149" ht="15.75" customHeight="1" x14ac:dyDescent="0.25">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row>
    <row r="43" spans="9:149" ht="15.75" customHeight="1" x14ac:dyDescent="0.25">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row>
    <row r="44" spans="9:149" ht="15.75" customHeight="1" x14ac:dyDescent="0.25">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row>
    <row r="45" spans="9:149" ht="15.75" customHeight="1" x14ac:dyDescent="0.25">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row>
    <row r="46" spans="9:149" ht="15.75" customHeight="1" x14ac:dyDescent="0.25">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row>
    <row r="47" spans="9:149" ht="15.75" customHeight="1" x14ac:dyDescent="0.25">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row>
    <row r="48" spans="9:149" ht="15.75" customHeight="1" x14ac:dyDescent="0.25">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row>
    <row r="49" spans="9:149" ht="15.75" customHeight="1" x14ac:dyDescent="0.25">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row>
    <row r="50" spans="9:149" ht="15.75" customHeight="1" x14ac:dyDescent="0.25">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row>
    <row r="51" spans="9:149" ht="15.75" customHeight="1" x14ac:dyDescent="0.25">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row>
    <row r="52" spans="9:149" ht="15.75" customHeight="1" x14ac:dyDescent="0.25">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row>
    <row r="53" spans="9:149" ht="15.75" customHeight="1" x14ac:dyDescent="0.25">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row>
    <row r="54" spans="9:149" ht="15.75" customHeight="1" x14ac:dyDescent="0.25">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row>
    <row r="55" spans="9:149" ht="15.75" customHeight="1" x14ac:dyDescent="0.25">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row>
    <row r="56" spans="9:149" ht="15.75" customHeight="1" x14ac:dyDescent="0.25">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row>
    <row r="57" spans="9:149" ht="15.75" customHeight="1" x14ac:dyDescent="0.25">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row>
    <row r="58" spans="9:149" ht="15.75" customHeight="1" x14ac:dyDescent="0.25">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row>
    <row r="59" spans="9:149" ht="15.75" customHeight="1" x14ac:dyDescent="0.25">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row>
    <row r="60" spans="9:149" ht="15.75" customHeight="1" x14ac:dyDescent="0.25">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row>
    <row r="61" spans="9:149" ht="15.75" customHeight="1" x14ac:dyDescent="0.25">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row>
    <row r="62" spans="9:149" ht="15.75" customHeight="1" x14ac:dyDescent="0.25">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row>
    <row r="63" spans="9:149" ht="15.75" customHeight="1" x14ac:dyDescent="0.25">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row>
    <row r="64" spans="9:149" ht="15.75" customHeight="1" x14ac:dyDescent="0.25">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row>
    <row r="65" spans="9:149" ht="15.75" customHeight="1" x14ac:dyDescent="0.25">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row>
    <row r="66" spans="9:149" ht="15.75" customHeight="1" x14ac:dyDescent="0.25">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row>
    <row r="67" spans="9:149" ht="15.75" customHeight="1" x14ac:dyDescent="0.25">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row>
    <row r="68" spans="9:149" ht="15.75" customHeight="1" x14ac:dyDescent="0.25">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row>
    <row r="69" spans="9:149" ht="15.75" customHeight="1" x14ac:dyDescent="0.25">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row>
    <row r="70" spans="9:149" ht="15.75" customHeight="1" x14ac:dyDescent="0.25">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row>
    <row r="71" spans="9:149" ht="15.75" customHeight="1" x14ac:dyDescent="0.25">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row>
    <row r="72" spans="9:149" ht="15.75" customHeight="1" x14ac:dyDescent="0.25">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row>
    <row r="73" spans="9:149" ht="15.75" customHeight="1" x14ac:dyDescent="0.25">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row>
    <row r="74" spans="9:149" ht="15.75" customHeight="1" x14ac:dyDescent="0.25">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row>
    <row r="75" spans="9:149" ht="15.75" customHeight="1" x14ac:dyDescent="0.25">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row>
    <row r="76" spans="9:149" ht="15.75" customHeight="1" x14ac:dyDescent="0.25">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row>
    <row r="77" spans="9:149" ht="15.75" customHeight="1" x14ac:dyDescent="0.25">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row>
    <row r="78" spans="9:149" ht="15.75" customHeight="1" x14ac:dyDescent="0.25">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row>
    <row r="79" spans="9:149" ht="15.75" customHeight="1" x14ac:dyDescent="0.25">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row>
    <row r="80" spans="9:149" ht="15.75" customHeight="1" x14ac:dyDescent="0.25">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row>
    <row r="81" spans="9:149" ht="15.75" customHeight="1" x14ac:dyDescent="0.25">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row>
    <row r="82" spans="9:149" ht="15.75" customHeight="1" x14ac:dyDescent="0.25">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row>
    <row r="83" spans="9:149" ht="15.75" customHeight="1" x14ac:dyDescent="0.25">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row>
    <row r="84" spans="9:149" ht="15.75" customHeight="1" x14ac:dyDescent="0.25">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row>
    <row r="85" spans="9:149" ht="15.75" customHeight="1" x14ac:dyDescent="0.25">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row>
    <row r="86" spans="9:149" ht="15.75" customHeight="1" x14ac:dyDescent="0.25">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row>
    <row r="87" spans="9:149" ht="15.75" customHeight="1" x14ac:dyDescent="0.25">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row>
    <row r="88" spans="9:149" ht="15.75" customHeight="1" x14ac:dyDescent="0.25">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row>
    <row r="89" spans="9:149" ht="15.75" customHeight="1" x14ac:dyDescent="0.25">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row>
    <row r="90" spans="9:149" ht="15.75" customHeight="1" x14ac:dyDescent="0.25">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row>
    <row r="91" spans="9:149" ht="15.75" customHeight="1" x14ac:dyDescent="0.25">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row>
    <row r="92" spans="9:149" ht="15.75" customHeight="1" x14ac:dyDescent="0.25">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row>
    <row r="93" spans="9:149" ht="15.75" customHeight="1" x14ac:dyDescent="0.25">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row>
    <row r="94" spans="9:149" ht="15.75" customHeight="1" x14ac:dyDescent="0.25">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row>
    <row r="95" spans="9:149" ht="15.75" customHeight="1" x14ac:dyDescent="0.25">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row>
    <row r="96" spans="9:149" ht="15.75" customHeight="1" x14ac:dyDescent="0.25">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row>
  </sheetData>
  <mergeCells count="41">
    <mergeCell ref="E21:K21"/>
    <mergeCell ref="L21:R21"/>
    <mergeCell ref="E22:K22"/>
    <mergeCell ref="L22:R22"/>
    <mergeCell ref="E23:K23"/>
    <mergeCell ref="L23:R23"/>
    <mergeCell ref="A13:A17"/>
    <mergeCell ref="B13:B17"/>
    <mergeCell ref="G5:FC5"/>
    <mergeCell ref="G6:FC6"/>
    <mergeCell ref="G7:FC7"/>
    <mergeCell ref="G8:FC8"/>
    <mergeCell ref="EY10:EY12"/>
    <mergeCell ref="AD11:BG11"/>
    <mergeCell ref="BH11:CK11"/>
    <mergeCell ref="CL11:DO11"/>
    <mergeCell ref="EX10:EX12"/>
    <mergeCell ref="EZ10:EZ12"/>
    <mergeCell ref="J11:AC11"/>
    <mergeCell ref="D14:D15"/>
    <mergeCell ref="C14:C15"/>
    <mergeCell ref="G2:FC2"/>
    <mergeCell ref="G3:FC3"/>
    <mergeCell ref="G4:ET4"/>
    <mergeCell ref="EU4:FC4"/>
    <mergeCell ref="A2:F4"/>
    <mergeCell ref="A5:F5"/>
    <mergeCell ref="A6:F6"/>
    <mergeCell ref="A7:F7"/>
    <mergeCell ref="FC10:FC12"/>
    <mergeCell ref="DP11:ES11"/>
    <mergeCell ref="FA10:FA12"/>
    <mergeCell ref="FB10:FB12"/>
    <mergeCell ref="EV10:EV12"/>
    <mergeCell ref="EW10:EW12"/>
    <mergeCell ref="A10:I10"/>
    <mergeCell ref="A11:I11"/>
    <mergeCell ref="J10:ES10"/>
    <mergeCell ref="ET10:ET12"/>
    <mergeCell ref="EU10:EU12"/>
    <mergeCell ref="A8:F8"/>
  </mergeCells>
  <printOptions horizontalCentered="1" verticalCentered="1"/>
  <pageMargins left="0" right="0" top="0.55118110236220474" bottom="0" header="0" footer="0"/>
  <pageSetup scale="2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97"/>
  <sheetViews>
    <sheetView tabSelected="1" zoomScale="59" zoomScaleNormal="59" workbookViewId="0">
      <selection activeCell="E17" sqref="E17:E23"/>
    </sheetView>
  </sheetViews>
  <sheetFormatPr baseColWidth="10" defaultColWidth="14.42578125" defaultRowHeight="15" customHeight="1" x14ac:dyDescent="0.25"/>
  <cols>
    <col min="1" max="1" width="11.140625" customWidth="1"/>
    <col min="2" max="2" width="6.28515625" customWidth="1"/>
    <col min="3" max="3" width="16.140625" customWidth="1"/>
    <col min="4" max="5" width="12.28515625" customWidth="1"/>
    <col min="6" max="6" width="14.28515625" customWidth="1"/>
    <col min="7" max="7" width="23.85546875" customWidth="1"/>
    <col min="8" max="25" width="27.42578125" hidden="1" customWidth="1"/>
    <col min="26" max="26" width="24.5703125" customWidth="1"/>
    <col min="27" max="27" width="22.28515625" customWidth="1"/>
    <col min="28" max="42" width="27.42578125" hidden="1" customWidth="1"/>
    <col min="43" max="43" width="24.28515625" hidden="1" customWidth="1"/>
    <col min="44" max="44" width="22.140625" hidden="1" customWidth="1"/>
    <col min="45" max="45" width="24.42578125" hidden="1" customWidth="1"/>
    <col min="46" max="46" width="22" hidden="1" customWidth="1"/>
    <col min="47" max="47" width="22.28515625" hidden="1" customWidth="1"/>
    <col min="48" max="48" width="22.140625" hidden="1" customWidth="1"/>
    <col min="49" max="49" width="19.42578125" hidden="1" customWidth="1"/>
    <col min="50" max="50" width="20.28515625" hidden="1" customWidth="1"/>
    <col min="51" max="51" width="24.42578125" hidden="1" customWidth="1"/>
    <col min="52" max="52" width="21.85546875" hidden="1" customWidth="1"/>
    <col min="53" max="53" width="27.28515625" hidden="1" customWidth="1"/>
    <col min="54" max="54" width="23.7109375" hidden="1" customWidth="1"/>
    <col min="55" max="55" width="24.28515625" hidden="1" customWidth="1"/>
    <col min="56" max="57" width="24.7109375" customWidth="1"/>
    <col min="58" max="58" width="24.7109375" hidden="1" customWidth="1"/>
    <col min="59" max="62" width="20.140625" hidden="1" customWidth="1"/>
    <col min="63" max="63" width="22.85546875" hidden="1" customWidth="1"/>
    <col min="64" max="65" width="20.140625" hidden="1" customWidth="1"/>
    <col min="66" max="66" width="22.85546875" hidden="1" customWidth="1"/>
    <col min="67" max="67" width="19" hidden="1" customWidth="1"/>
    <col min="68" max="68" width="20.42578125" hidden="1" customWidth="1"/>
    <col min="69" max="72" width="22.42578125" hidden="1" customWidth="1"/>
    <col min="73" max="73" width="26.28515625" hidden="1" customWidth="1"/>
    <col min="74" max="74" width="20.42578125" hidden="1" customWidth="1"/>
    <col min="75" max="75" width="26.28515625" hidden="1" customWidth="1"/>
    <col min="76" max="76" width="25.140625" hidden="1" customWidth="1"/>
    <col min="77" max="77" width="26.28515625" hidden="1" customWidth="1"/>
    <col min="78" max="78" width="19.140625" hidden="1" customWidth="1"/>
    <col min="79" max="79" width="23.42578125" hidden="1" customWidth="1"/>
    <col min="80" max="80" width="22.85546875" hidden="1" customWidth="1"/>
    <col min="81" max="81" width="23.42578125" hidden="1" customWidth="1"/>
    <col min="82" max="82" width="22.28515625" hidden="1" customWidth="1"/>
    <col min="83" max="83" width="24" hidden="1" customWidth="1"/>
    <col min="84" max="84" width="24.85546875" hidden="1" customWidth="1"/>
    <col min="85" max="85" width="23.42578125" hidden="1" customWidth="1"/>
    <col min="86" max="94" width="23.42578125" customWidth="1"/>
    <col min="95" max="108" width="21.7109375" hidden="1" customWidth="1"/>
    <col min="109" max="109" width="26.28515625" hidden="1" customWidth="1"/>
    <col min="110" max="110" width="30.28515625" hidden="1" customWidth="1"/>
    <col min="111" max="111" width="21.7109375" hidden="1" customWidth="1"/>
    <col min="112" max="112" width="9.140625" hidden="1" customWidth="1"/>
    <col min="113" max="118" width="24.85546875" customWidth="1"/>
    <col min="119" max="147" width="27.42578125" hidden="1" customWidth="1"/>
    <col min="148" max="152" width="17.85546875" customWidth="1"/>
    <col min="153" max="153" width="96.28515625" customWidth="1"/>
    <col min="154" max="156" width="19.7109375" customWidth="1"/>
    <col min="157" max="157" width="24.5703125" customWidth="1"/>
  </cols>
  <sheetData>
    <row r="1" spans="1:157" ht="39" customHeight="1" x14ac:dyDescent="0.25">
      <c r="A1" s="811"/>
      <c r="B1" s="749"/>
      <c r="C1" s="749"/>
      <c r="D1" s="749"/>
      <c r="E1" s="812"/>
      <c r="F1" s="814" t="s">
        <v>0</v>
      </c>
      <c r="G1" s="716"/>
      <c r="H1" s="716"/>
      <c r="I1" s="716"/>
      <c r="J1" s="716"/>
      <c r="K1" s="716"/>
      <c r="L1" s="716"/>
      <c r="M1" s="716"/>
      <c r="N1" s="716"/>
      <c r="O1" s="716"/>
      <c r="P1" s="716"/>
      <c r="Q1" s="716"/>
      <c r="R1" s="716"/>
      <c r="S1" s="716"/>
      <c r="T1" s="716"/>
      <c r="U1" s="716"/>
      <c r="V1" s="716"/>
      <c r="W1" s="716"/>
      <c r="X1" s="716"/>
      <c r="Y1" s="716"/>
      <c r="Z1" s="716"/>
      <c r="AA1" s="716"/>
      <c r="AB1" s="716"/>
      <c r="AC1" s="716"/>
      <c r="AD1" s="716"/>
      <c r="AE1" s="716"/>
      <c r="AF1" s="716"/>
      <c r="AG1" s="716"/>
      <c r="AH1" s="716"/>
      <c r="AI1" s="716"/>
      <c r="AJ1" s="716"/>
      <c r="AK1" s="716"/>
      <c r="AL1" s="716"/>
      <c r="AM1" s="716"/>
      <c r="AN1" s="716"/>
      <c r="AO1" s="716"/>
      <c r="AP1" s="716"/>
      <c r="AQ1" s="716"/>
      <c r="AR1" s="716"/>
      <c r="AS1" s="716"/>
      <c r="AT1" s="716"/>
      <c r="AU1" s="716"/>
      <c r="AV1" s="716"/>
      <c r="AW1" s="716"/>
      <c r="AX1" s="716"/>
      <c r="AY1" s="716"/>
      <c r="AZ1" s="716"/>
      <c r="BA1" s="716"/>
      <c r="BB1" s="716"/>
      <c r="BC1" s="716"/>
      <c r="BD1" s="716"/>
      <c r="BE1" s="716"/>
      <c r="BF1" s="716"/>
      <c r="BG1" s="716"/>
      <c r="BH1" s="716"/>
      <c r="BI1" s="716"/>
      <c r="BJ1" s="716"/>
      <c r="BK1" s="716"/>
      <c r="BL1" s="716"/>
      <c r="BM1" s="716"/>
      <c r="BN1" s="716"/>
      <c r="BO1" s="716"/>
      <c r="BP1" s="716"/>
      <c r="BQ1" s="716"/>
      <c r="BR1" s="716"/>
      <c r="BS1" s="716"/>
      <c r="BT1" s="716"/>
      <c r="BU1" s="716"/>
      <c r="BV1" s="716"/>
      <c r="BW1" s="716"/>
      <c r="BX1" s="716"/>
      <c r="BY1" s="716"/>
      <c r="BZ1" s="716"/>
      <c r="CA1" s="716"/>
      <c r="CB1" s="716"/>
      <c r="CC1" s="716"/>
      <c r="CD1" s="716"/>
      <c r="CE1" s="716"/>
      <c r="CF1" s="716"/>
      <c r="CG1" s="716"/>
      <c r="CH1" s="716"/>
      <c r="CI1" s="716"/>
      <c r="CJ1" s="716"/>
      <c r="CK1" s="716"/>
      <c r="CL1" s="716"/>
      <c r="CM1" s="716"/>
      <c r="CN1" s="716"/>
      <c r="CO1" s="716"/>
      <c r="CP1" s="716"/>
      <c r="CQ1" s="716"/>
      <c r="CR1" s="716"/>
      <c r="CS1" s="716"/>
      <c r="CT1" s="716"/>
      <c r="CU1" s="716"/>
      <c r="CV1" s="716"/>
      <c r="CW1" s="716"/>
      <c r="CX1" s="716"/>
      <c r="CY1" s="716"/>
      <c r="CZ1" s="716"/>
      <c r="DA1" s="716"/>
      <c r="DB1" s="716"/>
      <c r="DC1" s="716"/>
      <c r="DD1" s="716"/>
      <c r="DE1" s="716"/>
      <c r="DF1" s="716"/>
      <c r="DG1" s="716"/>
      <c r="DH1" s="716"/>
      <c r="DI1" s="716"/>
      <c r="DJ1" s="716"/>
      <c r="DK1" s="716"/>
      <c r="DL1" s="716"/>
      <c r="DM1" s="716"/>
      <c r="DN1" s="716"/>
      <c r="DO1" s="716"/>
      <c r="DP1" s="716"/>
      <c r="DQ1" s="716"/>
      <c r="DR1" s="716"/>
      <c r="DS1" s="716"/>
      <c r="DT1" s="716"/>
      <c r="DU1" s="716"/>
      <c r="DV1" s="716"/>
      <c r="DW1" s="716"/>
      <c r="DX1" s="716"/>
      <c r="DY1" s="716"/>
      <c r="DZ1" s="716"/>
      <c r="EA1" s="716"/>
      <c r="EB1" s="716"/>
      <c r="EC1" s="716"/>
      <c r="ED1" s="716"/>
      <c r="EE1" s="716"/>
      <c r="EF1" s="716"/>
      <c r="EG1" s="716"/>
      <c r="EH1" s="716"/>
      <c r="EI1" s="716"/>
      <c r="EJ1" s="716"/>
      <c r="EK1" s="716"/>
      <c r="EL1" s="716"/>
      <c r="EM1" s="716"/>
      <c r="EN1" s="716"/>
      <c r="EO1" s="716"/>
      <c r="EP1" s="716"/>
      <c r="EQ1" s="716"/>
      <c r="ER1" s="716"/>
      <c r="ES1" s="716"/>
      <c r="ET1" s="716"/>
      <c r="EU1" s="716"/>
      <c r="EV1" s="716"/>
      <c r="EW1" s="716"/>
      <c r="EX1" s="716"/>
      <c r="EY1" s="716"/>
      <c r="EZ1" s="716"/>
      <c r="FA1" s="815"/>
    </row>
    <row r="2" spans="1:157" ht="34.5" customHeight="1" x14ac:dyDescent="0.25">
      <c r="A2" s="750"/>
      <c r="B2" s="751"/>
      <c r="C2" s="751"/>
      <c r="D2" s="751"/>
      <c r="E2" s="813"/>
      <c r="F2" s="816" t="s">
        <v>86</v>
      </c>
      <c r="G2" s="817"/>
      <c r="H2" s="817"/>
      <c r="I2" s="817"/>
      <c r="J2" s="817"/>
      <c r="K2" s="817"/>
      <c r="L2" s="817"/>
      <c r="M2" s="817"/>
      <c r="N2" s="817"/>
      <c r="O2" s="817"/>
      <c r="P2" s="817"/>
      <c r="Q2" s="817"/>
      <c r="R2" s="817"/>
      <c r="S2" s="817"/>
      <c r="T2" s="817"/>
      <c r="U2" s="817"/>
      <c r="V2" s="817"/>
      <c r="W2" s="817"/>
      <c r="X2" s="817"/>
      <c r="Y2" s="817"/>
      <c r="Z2" s="817"/>
      <c r="AA2" s="817"/>
      <c r="AB2" s="817"/>
      <c r="AC2" s="817"/>
      <c r="AD2" s="817"/>
      <c r="AE2" s="817"/>
      <c r="AF2" s="817"/>
      <c r="AG2" s="817"/>
      <c r="AH2" s="817"/>
      <c r="AI2" s="817"/>
      <c r="AJ2" s="817"/>
      <c r="AK2" s="817"/>
      <c r="AL2" s="817"/>
      <c r="AM2" s="817"/>
      <c r="AN2" s="817"/>
      <c r="AO2" s="817"/>
      <c r="AP2" s="817"/>
      <c r="AQ2" s="817"/>
      <c r="AR2" s="817"/>
      <c r="AS2" s="817"/>
      <c r="AT2" s="817"/>
      <c r="AU2" s="817"/>
      <c r="AV2" s="817"/>
      <c r="AW2" s="817"/>
      <c r="AX2" s="817"/>
      <c r="AY2" s="817"/>
      <c r="AZ2" s="817"/>
      <c r="BA2" s="817"/>
      <c r="BB2" s="817"/>
      <c r="BC2" s="817"/>
      <c r="BD2" s="817"/>
      <c r="BE2" s="817"/>
      <c r="BF2" s="817"/>
      <c r="BG2" s="817"/>
      <c r="BH2" s="817"/>
      <c r="BI2" s="817"/>
      <c r="BJ2" s="817"/>
      <c r="BK2" s="817"/>
      <c r="BL2" s="817"/>
      <c r="BM2" s="817"/>
      <c r="BN2" s="817"/>
      <c r="BO2" s="817"/>
      <c r="BP2" s="817"/>
      <c r="BQ2" s="817"/>
      <c r="BR2" s="817"/>
      <c r="BS2" s="817"/>
      <c r="BT2" s="817"/>
      <c r="BU2" s="817"/>
      <c r="BV2" s="817"/>
      <c r="BW2" s="817"/>
      <c r="BX2" s="817"/>
      <c r="BY2" s="817"/>
      <c r="BZ2" s="817"/>
      <c r="CA2" s="817"/>
      <c r="CB2" s="817"/>
      <c r="CC2" s="817"/>
      <c r="CD2" s="817"/>
      <c r="CE2" s="817"/>
      <c r="CF2" s="817"/>
      <c r="CG2" s="817"/>
      <c r="CH2" s="817"/>
      <c r="CI2" s="817"/>
      <c r="CJ2" s="817"/>
      <c r="CK2" s="817"/>
      <c r="CL2" s="817"/>
      <c r="CM2" s="817"/>
      <c r="CN2" s="817"/>
      <c r="CO2" s="817"/>
      <c r="CP2" s="817"/>
      <c r="CQ2" s="817"/>
      <c r="CR2" s="817"/>
      <c r="CS2" s="817"/>
      <c r="CT2" s="817"/>
      <c r="CU2" s="817"/>
      <c r="CV2" s="817"/>
      <c r="CW2" s="817"/>
      <c r="CX2" s="817"/>
      <c r="CY2" s="817"/>
      <c r="CZ2" s="817"/>
      <c r="DA2" s="817"/>
      <c r="DB2" s="817"/>
      <c r="DC2" s="817"/>
      <c r="DD2" s="817"/>
      <c r="DE2" s="817"/>
      <c r="DF2" s="817"/>
      <c r="DG2" s="817"/>
      <c r="DH2" s="817"/>
      <c r="DI2" s="817"/>
      <c r="DJ2" s="817"/>
      <c r="DK2" s="817"/>
      <c r="DL2" s="817"/>
      <c r="DM2" s="817"/>
      <c r="DN2" s="817"/>
      <c r="DO2" s="817"/>
      <c r="DP2" s="817"/>
      <c r="DQ2" s="817"/>
      <c r="DR2" s="817"/>
      <c r="DS2" s="817"/>
      <c r="DT2" s="817"/>
      <c r="DU2" s="817"/>
      <c r="DV2" s="817"/>
      <c r="DW2" s="817"/>
      <c r="DX2" s="817"/>
      <c r="DY2" s="817"/>
      <c r="DZ2" s="817"/>
      <c r="EA2" s="817"/>
      <c r="EB2" s="817"/>
      <c r="EC2" s="817"/>
      <c r="ED2" s="817"/>
      <c r="EE2" s="817"/>
      <c r="EF2" s="817"/>
      <c r="EG2" s="817"/>
      <c r="EH2" s="817"/>
      <c r="EI2" s="817"/>
      <c r="EJ2" s="817"/>
      <c r="EK2" s="817"/>
      <c r="EL2" s="817"/>
      <c r="EM2" s="817"/>
      <c r="EN2" s="817"/>
      <c r="EO2" s="817"/>
      <c r="EP2" s="817"/>
      <c r="EQ2" s="817"/>
      <c r="ER2" s="817"/>
      <c r="ES2" s="817"/>
      <c r="ET2" s="817"/>
      <c r="EU2" s="817"/>
      <c r="EV2" s="817"/>
      <c r="EW2" s="817"/>
      <c r="EX2" s="817"/>
      <c r="EY2" s="817"/>
      <c r="EZ2" s="817"/>
      <c r="FA2" s="818"/>
    </row>
    <row r="3" spans="1:157" ht="45" customHeight="1" x14ac:dyDescent="0.25">
      <c r="A3" s="752"/>
      <c r="B3" s="753"/>
      <c r="C3" s="753"/>
      <c r="D3" s="753"/>
      <c r="E3" s="763"/>
      <c r="F3" s="819" t="s">
        <v>2</v>
      </c>
      <c r="G3" s="742"/>
      <c r="H3" s="742"/>
      <c r="I3" s="742"/>
      <c r="J3" s="742"/>
      <c r="K3" s="742"/>
      <c r="L3" s="742"/>
      <c r="M3" s="742"/>
      <c r="N3" s="742"/>
      <c r="O3" s="742"/>
      <c r="P3" s="742"/>
      <c r="Q3" s="742"/>
      <c r="R3" s="742"/>
      <c r="S3" s="742"/>
      <c r="T3" s="742"/>
      <c r="U3" s="742"/>
      <c r="V3" s="742"/>
      <c r="W3" s="742"/>
      <c r="X3" s="742"/>
      <c r="Y3" s="742"/>
      <c r="Z3" s="742"/>
      <c r="AA3" s="742"/>
      <c r="AB3" s="742"/>
      <c r="AC3" s="742"/>
      <c r="AD3" s="742"/>
      <c r="AE3" s="742"/>
      <c r="AF3" s="742"/>
      <c r="AG3" s="742"/>
      <c r="AH3" s="742"/>
      <c r="AI3" s="742"/>
      <c r="AJ3" s="742"/>
      <c r="AK3" s="742"/>
      <c r="AL3" s="742"/>
      <c r="AM3" s="742"/>
      <c r="AN3" s="742"/>
      <c r="AO3" s="742"/>
      <c r="AP3" s="742"/>
      <c r="AQ3" s="742"/>
      <c r="AR3" s="742"/>
      <c r="AS3" s="742"/>
      <c r="AT3" s="742"/>
      <c r="AU3" s="742"/>
      <c r="AV3" s="742"/>
      <c r="AW3" s="742"/>
      <c r="AX3" s="742"/>
      <c r="AY3" s="742"/>
      <c r="AZ3" s="742"/>
      <c r="BA3" s="742"/>
      <c r="BB3" s="742"/>
      <c r="BC3" s="742"/>
      <c r="BD3" s="742"/>
      <c r="BE3" s="742"/>
      <c r="BF3" s="742"/>
      <c r="BG3" s="742"/>
      <c r="BH3" s="742"/>
      <c r="BI3" s="742"/>
      <c r="BJ3" s="742"/>
      <c r="BK3" s="742"/>
      <c r="BL3" s="742"/>
      <c r="BM3" s="742"/>
      <c r="BN3" s="742"/>
      <c r="BO3" s="742"/>
      <c r="BP3" s="742"/>
      <c r="BQ3" s="742"/>
      <c r="BR3" s="742"/>
      <c r="BS3" s="742"/>
      <c r="BT3" s="742"/>
      <c r="BU3" s="742"/>
      <c r="BV3" s="742"/>
      <c r="BW3" s="742"/>
      <c r="BX3" s="742"/>
      <c r="BY3" s="742"/>
      <c r="BZ3" s="742"/>
      <c r="CA3" s="742"/>
      <c r="CB3" s="742"/>
      <c r="CC3" s="742"/>
      <c r="CD3" s="742"/>
      <c r="CE3" s="742"/>
      <c r="CF3" s="742"/>
      <c r="CG3" s="742"/>
      <c r="CH3" s="742"/>
      <c r="CI3" s="742"/>
      <c r="CJ3" s="742"/>
      <c r="CK3" s="742"/>
      <c r="CL3" s="742"/>
      <c r="CM3" s="742"/>
      <c r="CN3" s="742"/>
      <c r="CO3" s="742"/>
      <c r="CP3" s="742"/>
      <c r="CQ3" s="742"/>
      <c r="CR3" s="742"/>
      <c r="CS3" s="742"/>
      <c r="CT3" s="742"/>
      <c r="CU3" s="742"/>
      <c r="CV3" s="742"/>
      <c r="CW3" s="742"/>
      <c r="CX3" s="742"/>
      <c r="CY3" s="742"/>
      <c r="CZ3" s="742"/>
      <c r="DA3" s="742"/>
      <c r="DB3" s="742"/>
      <c r="DC3" s="742"/>
      <c r="DD3" s="742"/>
      <c r="DE3" s="742"/>
      <c r="DF3" s="742"/>
      <c r="DG3" s="742"/>
      <c r="DH3" s="742"/>
      <c r="DI3" s="742"/>
      <c r="DJ3" s="742"/>
      <c r="DK3" s="742"/>
      <c r="DL3" s="742"/>
      <c r="DM3" s="742"/>
      <c r="DN3" s="742"/>
      <c r="DO3" s="742"/>
      <c r="DP3" s="742"/>
      <c r="DQ3" s="742"/>
      <c r="DR3" s="742"/>
      <c r="DS3" s="742"/>
      <c r="DT3" s="742"/>
      <c r="DU3" s="742"/>
      <c r="DV3" s="742"/>
      <c r="DW3" s="742"/>
      <c r="DX3" s="742"/>
      <c r="DY3" s="742"/>
      <c r="DZ3" s="742"/>
      <c r="EA3" s="742"/>
      <c r="EB3" s="742"/>
      <c r="EC3" s="742"/>
      <c r="ED3" s="742"/>
      <c r="EE3" s="742"/>
      <c r="EF3" s="742"/>
      <c r="EG3" s="742"/>
      <c r="EH3" s="742"/>
      <c r="EI3" s="742"/>
      <c r="EJ3" s="742"/>
      <c r="EK3" s="742"/>
      <c r="EL3" s="742"/>
      <c r="EM3" s="742"/>
      <c r="EN3" s="742"/>
      <c r="EO3" s="742"/>
      <c r="EP3" s="742"/>
      <c r="EQ3" s="820"/>
      <c r="ER3" s="821" t="s">
        <v>3</v>
      </c>
      <c r="ES3" s="742"/>
      <c r="ET3" s="742"/>
      <c r="EU3" s="742"/>
      <c r="EV3" s="742"/>
      <c r="EW3" s="742"/>
      <c r="EX3" s="742"/>
      <c r="EY3" s="742"/>
      <c r="EZ3" s="742"/>
      <c r="FA3" s="744"/>
    </row>
    <row r="4" spans="1:157" ht="28.5" customHeight="1" x14ac:dyDescent="0.25">
      <c r="A4" s="810" t="s">
        <v>4</v>
      </c>
      <c r="B4" s="742"/>
      <c r="C4" s="742"/>
      <c r="D4" s="742"/>
      <c r="E4" s="744"/>
      <c r="F4" s="760" t="s">
        <v>5</v>
      </c>
      <c r="G4" s="742"/>
      <c r="H4" s="742"/>
      <c r="I4" s="742"/>
      <c r="J4" s="742"/>
      <c r="K4" s="742"/>
      <c r="L4" s="742"/>
      <c r="M4" s="742"/>
      <c r="N4" s="742"/>
      <c r="O4" s="742"/>
      <c r="P4" s="742"/>
      <c r="Q4" s="742"/>
      <c r="R4" s="742"/>
      <c r="S4" s="742"/>
      <c r="T4" s="742"/>
      <c r="U4" s="742"/>
      <c r="V4" s="742"/>
      <c r="W4" s="742"/>
      <c r="X4" s="742"/>
      <c r="Y4" s="742"/>
      <c r="Z4" s="742"/>
      <c r="AA4" s="742"/>
      <c r="AB4" s="742"/>
      <c r="AC4" s="742"/>
      <c r="AD4" s="742"/>
      <c r="AE4" s="742"/>
      <c r="AF4" s="742"/>
      <c r="AG4" s="742"/>
      <c r="AH4" s="742"/>
      <c r="AI4" s="742"/>
      <c r="AJ4" s="742"/>
      <c r="AK4" s="742"/>
      <c r="AL4" s="742"/>
      <c r="AM4" s="742"/>
      <c r="AN4" s="742"/>
      <c r="AO4" s="742"/>
      <c r="AP4" s="742"/>
      <c r="AQ4" s="742"/>
      <c r="AR4" s="742"/>
      <c r="AS4" s="742"/>
      <c r="AT4" s="742"/>
      <c r="AU4" s="742"/>
      <c r="AV4" s="742"/>
      <c r="AW4" s="742"/>
      <c r="AX4" s="742"/>
      <c r="AY4" s="742"/>
      <c r="AZ4" s="742"/>
      <c r="BA4" s="742"/>
      <c r="BB4" s="742"/>
      <c r="BC4" s="742"/>
      <c r="BD4" s="742"/>
      <c r="BE4" s="742"/>
      <c r="BF4" s="742"/>
      <c r="BG4" s="742"/>
      <c r="BH4" s="742"/>
      <c r="BI4" s="742"/>
      <c r="BJ4" s="742"/>
      <c r="BK4" s="742"/>
      <c r="BL4" s="742"/>
      <c r="BM4" s="742"/>
      <c r="BN4" s="742"/>
      <c r="BO4" s="742"/>
      <c r="BP4" s="742"/>
      <c r="BQ4" s="742"/>
      <c r="BR4" s="742"/>
      <c r="BS4" s="742"/>
      <c r="BT4" s="742"/>
      <c r="BU4" s="742"/>
      <c r="BV4" s="742"/>
      <c r="BW4" s="742"/>
      <c r="BX4" s="742"/>
      <c r="BY4" s="742"/>
      <c r="BZ4" s="742"/>
      <c r="CA4" s="742"/>
      <c r="CB4" s="742"/>
      <c r="CC4" s="742"/>
      <c r="CD4" s="742"/>
      <c r="CE4" s="742"/>
      <c r="CF4" s="742"/>
      <c r="CG4" s="742"/>
      <c r="CH4" s="742"/>
      <c r="CI4" s="742"/>
      <c r="CJ4" s="742"/>
      <c r="CK4" s="742"/>
      <c r="CL4" s="742"/>
      <c r="CM4" s="742"/>
      <c r="CN4" s="742"/>
      <c r="CO4" s="742"/>
      <c r="CP4" s="742"/>
      <c r="CQ4" s="742"/>
      <c r="CR4" s="742"/>
      <c r="CS4" s="742"/>
      <c r="CT4" s="742"/>
      <c r="CU4" s="742"/>
      <c r="CV4" s="742"/>
      <c r="CW4" s="742"/>
      <c r="CX4" s="742"/>
      <c r="CY4" s="742"/>
      <c r="CZ4" s="742"/>
      <c r="DA4" s="742"/>
      <c r="DB4" s="742"/>
      <c r="DC4" s="742"/>
      <c r="DD4" s="742"/>
      <c r="DE4" s="742"/>
      <c r="DF4" s="742"/>
      <c r="DG4" s="742"/>
      <c r="DH4" s="742"/>
      <c r="DI4" s="742"/>
      <c r="DJ4" s="742"/>
      <c r="DK4" s="742"/>
      <c r="DL4" s="742"/>
      <c r="DM4" s="742"/>
      <c r="DN4" s="742"/>
      <c r="DO4" s="742"/>
      <c r="DP4" s="742"/>
      <c r="DQ4" s="742"/>
      <c r="DR4" s="742"/>
      <c r="DS4" s="742"/>
      <c r="DT4" s="742"/>
      <c r="DU4" s="742"/>
      <c r="DV4" s="742"/>
      <c r="DW4" s="742"/>
      <c r="DX4" s="742"/>
      <c r="DY4" s="742"/>
      <c r="DZ4" s="742"/>
      <c r="EA4" s="742"/>
      <c r="EB4" s="742"/>
      <c r="EC4" s="742"/>
      <c r="ED4" s="742"/>
      <c r="EE4" s="742"/>
      <c r="EF4" s="742"/>
      <c r="EG4" s="742"/>
      <c r="EH4" s="742"/>
      <c r="EI4" s="742"/>
      <c r="EJ4" s="742"/>
      <c r="EK4" s="742"/>
      <c r="EL4" s="742"/>
      <c r="EM4" s="742"/>
      <c r="EN4" s="742"/>
      <c r="EO4" s="742"/>
      <c r="EP4" s="742"/>
      <c r="EQ4" s="742"/>
      <c r="ER4" s="742"/>
      <c r="ES4" s="742"/>
      <c r="ET4" s="742"/>
      <c r="EU4" s="742"/>
      <c r="EV4" s="742"/>
      <c r="EW4" s="742"/>
      <c r="EX4" s="742"/>
      <c r="EY4" s="742"/>
      <c r="EZ4" s="742"/>
      <c r="FA4" s="744"/>
    </row>
    <row r="5" spans="1:157" ht="30" customHeight="1" x14ac:dyDescent="0.25">
      <c r="A5" s="810" t="s">
        <v>6</v>
      </c>
      <c r="B5" s="742"/>
      <c r="C5" s="742"/>
      <c r="D5" s="742"/>
      <c r="E5" s="744"/>
      <c r="F5" s="760" t="s">
        <v>7</v>
      </c>
      <c r="G5" s="742"/>
      <c r="H5" s="742"/>
      <c r="I5" s="742"/>
      <c r="J5" s="742"/>
      <c r="K5" s="742"/>
      <c r="L5" s="742"/>
      <c r="M5" s="742"/>
      <c r="N5" s="742"/>
      <c r="O5" s="742"/>
      <c r="P5" s="742"/>
      <c r="Q5" s="742"/>
      <c r="R5" s="742"/>
      <c r="S5" s="742"/>
      <c r="T5" s="742"/>
      <c r="U5" s="742"/>
      <c r="V5" s="742"/>
      <c r="W5" s="742"/>
      <c r="X5" s="742"/>
      <c r="Y5" s="742"/>
      <c r="Z5" s="742"/>
      <c r="AA5" s="742"/>
      <c r="AB5" s="742"/>
      <c r="AC5" s="742"/>
      <c r="AD5" s="742"/>
      <c r="AE5" s="742"/>
      <c r="AF5" s="742"/>
      <c r="AG5" s="742"/>
      <c r="AH5" s="742"/>
      <c r="AI5" s="742"/>
      <c r="AJ5" s="742"/>
      <c r="AK5" s="742"/>
      <c r="AL5" s="742"/>
      <c r="AM5" s="742"/>
      <c r="AN5" s="742"/>
      <c r="AO5" s="742"/>
      <c r="AP5" s="742"/>
      <c r="AQ5" s="742"/>
      <c r="AR5" s="742"/>
      <c r="AS5" s="742"/>
      <c r="AT5" s="742"/>
      <c r="AU5" s="742"/>
      <c r="AV5" s="742"/>
      <c r="AW5" s="742"/>
      <c r="AX5" s="742"/>
      <c r="AY5" s="742"/>
      <c r="AZ5" s="742"/>
      <c r="BA5" s="742"/>
      <c r="BB5" s="742"/>
      <c r="BC5" s="742"/>
      <c r="BD5" s="742"/>
      <c r="BE5" s="742"/>
      <c r="BF5" s="742"/>
      <c r="BG5" s="742"/>
      <c r="BH5" s="742"/>
      <c r="BI5" s="742"/>
      <c r="BJ5" s="742"/>
      <c r="BK5" s="742"/>
      <c r="BL5" s="742"/>
      <c r="BM5" s="742"/>
      <c r="BN5" s="742"/>
      <c r="BO5" s="742"/>
      <c r="BP5" s="742"/>
      <c r="BQ5" s="742"/>
      <c r="BR5" s="742"/>
      <c r="BS5" s="742"/>
      <c r="BT5" s="742"/>
      <c r="BU5" s="742"/>
      <c r="BV5" s="742"/>
      <c r="BW5" s="742"/>
      <c r="BX5" s="742"/>
      <c r="BY5" s="742"/>
      <c r="BZ5" s="742"/>
      <c r="CA5" s="742"/>
      <c r="CB5" s="742"/>
      <c r="CC5" s="742"/>
      <c r="CD5" s="742"/>
      <c r="CE5" s="742"/>
      <c r="CF5" s="742"/>
      <c r="CG5" s="742"/>
      <c r="CH5" s="742"/>
      <c r="CI5" s="742"/>
      <c r="CJ5" s="742"/>
      <c r="CK5" s="742"/>
      <c r="CL5" s="742"/>
      <c r="CM5" s="742"/>
      <c r="CN5" s="742"/>
      <c r="CO5" s="742"/>
      <c r="CP5" s="742"/>
      <c r="CQ5" s="742"/>
      <c r="CR5" s="742"/>
      <c r="CS5" s="742"/>
      <c r="CT5" s="742"/>
      <c r="CU5" s="742"/>
      <c r="CV5" s="742"/>
      <c r="CW5" s="742"/>
      <c r="CX5" s="742"/>
      <c r="CY5" s="742"/>
      <c r="CZ5" s="742"/>
      <c r="DA5" s="742"/>
      <c r="DB5" s="742"/>
      <c r="DC5" s="742"/>
      <c r="DD5" s="742"/>
      <c r="DE5" s="742"/>
      <c r="DF5" s="742"/>
      <c r="DG5" s="742"/>
      <c r="DH5" s="742"/>
      <c r="DI5" s="742"/>
      <c r="DJ5" s="742"/>
      <c r="DK5" s="742"/>
      <c r="DL5" s="742"/>
      <c r="DM5" s="742"/>
      <c r="DN5" s="742"/>
      <c r="DO5" s="742"/>
      <c r="DP5" s="742"/>
      <c r="DQ5" s="742"/>
      <c r="DR5" s="742"/>
      <c r="DS5" s="742"/>
      <c r="DT5" s="742"/>
      <c r="DU5" s="742"/>
      <c r="DV5" s="742"/>
      <c r="DW5" s="742"/>
      <c r="DX5" s="742"/>
      <c r="DY5" s="742"/>
      <c r="DZ5" s="742"/>
      <c r="EA5" s="742"/>
      <c r="EB5" s="742"/>
      <c r="EC5" s="742"/>
      <c r="ED5" s="742"/>
      <c r="EE5" s="742"/>
      <c r="EF5" s="742"/>
      <c r="EG5" s="742"/>
      <c r="EH5" s="742"/>
      <c r="EI5" s="742"/>
      <c r="EJ5" s="742"/>
      <c r="EK5" s="742"/>
      <c r="EL5" s="742"/>
      <c r="EM5" s="742"/>
      <c r="EN5" s="742"/>
      <c r="EO5" s="742"/>
      <c r="EP5" s="742"/>
      <c r="EQ5" s="742"/>
      <c r="ER5" s="742"/>
      <c r="ES5" s="742"/>
      <c r="ET5" s="742"/>
      <c r="EU5" s="742"/>
      <c r="EV5" s="742"/>
      <c r="EW5" s="742"/>
      <c r="EX5" s="742"/>
      <c r="EY5" s="742"/>
      <c r="EZ5" s="742"/>
      <c r="FA5" s="744"/>
    </row>
    <row r="6" spans="1:157" ht="15.75" customHeight="1" thickBot="1" x14ac:dyDescent="0.3">
      <c r="A6" s="1"/>
      <c r="B6" s="1"/>
      <c r="C6" s="1"/>
      <c r="D6" s="36"/>
      <c r="E6" s="36"/>
      <c r="F6" s="37"/>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9"/>
      <c r="ES6" s="39"/>
      <c r="ET6" s="39"/>
      <c r="EU6" s="1"/>
      <c r="EV6" s="1"/>
      <c r="EW6" s="1"/>
      <c r="EX6" s="1"/>
      <c r="EY6" s="1"/>
      <c r="EZ6" s="1"/>
      <c r="FA6" s="1"/>
    </row>
    <row r="7" spans="1:157" ht="15.75" customHeight="1" thickBot="1" x14ac:dyDescent="0.3">
      <c r="A7" s="784" t="s">
        <v>87</v>
      </c>
      <c r="B7" s="785"/>
      <c r="C7" s="785"/>
      <c r="D7" s="785"/>
      <c r="E7" s="785"/>
      <c r="F7" s="785"/>
      <c r="G7" s="786"/>
      <c r="H7" s="790" t="s">
        <v>632</v>
      </c>
      <c r="I7" s="790"/>
      <c r="J7" s="790"/>
      <c r="K7" s="790"/>
      <c r="L7" s="790"/>
      <c r="M7" s="790"/>
      <c r="N7" s="790"/>
      <c r="O7" s="790"/>
      <c r="P7" s="790"/>
      <c r="Q7" s="790"/>
      <c r="R7" s="790"/>
      <c r="S7" s="790"/>
      <c r="T7" s="790"/>
      <c r="U7" s="791"/>
      <c r="V7" s="791"/>
      <c r="W7" s="791"/>
      <c r="X7" s="791"/>
      <c r="Y7" s="791"/>
      <c r="Z7" s="791"/>
      <c r="AA7" s="791"/>
      <c r="AB7" s="791"/>
      <c r="AC7" s="791"/>
      <c r="AD7" s="791"/>
      <c r="AE7" s="791"/>
      <c r="AF7" s="791"/>
      <c r="AG7" s="791"/>
      <c r="AH7" s="791"/>
      <c r="AI7" s="791"/>
      <c r="AJ7" s="791"/>
      <c r="AK7" s="791"/>
      <c r="AL7" s="791"/>
      <c r="AM7" s="791"/>
      <c r="AN7" s="791"/>
      <c r="AO7" s="791"/>
      <c r="AP7" s="791"/>
      <c r="AQ7" s="791"/>
      <c r="AR7" s="791"/>
      <c r="AS7" s="791"/>
      <c r="AT7" s="791"/>
      <c r="AU7" s="791"/>
      <c r="AV7" s="791"/>
      <c r="AW7" s="791"/>
      <c r="AX7" s="791"/>
      <c r="AY7" s="791"/>
      <c r="AZ7" s="791"/>
      <c r="BA7" s="791"/>
      <c r="BB7" s="791"/>
      <c r="BC7" s="791"/>
      <c r="BD7" s="791"/>
      <c r="BE7" s="791"/>
      <c r="BF7" s="791"/>
      <c r="BG7" s="791"/>
      <c r="BH7" s="791"/>
      <c r="BI7" s="791"/>
      <c r="BJ7" s="791"/>
      <c r="BK7" s="791"/>
      <c r="BL7" s="791"/>
      <c r="BM7" s="791"/>
      <c r="BN7" s="791"/>
      <c r="BO7" s="791"/>
      <c r="BP7" s="791"/>
      <c r="BQ7" s="791"/>
      <c r="BR7" s="791"/>
      <c r="BS7" s="791"/>
      <c r="BT7" s="791"/>
      <c r="BU7" s="791"/>
      <c r="BV7" s="791"/>
      <c r="BW7" s="791"/>
      <c r="BX7" s="791"/>
      <c r="BY7" s="791"/>
      <c r="BZ7" s="791"/>
      <c r="CA7" s="791"/>
      <c r="CB7" s="791"/>
      <c r="CC7" s="791"/>
      <c r="CD7" s="791"/>
      <c r="CE7" s="791"/>
      <c r="CF7" s="791"/>
      <c r="CG7" s="791"/>
      <c r="CH7" s="791"/>
      <c r="CI7" s="791"/>
      <c r="CJ7" s="791"/>
      <c r="CK7" s="791"/>
      <c r="CL7" s="791"/>
      <c r="CM7" s="791"/>
      <c r="CN7" s="791"/>
      <c r="CO7" s="791"/>
      <c r="CP7" s="791"/>
      <c r="CQ7" s="791"/>
      <c r="CR7" s="791"/>
      <c r="CS7" s="791"/>
      <c r="CT7" s="791"/>
      <c r="CU7" s="791"/>
      <c r="CV7" s="791"/>
      <c r="CW7" s="791"/>
      <c r="CX7" s="791"/>
      <c r="CY7" s="791"/>
      <c r="CZ7" s="791"/>
      <c r="DA7" s="791"/>
      <c r="DB7" s="791"/>
      <c r="DC7" s="791"/>
      <c r="DD7" s="791"/>
      <c r="DE7" s="791"/>
      <c r="DF7" s="791"/>
      <c r="DG7" s="791"/>
      <c r="DH7" s="791"/>
      <c r="DI7" s="791"/>
      <c r="DJ7" s="791"/>
      <c r="DK7" s="791"/>
      <c r="DL7" s="791"/>
      <c r="DM7" s="791"/>
      <c r="DN7" s="791"/>
      <c r="DO7" s="791"/>
      <c r="DP7" s="791"/>
      <c r="DQ7" s="791"/>
      <c r="DR7" s="791"/>
      <c r="DS7" s="791"/>
      <c r="DT7" s="791"/>
      <c r="DU7" s="791"/>
      <c r="DV7" s="791"/>
      <c r="DW7" s="791"/>
      <c r="DX7" s="791"/>
      <c r="DY7" s="791"/>
      <c r="DZ7" s="791"/>
      <c r="EA7" s="791"/>
      <c r="EB7" s="791"/>
      <c r="EC7" s="791"/>
      <c r="ED7" s="791"/>
      <c r="EE7" s="791"/>
      <c r="EF7" s="791"/>
      <c r="EG7" s="791"/>
      <c r="EH7" s="791"/>
      <c r="EI7" s="791"/>
      <c r="EJ7" s="791"/>
      <c r="EK7" s="791"/>
      <c r="EL7" s="791"/>
      <c r="EM7" s="791"/>
      <c r="EN7" s="791"/>
      <c r="EO7" s="791"/>
      <c r="EP7" s="791"/>
      <c r="EQ7" s="791"/>
      <c r="ER7" s="733" t="s">
        <v>14</v>
      </c>
      <c r="ES7" s="733" t="s">
        <v>15</v>
      </c>
      <c r="ET7" s="793" t="s">
        <v>16</v>
      </c>
      <c r="EU7" s="728" t="s">
        <v>88</v>
      </c>
      <c r="EV7" s="797" t="s">
        <v>17</v>
      </c>
      <c r="EW7" s="800" t="s">
        <v>18</v>
      </c>
      <c r="EX7" s="723" t="s">
        <v>19</v>
      </c>
      <c r="EY7" s="723" t="s">
        <v>20</v>
      </c>
      <c r="EZ7" s="723" t="s">
        <v>21</v>
      </c>
      <c r="FA7" s="718" t="s">
        <v>22</v>
      </c>
    </row>
    <row r="8" spans="1:157" ht="26.25" customHeight="1" thickBot="1" x14ac:dyDescent="0.3">
      <c r="A8" s="787"/>
      <c r="B8" s="788"/>
      <c r="C8" s="788"/>
      <c r="D8" s="788"/>
      <c r="E8" s="788"/>
      <c r="F8" s="788"/>
      <c r="G8" s="789"/>
      <c r="H8" s="722" t="s">
        <v>89</v>
      </c>
      <c r="I8" s="722"/>
      <c r="J8" s="722"/>
      <c r="K8" s="722"/>
      <c r="L8" s="722"/>
      <c r="M8" s="722"/>
      <c r="N8" s="722"/>
      <c r="O8" s="722"/>
      <c r="P8" s="722"/>
      <c r="Q8" s="722"/>
      <c r="R8" s="722"/>
      <c r="S8" s="722"/>
      <c r="T8" s="722"/>
      <c r="U8" s="722"/>
      <c r="V8" s="722"/>
      <c r="W8" s="722"/>
      <c r="X8" s="722"/>
      <c r="Y8" s="722"/>
      <c r="Z8" s="722"/>
      <c r="AA8" s="767"/>
      <c r="AB8" s="721" t="s">
        <v>633</v>
      </c>
      <c r="AC8" s="722"/>
      <c r="AD8" s="722"/>
      <c r="AE8" s="722"/>
      <c r="AF8" s="722"/>
      <c r="AG8" s="722"/>
      <c r="AH8" s="722"/>
      <c r="AI8" s="722"/>
      <c r="AJ8" s="722"/>
      <c r="AK8" s="722"/>
      <c r="AL8" s="722"/>
      <c r="AM8" s="722"/>
      <c r="AN8" s="722"/>
      <c r="AO8" s="722"/>
      <c r="AP8" s="722"/>
      <c r="AQ8" s="722"/>
      <c r="AR8" s="722"/>
      <c r="AS8" s="722"/>
      <c r="AT8" s="722"/>
      <c r="AU8" s="722"/>
      <c r="AV8" s="722"/>
      <c r="AW8" s="722"/>
      <c r="AX8" s="722"/>
      <c r="AY8" s="722"/>
      <c r="AZ8" s="722"/>
      <c r="BA8" s="722"/>
      <c r="BB8" s="722"/>
      <c r="BC8" s="722"/>
      <c r="BD8" s="722"/>
      <c r="BE8" s="767"/>
      <c r="BF8" s="721" t="s">
        <v>26</v>
      </c>
      <c r="BG8" s="722"/>
      <c r="BH8" s="722"/>
      <c r="BI8" s="722"/>
      <c r="BJ8" s="722"/>
      <c r="BK8" s="722"/>
      <c r="BL8" s="722"/>
      <c r="BM8" s="722"/>
      <c r="BN8" s="722"/>
      <c r="BO8" s="722"/>
      <c r="BP8" s="722"/>
      <c r="BQ8" s="722"/>
      <c r="BR8" s="722"/>
      <c r="BS8" s="722"/>
      <c r="BT8" s="722"/>
      <c r="BU8" s="722"/>
      <c r="BV8" s="722"/>
      <c r="BW8" s="722"/>
      <c r="BX8" s="722"/>
      <c r="BY8" s="722"/>
      <c r="BZ8" s="722"/>
      <c r="CA8" s="722"/>
      <c r="CB8" s="722"/>
      <c r="CC8" s="722"/>
      <c r="CD8" s="722"/>
      <c r="CE8" s="722"/>
      <c r="CF8" s="722"/>
      <c r="CG8" s="722"/>
      <c r="CH8" s="722"/>
      <c r="CI8" s="767"/>
      <c r="CJ8" s="803" t="s">
        <v>27</v>
      </c>
      <c r="CK8" s="804"/>
      <c r="CL8" s="804"/>
      <c r="CM8" s="804"/>
      <c r="CN8" s="804"/>
      <c r="CO8" s="804"/>
      <c r="CP8" s="804"/>
      <c r="CQ8" s="804"/>
      <c r="CR8" s="804"/>
      <c r="CS8" s="804"/>
      <c r="CT8" s="804"/>
      <c r="CU8" s="804"/>
      <c r="CV8" s="804"/>
      <c r="CW8" s="804"/>
      <c r="CX8" s="804"/>
      <c r="CY8" s="804"/>
      <c r="CZ8" s="804"/>
      <c r="DA8" s="804"/>
      <c r="DB8" s="804"/>
      <c r="DC8" s="804"/>
      <c r="DD8" s="804"/>
      <c r="DE8" s="804"/>
      <c r="DF8" s="804"/>
      <c r="DG8" s="804"/>
      <c r="DH8" s="804"/>
      <c r="DI8" s="804"/>
      <c r="DJ8" s="804"/>
      <c r="DK8" s="804"/>
      <c r="DL8" s="804"/>
      <c r="DM8" s="804"/>
      <c r="DN8" s="807" t="s">
        <v>28</v>
      </c>
      <c r="DO8" s="808"/>
      <c r="DP8" s="808"/>
      <c r="DQ8" s="808"/>
      <c r="DR8" s="808"/>
      <c r="DS8" s="808"/>
      <c r="DT8" s="808"/>
      <c r="DU8" s="808"/>
      <c r="DV8" s="808"/>
      <c r="DW8" s="808"/>
      <c r="DX8" s="808"/>
      <c r="DY8" s="808"/>
      <c r="DZ8" s="808"/>
      <c r="EA8" s="808"/>
      <c r="EB8" s="808"/>
      <c r="EC8" s="808"/>
      <c r="ED8" s="808"/>
      <c r="EE8" s="808"/>
      <c r="EF8" s="808"/>
      <c r="EG8" s="809"/>
      <c r="EH8" s="809"/>
      <c r="EI8" s="809"/>
      <c r="EJ8" s="809"/>
      <c r="EK8" s="809"/>
      <c r="EL8" s="809"/>
      <c r="EM8" s="809"/>
      <c r="EN8" s="809"/>
      <c r="EO8" s="809"/>
      <c r="EP8" s="809"/>
      <c r="EQ8" s="809"/>
      <c r="ER8" s="734"/>
      <c r="ES8" s="734"/>
      <c r="ET8" s="794"/>
      <c r="EU8" s="729"/>
      <c r="EV8" s="798"/>
      <c r="EW8" s="801"/>
      <c r="EX8" s="724"/>
      <c r="EY8" s="724"/>
      <c r="EZ8" s="724"/>
      <c r="FA8" s="719"/>
    </row>
    <row r="9" spans="1:157" ht="106.5" customHeight="1" thickBot="1" x14ac:dyDescent="0.3">
      <c r="A9" s="632" t="s">
        <v>90</v>
      </c>
      <c r="B9" s="633" t="s">
        <v>91</v>
      </c>
      <c r="C9" s="634" t="s">
        <v>92</v>
      </c>
      <c r="D9" s="634" t="s">
        <v>93</v>
      </c>
      <c r="E9" s="634" t="s">
        <v>94</v>
      </c>
      <c r="F9" s="634" t="s">
        <v>95</v>
      </c>
      <c r="G9" s="635" t="s">
        <v>96</v>
      </c>
      <c r="H9" s="630" t="s">
        <v>634</v>
      </c>
      <c r="I9" s="623" t="s">
        <v>635</v>
      </c>
      <c r="J9" s="624" t="s">
        <v>636</v>
      </c>
      <c r="K9" s="623" t="s">
        <v>637</v>
      </c>
      <c r="L9" s="624" t="s">
        <v>638</v>
      </c>
      <c r="M9" s="623" t="s">
        <v>639</v>
      </c>
      <c r="N9" s="624" t="s">
        <v>640</v>
      </c>
      <c r="O9" s="623" t="s">
        <v>641</v>
      </c>
      <c r="P9" s="624" t="s">
        <v>642</v>
      </c>
      <c r="Q9" s="623" t="s">
        <v>643</v>
      </c>
      <c r="R9" s="624" t="s">
        <v>644</v>
      </c>
      <c r="S9" s="623" t="s">
        <v>645</v>
      </c>
      <c r="T9" s="624" t="s">
        <v>646</v>
      </c>
      <c r="U9" s="623" t="s">
        <v>647</v>
      </c>
      <c r="V9" s="625" t="s">
        <v>648</v>
      </c>
      <c r="W9" s="631" t="s">
        <v>38</v>
      </c>
      <c r="X9" s="626" t="s">
        <v>39</v>
      </c>
      <c r="Y9" s="627" t="s">
        <v>40</v>
      </c>
      <c r="Z9" s="628" t="s">
        <v>41</v>
      </c>
      <c r="AA9" s="627" t="s">
        <v>42</v>
      </c>
      <c r="AB9" s="622" t="s">
        <v>634</v>
      </c>
      <c r="AC9" s="636" t="s">
        <v>649</v>
      </c>
      <c r="AD9" s="637" t="s">
        <v>650</v>
      </c>
      <c r="AE9" s="636" t="s">
        <v>651</v>
      </c>
      <c r="AF9" s="637" t="s">
        <v>652</v>
      </c>
      <c r="AG9" s="636" t="s">
        <v>653</v>
      </c>
      <c r="AH9" s="637" t="s">
        <v>654</v>
      </c>
      <c r="AI9" s="636" t="s">
        <v>655</v>
      </c>
      <c r="AJ9" s="637" t="s">
        <v>656</v>
      </c>
      <c r="AK9" s="636" t="s">
        <v>657</v>
      </c>
      <c r="AL9" s="637" t="s">
        <v>658</v>
      </c>
      <c r="AM9" s="636" t="s">
        <v>635</v>
      </c>
      <c r="AN9" s="637" t="s">
        <v>636</v>
      </c>
      <c r="AO9" s="636" t="s">
        <v>637</v>
      </c>
      <c r="AP9" s="637" t="s">
        <v>638</v>
      </c>
      <c r="AQ9" s="636" t="s">
        <v>639</v>
      </c>
      <c r="AR9" s="637" t="s">
        <v>640</v>
      </c>
      <c r="AS9" s="636" t="s">
        <v>641</v>
      </c>
      <c r="AT9" s="637" t="s">
        <v>642</v>
      </c>
      <c r="AU9" s="636" t="s">
        <v>643</v>
      </c>
      <c r="AV9" s="637" t="s">
        <v>644</v>
      </c>
      <c r="AW9" s="636" t="s">
        <v>645</v>
      </c>
      <c r="AX9" s="637" t="s">
        <v>646</v>
      </c>
      <c r="AY9" s="636" t="s">
        <v>647</v>
      </c>
      <c r="AZ9" s="638" t="s">
        <v>648</v>
      </c>
      <c r="BA9" s="631" t="s">
        <v>38</v>
      </c>
      <c r="BB9" s="626" t="s">
        <v>43</v>
      </c>
      <c r="BC9" s="627" t="s">
        <v>44</v>
      </c>
      <c r="BD9" s="628" t="s">
        <v>45</v>
      </c>
      <c r="BE9" s="627" t="s">
        <v>46</v>
      </c>
      <c r="BF9" s="622" t="s">
        <v>634</v>
      </c>
      <c r="BG9" s="623" t="s">
        <v>649</v>
      </c>
      <c r="BH9" s="624" t="s">
        <v>650</v>
      </c>
      <c r="BI9" s="623" t="s">
        <v>651</v>
      </c>
      <c r="BJ9" s="624" t="s">
        <v>652</v>
      </c>
      <c r="BK9" s="623" t="s">
        <v>653</v>
      </c>
      <c r="BL9" s="624" t="s">
        <v>654</v>
      </c>
      <c r="BM9" s="623" t="s">
        <v>659</v>
      </c>
      <c r="BN9" s="624" t="s">
        <v>656</v>
      </c>
      <c r="BO9" s="623" t="s">
        <v>657</v>
      </c>
      <c r="BP9" s="624" t="s">
        <v>658</v>
      </c>
      <c r="BQ9" s="623" t="s">
        <v>635</v>
      </c>
      <c r="BR9" s="624" t="s">
        <v>636</v>
      </c>
      <c r="BS9" s="623" t="s">
        <v>637</v>
      </c>
      <c r="BT9" s="624" t="s">
        <v>638</v>
      </c>
      <c r="BU9" s="623" t="s">
        <v>639</v>
      </c>
      <c r="BV9" s="624" t="s">
        <v>640</v>
      </c>
      <c r="BW9" s="623" t="s">
        <v>641</v>
      </c>
      <c r="BX9" s="624" t="s">
        <v>642</v>
      </c>
      <c r="BY9" s="623" t="s">
        <v>643</v>
      </c>
      <c r="BZ9" s="624" t="s">
        <v>644</v>
      </c>
      <c r="CA9" s="623" t="s">
        <v>645</v>
      </c>
      <c r="CB9" s="624" t="s">
        <v>646</v>
      </c>
      <c r="CC9" s="623" t="s">
        <v>647</v>
      </c>
      <c r="CD9" s="625" t="s">
        <v>648</v>
      </c>
      <c r="CE9" s="631" t="s">
        <v>38</v>
      </c>
      <c r="CF9" s="626" t="s">
        <v>47</v>
      </c>
      <c r="CG9" s="627" t="s">
        <v>48</v>
      </c>
      <c r="CH9" s="628" t="s">
        <v>49</v>
      </c>
      <c r="CI9" s="627" t="s">
        <v>50</v>
      </c>
      <c r="CJ9" s="622" t="s">
        <v>634</v>
      </c>
      <c r="CK9" s="623" t="s">
        <v>649</v>
      </c>
      <c r="CL9" s="624" t="s">
        <v>650</v>
      </c>
      <c r="CM9" s="623" t="s">
        <v>651</v>
      </c>
      <c r="CN9" s="624" t="s">
        <v>652</v>
      </c>
      <c r="CO9" s="623" t="s">
        <v>653</v>
      </c>
      <c r="CP9" s="624" t="s">
        <v>654</v>
      </c>
      <c r="CQ9" s="623" t="s">
        <v>655</v>
      </c>
      <c r="CR9" s="624" t="s">
        <v>656</v>
      </c>
      <c r="CS9" s="623" t="s">
        <v>657</v>
      </c>
      <c r="CT9" s="624" t="s">
        <v>658</v>
      </c>
      <c r="CU9" s="623" t="s">
        <v>635</v>
      </c>
      <c r="CV9" s="624" t="s">
        <v>636</v>
      </c>
      <c r="CW9" s="623" t="s">
        <v>637</v>
      </c>
      <c r="CX9" s="624" t="s">
        <v>638</v>
      </c>
      <c r="CY9" s="623" t="s">
        <v>639</v>
      </c>
      <c r="CZ9" s="624" t="s">
        <v>640</v>
      </c>
      <c r="DA9" s="623" t="s">
        <v>641</v>
      </c>
      <c r="DB9" s="624" t="s">
        <v>642</v>
      </c>
      <c r="DC9" s="623" t="s">
        <v>643</v>
      </c>
      <c r="DD9" s="624" t="s">
        <v>644</v>
      </c>
      <c r="DE9" s="623" t="s">
        <v>645</v>
      </c>
      <c r="DF9" s="624" t="s">
        <v>646</v>
      </c>
      <c r="DG9" s="623" t="s">
        <v>647</v>
      </c>
      <c r="DH9" s="624" t="s">
        <v>648</v>
      </c>
      <c r="DI9" s="629" t="s">
        <v>38</v>
      </c>
      <c r="DJ9" s="619" t="s">
        <v>51</v>
      </c>
      <c r="DK9" s="620" t="s">
        <v>52</v>
      </c>
      <c r="DL9" s="621" t="s">
        <v>53</v>
      </c>
      <c r="DM9" s="620" t="s">
        <v>54</v>
      </c>
      <c r="DN9" s="622" t="s">
        <v>634</v>
      </c>
      <c r="DO9" s="623" t="s">
        <v>649</v>
      </c>
      <c r="DP9" s="624" t="s">
        <v>650</v>
      </c>
      <c r="DQ9" s="623" t="s">
        <v>651</v>
      </c>
      <c r="DR9" s="624" t="s">
        <v>652</v>
      </c>
      <c r="DS9" s="623" t="s">
        <v>653</v>
      </c>
      <c r="DT9" s="624" t="s">
        <v>654</v>
      </c>
      <c r="DU9" s="623" t="s">
        <v>655</v>
      </c>
      <c r="DV9" s="624" t="s">
        <v>656</v>
      </c>
      <c r="DW9" s="623" t="s">
        <v>657</v>
      </c>
      <c r="DX9" s="624" t="s">
        <v>658</v>
      </c>
      <c r="DY9" s="623" t="s">
        <v>635</v>
      </c>
      <c r="DZ9" s="624" t="s">
        <v>636</v>
      </c>
      <c r="EA9" s="623" t="s">
        <v>637</v>
      </c>
      <c r="EB9" s="624" t="s">
        <v>638</v>
      </c>
      <c r="EC9" s="623" t="s">
        <v>639</v>
      </c>
      <c r="ED9" s="624" t="s">
        <v>640</v>
      </c>
      <c r="EE9" s="623" t="s">
        <v>641</v>
      </c>
      <c r="EF9" s="624" t="s">
        <v>642</v>
      </c>
      <c r="EG9" s="623" t="s">
        <v>643</v>
      </c>
      <c r="EH9" s="624" t="s">
        <v>644</v>
      </c>
      <c r="EI9" s="623" t="s">
        <v>645</v>
      </c>
      <c r="EJ9" s="624" t="s">
        <v>646</v>
      </c>
      <c r="EK9" s="623" t="s">
        <v>647</v>
      </c>
      <c r="EL9" s="624" t="s">
        <v>648</v>
      </c>
      <c r="EM9" s="629" t="s">
        <v>38</v>
      </c>
      <c r="EN9" s="619" t="s">
        <v>55</v>
      </c>
      <c r="EO9" s="620" t="s">
        <v>56</v>
      </c>
      <c r="EP9" s="621" t="s">
        <v>57</v>
      </c>
      <c r="EQ9" s="620" t="s">
        <v>58</v>
      </c>
      <c r="ER9" s="734"/>
      <c r="ES9" s="792"/>
      <c r="ET9" s="795"/>
      <c r="EU9" s="796"/>
      <c r="EV9" s="799"/>
      <c r="EW9" s="802"/>
      <c r="EX9" s="782"/>
      <c r="EY9" s="782"/>
      <c r="EZ9" s="782"/>
      <c r="FA9" s="783"/>
    </row>
    <row r="10" spans="1:157" ht="29.25" customHeight="1" x14ac:dyDescent="0.25">
      <c r="A10" s="829" t="s">
        <v>97</v>
      </c>
      <c r="B10" s="835">
        <v>1</v>
      </c>
      <c r="C10" s="838" t="s">
        <v>98</v>
      </c>
      <c r="D10" s="832" t="s">
        <v>99</v>
      </c>
      <c r="E10" s="826">
        <v>202</v>
      </c>
      <c r="F10" s="40" t="s">
        <v>100</v>
      </c>
      <c r="G10" s="453">
        <v>75</v>
      </c>
      <c r="H10" s="461">
        <v>46</v>
      </c>
      <c r="I10" s="461">
        <v>46</v>
      </c>
      <c r="J10" s="461">
        <v>0</v>
      </c>
      <c r="K10" s="461">
        <v>46</v>
      </c>
      <c r="L10" s="461">
        <v>0</v>
      </c>
      <c r="M10" s="461">
        <v>46</v>
      </c>
      <c r="N10" s="462">
        <v>44.02</v>
      </c>
      <c r="O10" s="461">
        <v>46</v>
      </c>
      <c r="P10" s="462">
        <v>44.39</v>
      </c>
      <c r="Q10" s="461">
        <v>46</v>
      </c>
      <c r="R10" s="462">
        <f>+[1]GESTIÓN!T13</f>
        <v>44.87</v>
      </c>
      <c r="S10" s="461">
        <v>46</v>
      </c>
      <c r="T10" s="462">
        <f>+[1]GESTIÓN!V13</f>
        <v>45.54</v>
      </c>
      <c r="U10" s="462">
        <v>46</v>
      </c>
      <c r="V10" s="462">
        <v>45.92</v>
      </c>
      <c r="W10" s="462"/>
      <c r="X10" s="462"/>
      <c r="Y10" s="462"/>
      <c r="Z10" s="462">
        <v>46</v>
      </c>
      <c r="AA10" s="462">
        <v>45.92</v>
      </c>
      <c r="AB10" s="462">
        <v>56</v>
      </c>
      <c r="AC10" s="461">
        <v>0.36</v>
      </c>
      <c r="AD10" s="461">
        <v>0.36</v>
      </c>
      <c r="AE10" s="461">
        <v>0.36</v>
      </c>
      <c r="AF10" s="461">
        <v>0.36</v>
      </c>
      <c r="AG10" s="461">
        <v>0.38</v>
      </c>
      <c r="AH10" s="461">
        <v>0.38</v>
      </c>
      <c r="AI10" s="461">
        <v>0.08</v>
      </c>
      <c r="AJ10" s="461">
        <v>0.08</v>
      </c>
      <c r="AK10" s="461">
        <v>0.3</v>
      </c>
      <c r="AL10" s="461">
        <v>0.2</v>
      </c>
      <c r="AM10" s="461">
        <v>0.85</v>
      </c>
      <c r="AN10" s="461">
        <v>0.51</v>
      </c>
      <c r="AO10" s="461">
        <v>0.95</v>
      </c>
      <c r="AP10" s="461">
        <v>0.93</v>
      </c>
      <c r="AQ10" s="461">
        <v>0.98</v>
      </c>
      <c r="AR10" s="461">
        <v>0.45</v>
      </c>
      <c r="AS10" s="461">
        <v>0.98</v>
      </c>
      <c r="AT10" s="461">
        <v>0.76</v>
      </c>
      <c r="AU10" s="461">
        <v>0.98</v>
      </c>
      <c r="AV10" s="461">
        <v>0.91</v>
      </c>
      <c r="AW10" s="461">
        <v>0.98</v>
      </c>
      <c r="AX10" s="461">
        <v>0.8</v>
      </c>
      <c r="AY10" s="461">
        <v>2.88</v>
      </c>
      <c r="AZ10" s="463">
        <v>0.53</v>
      </c>
      <c r="BA10" s="462">
        <f t="shared" ref="BA10:BA14" si="0">AC10+AE10+AG10+AI10+AK10+AM10+AO10+AQ10+AS10+AU10+AW10+AY10</f>
        <v>10.080000000000002</v>
      </c>
      <c r="BB10" s="462">
        <f t="shared" ref="BB10:BC10" si="1">AC10+AE10+AG10+AI10+AK10+AM10+AO10+AQ10+AS10+AU10+AW10+AY10</f>
        <v>10.080000000000002</v>
      </c>
      <c r="BC10" s="462">
        <f t="shared" si="1"/>
        <v>6.2700000000000005</v>
      </c>
      <c r="BD10" s="462">
        <f>BA10+AA10</f>
        <v>56</v>
      </c>
      <c r="BE10" s="462">
        <f>BC10+AA10</f>
        <v>52.190000000000005</v>
      </c>
      <c r="BF10" s="462">
        <v>64</v>
      </c>
      <c r="BG10" s="462">
        <v>0</v>
      </c>
      <c r="BH10" s="462">
        <v>0</v>
      </c>
      <c r="BI10" s="462">
        <v>0.4</v>
      </c>
      <c r="BJ10" s="462">
        <v>0.4</v>
      </c>
      <c r="BK10" s="462">
        <v>0.59</v>
      </c>
      <c r="BL10" s="462">
        <v>0.59</v>
      </c>
      <c r="BM10" s="462">
        <v>0.67</v>
      </c>
      <c r="BN10" s="462">
        <v>0.67</v>
      </c>
      <c r="BO10" s="462">
        <v>0.71</v>
      </c>
      <c r="BP10" s="462">
        <v>0.65</v>
      </c>
      <c r="BQ10" s="462">
        <v>1</v>
      </c>
      <c r="BR10" s="462">
        <v>0.95</v>
      </c>
      <c r="BS10" s="462">
        <v>1.39</v>
      </c>
      <c r="BT10" s="462">
        <v>1.28</v>
      </c>
      <c r="BU10" s="462">
        <v>1.51</v>
      </c>
      <c r="BV10" s="462">
        <v>1.1200000000000001</v>
      </c>
      <c r="BW10" s="462">
        <v>1.65</v>
      </c>
      <c r="BX10" s="462">
        <v>1.21</v>
      </c>
      <c r="BY10" s="462">
        <v>1.65</v>
      </c>
      <c r="BZ10" s="462">
        <v>1.18</v>
      </c>
      <c r="CA10" s="462">
        <v>1.57</v>
      </c>
      <c r="CB10" s="462">
        <v>1.0900000000000001</v>
      </c>
      <c r="CC10" s="462">
        <v>0.67</v>
      </c>
      <c r="CD10" s="462">
        <v>1.28</v>
      </c>
      <c r="CE10" s="462">
        <f t="shared" ref="CE10:CE12" si="2">CC10+CA10+BY10+BW10+BS10+BQ10+BO10+BM10+BK10+BI10+BG10+BU10</f>
        <v>11.81</v>
      </c>
      <c r="CF10" s="462">
        <f t="shared" ref="CF10:CG10" si="3">BG10+BI10+BK10+BM10+BO10+BQ10+BS10+BU10+BW10+BY10+CA10+CC10</f>
        <v>11.81</v>
      </c>
      <c r="CG10" s="462">
        <f t="shared" si="3"/>
        <v>10.42</v>
      </c>
      <c r="CH10" s="462">
        <f>BE10+CE10</f>
        <v>64</v>
      </c>
      <c r="CI10" s="462">
        <f>CG10+BE10</f>
        <v>62.610000000000007</v>
      </c>
      <c r="CJ10" s="462">
        <v>74</v>
      </c>
      <c r="CK10" s="461">
        <v>0</v>
      </c>
      <c r="CL10" s="461">
        <v>0</v>
      </c>
      <c r="CM10" s="461">
        <v>0.2</v>
      </c>
      <c r="CN10" s="461">
        <v>0.2</v>
      </c>
      <c r="CO10" s="461">
        <v>0.4</v>
      </c>
      <c r="CP10" s="461">
        <v>0.4</v>
      </c>
      <c r="CQ10" s="461">
        <v>0.6</v>
      </c>
      <c r="CR10" s="461">
        <v>0</v>
      </c>
      <c r="CS10" s="461">
        <v>1</v>
      </c>
      <c r="CT10" s="461">
        <v>0</v>
      </c>
      <c r="CU10" s="461">
        <v>1</v>
      </c>
      <c r="CV10" s="461">
        <v>0</v>
      </c>
      <c r="CW10" s="461">
        <v>1</v>
      </c>
      <c r="CX10" s="461">
        <v>0</v>
      </c>
      <c r="CY10" s="461">
        <v>1.39</v>
      </c>
      <c r="CZ10" s="461">
        <v>0</v>
      </c>
      <c r="DA10" s="461">
        <v>1.5</v>
      </c>
      <c r="DB10" s="461">
        <v>0</v>
      </c>
      <c r="DC10" s="461">
        <v>1.5</v>
      </c>
      <c r="DD10" s="461">
        <v>0</v>
      </c>
      <c r="DE10" s="461">
        <v>1.5</v>
      </c>
      <c r="DF10" s="461">
        <v>0</v>
      </c>
      <c r="DG10" s="461">
        <v>1.3</v>
      </c>
      <c r="DH10" s="461">
        <v>0</v>
      </c>
      <c r="DI10" s="462">
        <f>DG10+DE10+DC10+DA10+CW10+CU10+CS10+CQ10+CO10+CM10+CK10+CY10</f>
        <v>11.39</v>
      </c>
      <c r="DJ10" s="462">
        <f>CK10+CM10+CO10</f>
        <v>0.60000000000000009</v>
      </c>
      <c r="DK10" s="461">
        <f>CL10+CN10+CP10+CR10+CT10+CV10+CX10+CZ10+DB10+DD10+DF10</f>
        <v>0.60000000000000009</v>
      </c>
      <c r="DL10" s="461">
        <f>CI10+DI10</f>
        <v>74</v>
      </c>
      <c r="DM10" s="461">
        <f>DK10+CI10</f>
        <v>63.210000000000008</v>
      </c>
      <c r="DN10" s="462">
        <v>75</v>
      </c>
      <c r="DO10" s="464"/>
      <c r="DP10" s="464"/>
      <c r="DQ10" s="464"/>
      <c r="DR10" s="464"/>
      <c r="DS10" s="464"/>
      <c r="DT10" s="464"/>
      <c r="DU10" s="464"/>
      <c r="DV10" s="464"/>
      <c r="DW10" s="464"/>
      <c r="DX10" s="464"/>
      <c r="DY10" s="464"/>
      <c r="DZ10" s="464"/>
      <c r="EA10" s="464"/>
      <c r="EB10" s="464"/>
      <c r="EC10" s="464"/>
      <c r="ED10" s="464"/>
      <c r="EE10" s="464"/>
      <c r="EF10" s="464"/>
      <c r="EG10" s="464"/>
      <c r="EH10" s="464"/>
      <c r="EI10" s="464"/>
      <c r="EJ10" s="464"/>
      <c r="EK10" s="464"/>
      <c r="EL10" s="464"/>
      <c r="EM10" s="464"/>
      <c r="EN10" s="464"/>
      <c r="EO10" s="464"/>
      <c r="EP10" s="464"/>
      <c r="EQ10" s="464"/>
      <c r="ER10" s="465">
        <f>CP10/CO10</f>
        <v>1</v>
      </c>
      <c r="ES10" s="466">
        <f>DK10/DJ10</f>
        <v>1</v>
      </c>
      <c r="ET10" s="465">
        <f>DM10/DL10</f>
        <v>0.85418918918918929</v>
      </c>
      <c r="EU10" s="465">
        <f>(DK10+CI10)/(CH10+DJ10)</f>
        <v>0.97848297213622315</v>
      </c>
      <c r="EV10" s="465">
        <f>DM10/G10</f>
        <v>0.8428000000000001</v>
      </c>
      <c r="EW10" s="822" t="s">
        <v>629</v>
      </c>
      <c r="EX10" s="806" t="s">
        <v>63</v>
      </c>
      <c r="EY10" s="806" t="s">
        <v>63</v>
      </c>
      <c r="EZ10" s="805" t="s">
        <v>101</v>
      </c>
      <c r="FA10" s="806" t="s">
        <v>65</v>
      </c>
    </row>
    <row r="11" spans="1:157" ht="29.25" customHeight="1" x14ac:dyDescent="0.25">
      <c r="A11" s="827"/>
      <c r="B11" s="836"/>
      <c r="C11" s="833"/>
      <c r="D11" s="833"/>
      <c r="E11" s="827"/>
      <c r="F11" s="457" t="s">
        <v>102</v>
      </c>
      <c r="G11" s="612">
        <f>AA11+BE11+CI11+DL11+DN11</f>
        <v>22328131048</v>
      </c>
      <c r="H11" s="467">
        <v>2239274028</v>
      </c>
      <c r="I11" s="467">
        <v>2239274028</v>
      </c>
      <c r="J11" s="467">
        <v>15250000</v>
      </c>
      <c r="K11" s="467">
        <v>2239274028</v>
      </c>
      <c r="L11" s="467">
        <v>15250000</v>
      </c>
      <c r="M11" s="467">
        <v>2239274028</v>
      </c>
      <c r="N11" s="467">
        <f>171484000+15250000</f>
        <v>186734000</v>
      </c>
      <c r="O11" s="467">
        <v>2239274028</v>
      </c>
      <c r="P11" s="467">
        <f>N11+21801000</f>
        <v>208535000</v>
      </c>
      <c r="Q11" s="467">
        <v>2239274028</v>
      </c>
      <c r="R11" s="467">
        <f>+P11</f>
        <v>208535000</v>
      </c>
      <c r="S11" s="467">
        <v>2239274028</v>
      </c>
      <c r="T11" s="467">
        <f>53437893+R11</f>
        <v>261972893</v>
      </c>
      <c r="U11" s="467">
        <v>1985716202</v>
      </c>
      <c r="V11" s="467">
        <v>835562923</v>
      </c>
      <c r="W11" s="467"/>
      <c r="X11" s="467"/>
      <c r="Y11" s="467"/>
      <c r="Z11" s="467">
        <v>1985716202</v>
      </c>
      <c r="AA11" s="468">
        <v>835562923</v>
      </c>
      <c r="AB11" s="467">
        <v>11297816000</v>
      </c>
      <c r="AC11" s="467">
        <v>0</v>
      </c>
      <c r="AD11" s="467">
        <v>0</v>
      </c>
      <c r="AE11" s="467">
        <v>252325000</v>
      </c>
      <c r="AF11" s="467">
        <v>252325000</v>
      </c>
      <c r="AG11" s="467">
        <v>322128000</v>
      </c>
      <c r="AH11" s="467">
        <v>322128000</v>
      </c>
      <c r="AI11" s="467">
        <v>0</v>
      </c>
      <c r="AJ11" s="467">
        <v>0</v>
      </c>
      <c r="AK11" s="467">
        <v>0</v>
      </c>
      <c r="AL11" s="467">
        <v>0</v>
      </c>
      <c r="AM11" s="467">
        <v>0</v>
      </c>
      <c r="AN11" s="467">
        <v>177646000</v>
      </c>
      <c r="AO11" s="467">
        <v>467000000</v>
      </c>
      <c r="AP11" s="467">
        <v>0</v>
      </c>
      <c r="AQ11" s="467">
        <f>5778976000-55036000-5500000000</f>
        <v>223940000</v>
      </c>
      <c r="AR11" s="467">
        <v>0</v>
      </c>
      <c r="AS11" s="467">
        <f>1854902643-1333411357</f>
        <v>521491286</v>
      </c>
      <c r="AT11" s="467">
        <v>18089500</v>
      </c>
      <c r="AU11" s="467">
        <f>602882000+5500000000</f>
        <v>6102882000</v>
      </c>
      <c r="AV11" s="467">
        <v>250254791</v>
      </c>
      <c r="AW11" s="467">
        <v>502548000</v>
      </c>
      <c r="AX11" s="467">
        <v>278976000</v>
      </c>
      <c r="AY11" s="467">
        <v>1453262744</v>
      </c>
      <c r="AZ11" s="467">
        <v>2683988234</v>
      </c>
      <c r="BA11" s="468">
        <f t="shared" si="0"/>
        <v>9845577030</v>
      </c>
      <c r="BB11" s="468">
        <f t="shared" ref="BB11:BC11" si="4">AC11+AE11+AG11+AI11+AK11+AM11+AO11+AQ11+AS11+AU11+AW11+AY11</f>
        <v>9845577030</v>
      </c>
      <c r="BC11" s="468">
        <f t="shared" si="4"/>
        <v>3983407525</v>
      </c>
      <c r="BD11" s="468">
        <f t="shared" ref="BD11:BE11" si="5">AC11+AE11+AG11+AI11+AK11+AM11+AO11+AQ11+AS11+AU11+AW11+AY11</f>
        <v>9845577030</v>
      </c>
      <c r="BE11" s="468">
        <f t="shared" si="5"/>
        <v>3983407525</v>
      </c>
      <c r="BF11" s="467">
        <v>8723281000</v>
      </c>
      <c r="BG11" s="467">
        <v>1023165000</v>
      </c>
      <c r="BH11" s="467">
        <v>1023165000</v>
      </c>
      <c r="BI11" s="467">
        <v>0</v>
      </c>
      <c r="BJ11" s="467">
        <v>0</v>
      </c>
      <c r="BK11" s="467">
        <v>0</v>
      </c>
      <c r="BL11" s="467">
        <v>0</v>
      </c>
      <c r="BM11" s="467">
        <v>0</v>
      </c>
      <c r="BN11" s="467">
        <v>0</v>
      </c>
      <c r="BO11" s="467">
        <v>0</v>
      </c>
      <c r="BP11" s="467">
        <v>0</v>
      </c>
      <c r="BQ11" s="467">
        <v>0</v>
      </c>
      <c r="BR11" s="467">
        <v>30000000</v>
      </c>
      <c r="BS11" s="467">
        <f>275000000+4924000-9000000-12630000</f>
        <v>258294000</v>
      </c>
      <c r="BT11" s="467">
        <v>5086900</v>
      </c>
      <c r="BU11" s="467">
        <v>0</v>
      </c>
      <c r="BV11" s="467">
        <v>0</v>
      </c>
      <c r="BW11" s="467">
        <v>0</v>
      </c>
      <c r="BX11" s="467">
        <v>0</v>
      </c>
      <c r="BY11" s="467">
        <f>7310379000-16030000</f>
        <v>7294349000</v>
      </c>
      <c r="BZ11" s="467">
        <v>0</v>
      </c>
      <c r="CA11" s="467">
        <f>84737000+4806000</f>
        <v>89543000</v>
      </c>
      <c r="CB11" s="467">
        <v>5834986133</v>
      </c>
      <c r="CC11" s="467">
        <f>271887887+45608400</f>
        <v>317496287</v>
      </c>
      <c r="CD11" s="467">
        <v>1561906567</v>
      </c>
      <c r="CE11" s="467">
        <f t="shared" si="2"/>
        <v>8982847287</v>
      </c>
      <c r="CF11" s="467">
        <f t="shared" ref="CF11:CG11" si="6">BG11+BI11+BK11+BM11+BO11+BQ11+BS11+BU11+BW11+BY11+CA11+CC11</f>
        <v>8982847287</v>
      </c>
      <c r="CG11" s="467">
        <f t="shared" si="6"/>
        <v>8455144600</v>
      </c>
      <c r="CH11" s="467">
        <f t="shared" ref="CH11:CH14" si="7">CE11</f>
        <v>8982847287</v>
      </c>
      <c r="CI11" s="467">
        <f t="shared" ref="CI11:CI12" si="8">CG11</f>
        <v>8455144600</v>
      </c>
      <c r="CJ11" s="468">
        <v>7311395000</v>
      </c>
      <c r="CK11" s="469">
        <v>6599815016</v>
      </c>
      <c r="CL11" s="467">
        <v>6599815016</v>
      </c>
      <c r="CM11" s="469">
        <v>399115000</v>
      </c>
      <c r="CN11" s="469">
        <v>399115000</v>
      </c>
      <c r="CO11" s="469">
        <v>109040000</v>
      </c>
      <c r="CP11" s="469">
        <v>109040000</v>
      </c>
      <c r="CQ11" s="467">
        <v>106885000</v>
      </c>
      <c r="CR11" s="467">
        <v>0</v>
      </c>
      <c r="CS11" s="467">
        <v>108160984</v>
      </c>
      <c r="CT11" s="467">
        <v>0</v>
      </c>
      <c r="CU11" s="467">
        <v>0</v>
      </c>
      <c r="CV11" s="467">
        <v>0</v>
      </c>
      <c r="CW11" s="467">
        <v>0</v>
      </c>
      <c r="CX11" s="467">
        <v>0</v>
      </c>
      <c r="CY11" s="467">
        <v>0</v>
      </c>
      <c r="CZ11" s="467">
        <v>0</v>
      </c>
      <c r="DA11" s="467">
        <v>0</v>
      </c>
      <c r="DB11" s="467">
        <v>0</v>
      </c>
      <c r="DC11" s="467">
        <v>0</v>
      </c>
      <c r="DD11" s="467">
        <v>0</v>
      </c>
      <c r="DE11" s="467">
        <v>0</v>
      </c>
      <c r="DF11" s="467">
        <v>0</v>
      </c>
      <c r="DG11" s="467">
        <v>0</v>
      </c>
      <c r="DH11" s="467">
        <v>0</v>
      </c>
      <c r="DI11" s="468">
        <f>DG11+DE11+DC11+DA11+CW11+CU11+CS11+CQ11+CO11+CM11+CK11+CY11</f>
        <v>7323016000</v>
      </c>
      <c r="DJ11" s="468">
        <f>CK11+CM11+CO11</f>
        <v>7107970016</v>
      </c>
      <c r="DK11" s="468">
        <f>CL11+CN11+CP11</f>
        <v>7107970016</v>
      </c>
      <c r="DL11" s="467">
        <f>DI11</f>
        <v>7323016000</v>
      </c>
      <c r="DM11" s="467">
        <f>DK11</f>
        <v>7107970016</v>
      </c>
      <c r="DN11" s="467">
        <v>1731000000</v>
      </c>
      <c r="DO11" s="467"/>
      <c r="DP11" s="467"/>
      <c r="DQ11" s="467"/>
      <c r="DR11" s="467"/>
      <c r="DS11" s="467"/>
      <c r="DT11" s="467"/>
      <c r="DU11" s="467"/>
      <c r="DV11" s="467"/>
      <c r="DW11" s="467"/>
      <c r="DX11" s="467"/>
      <c r="DY11" s="467"/>
      <c r="DZ11" s="467"/>
      <c r="EA11" s="467"/>
      <c r="EB11" s="467"/>
      <c r="EC11" s="467"/>
      <c r="ED11" s="467"/>
      <c r="EE11" s="467"/>
      <c r="EF11" s="467"/>
      <c r="EG11" s="467"/>
      <c r="EH11" s="467"/>
      <c r="EI11" s="467"/>
      <c r="EJ11" s="467"/>
      <c r="EK11" s="467"/>
      <c r="EL11" s="467"/>
      <c r="EM11" s="467"/>
      <c r="EN11" s="467"/>
      <c r="EO11" s="467"/>
      <c r="EP11" s="467"/>
      <c r="EQ11" s="467"/>
      <c r="ER11" s="465">
        <f>CP11/CO11</f>
        <v>1</v>
      </c>
      <c r="ES11" s="466">
        <f t="shared" ref="ES11" si="9">DK11/DJ11</f>
        <v>1</v>
      </c>
      <c r="ET11" s="465">
        <f>DM11/DL11</f>
        <v>0.97063423267134741</v>
      </c>
      <c r="EU11" s="465">
        <f>(AA11+BE11+CI11+DK11)/(Z11+BD11+CH11+DJ11)</f>
        <v>0.72996219388399464</v>
      </c>
      <c r="EV11" s="465">
        <f>(AA11+BE11+CI11+DM11)/G11</f>
        <v>0.91284331053877821</v>
      </c>
      <c r="EW11" s="823"/>
      <c r="EX11" s="758"/>
      <c r="EY11" s="758"/>
      <c r="EZ11" s="758"/>
      <c r="FA11" s="758"/>
    </row>
    <row r="12" spans="1:157" ht="29.25" customHeight="1" x14ac:dyDescent="0.25">
      <c r="A12" s="827"/>
      <c r="B12" s="836"/>
      <c r="C12" s="833"/>
      <c r="D12" s="833"/>
      <c r="E12" s="827"/>
      <c r="F12" s="458" t="s">
        <v>103</v>
      </c>
      <c r="G12" s="612"/>
      <c r="H12" s="467"/>
      <c r="I12" s="467"/>
      <c r="J12" s="467"/>
      <c r="K12" s="467"/>
      <c r="L12" s="467"/>
      <c r="M12" s="467"/>
      <c r="N12" s="467"/>
      <c r="O12" s="467"/>
      <c r="P12" s="467"/>
      <c r="Q12" s="467"/>
      <c r="R12" s="467"/>
      <c r="S12" s="467"/>
      <c r="T12" s="467"/>
      <c r="U12" s="467"/>
      <c r="V12" s="467"/>
      <c r="W12" s="467"/>
      <c r="X12" s="467"/>
      <c r="Y12" s="467"/>
      <c r="Z12" s="467"/>
      <c r="AA12" s="468"/>
      <c r="AB12" s="467"/>
      <c r="AC12" s="467">
        <v>0</v>
      </c>
      <c r="AD12" s="467">
        <v>0</v>
      </c>
      <c r="AE12" s="467">
        <v>0</v>
      </c>
      <c r="AF12" s="467">
        <v>0</v>
      </c>
      <c r="AG12" s="467">
        <v>6924333</v>
      </c>
      <c r="AH12" s="467">
        <v>6924333</v>
      </c>
      <c r="AI12" s="467">
        <v>27084233</v>
      </c>
      <c r="AJ12" s="467">
        <v>27084233</v>
      </c>
      <c r="AK12" s="467">
        <v>58379067</v>
      </c>
      <c r="AL12" s="467">
        <v>58379067</v>
      </c>
      <c r="AM12" s="467">
        <v>58131000</v>
      </c>
      <c r="AN12" s="467">
        <v>73779000</v>
      </c>
      <c r="AO12" s="467">
        <v>58131000</v>
      </c>
      <c r="AP12" s="467">
        <v>59955000</v>
      </c>
      <c r="AQ12" s="467">
        <v>467000000</v>
      </c>
      <c r="AR12" s="467">
        <v>214803331</v>
      </c>
      <c r="AS12" s="467">
        <f>3854902643-55036000-1333411357</f>
        <v>2466455286</v>
      </c>
      <c r="AT12" s="467">
        <v>82752669</v>
      </c>
      <c r="AU12" s="467">
        <f>1602882000</f>
        <v>1602882000</v>
      </c>
      <c r="AV12" s="467">
        <v>310209791</v>
      </c>
      <c r="AW12" s="467">
        <v>1502548000</v>
      </c>
      <c r="AX12" s="467">
        <v>53342000</v>
      </c>
      <c r="AY12" s="467">
        <f>3728446224-30404113</f>
        <v>3698042111</v>
      </c>
      <c r="AZ12" s="467">
        <v>2111534115</v>
      </c>
      <c r="BA12" s="468">
        <f t="shared" si="0"/>
        <v>9945577030</v>
      </c>
      <c r="BB12" s="468">
        <f t="shared" ref="BB12:BC12" si="10">AC12+AE12+AG12+AI12+AK12+AM12+AO12+AQ12+AS12+AU12+AW12+AY12</f>
        <v>9945577030</v>
      </c>
      <c r="BC12" s="468">
        <f t="shared" si="10"/>
        <v>2998763539</v>
      </c>
      <c r="BD12" s="468">
        <f>AC12+AE12+AG12+AI12+AK12+AM12+AO12+AQ12+AS12+AU12+AW12+AY12</f>
        <v>9945577030</v>
      </c>
      <c r="BE12" s="468">
        <f>BC12</f>
        <v>2998763539</v>
      </c>
      <c r="BF12" s="467">
        <v>8723281000</v>
      </c>
      <c r="BG12" s="467">
        <v>0</v>
      </c>
      <c r="BH12" s="467">
        <v>0</v>
      </c>
      <c r="BI12" s="467">
        <v>22883636</v>
      </c>
      <c r="BJ12" s="467">
        <v>759000</v>
      </c>
      <c r="BK12" s="467">
        <v>97420636</v>
      </c>
      <c r="BL12" s="467">
        <v>100548765</v>
      </c>
      <c r="BM12" s="467">
        <v>97420636</v>
      </c>
      <c r="BN12" s="467">
        <v>109354362</v>
      </c>
      <c r="BO12" s="467">
        <f>97420636-25076000</f>
        <v>72344636</v>
      </c>
      <c r="BP12" s="467">
        <v>82839600</v>
      </c>
      <c r="BQ12" s="467">
        <f>112420636</f>
        <v>112420636</v>
      </c>
      <c r="BR12" s="467">
        <v>56990000</v>
      </c>
      <c r="BS12" s="467">
        <v>249920636</v>
      </c>
      <c r="BT12" s="467">
        <v>96082240</v>
      </c>
      <c r="BU12" s="467">
        <v>99920636</v>
      </c>
      <c r="BV12" s="467">
        <v>73134305</v>
      </c>
      <c r="BW12" s="467">
        <v>97420636</v>
      </c>
      <c r="BX12" s="467">
        <v>87737882</v>
      </c>
      <c r="BY12" s="467">
        <f>2534213636-16030000</f>
        <v>2518183636</v>
      </c>
      <c r="BZ12" s="467">
        <v>88575486</v>
      </c>
      <c r="CA12" s="467">
        <f>2618950636+4806000</f>
        <v>2623756636</v>
      </c>
      <c r="CB12" s="467">
        <v>132613827</v>
      </c>
      <c r="CC12" s="467">
        <f>2695288640+250257887+45608400</f>
        <v>2991154927</v>
      </c>
      <c r="CD12" s="467">
        <v>4486985105</v>
      </c>
      <c r="CE12" s="467">
        <f t="shared" si="2"/>
        <v>8982847287</v>
      </c>
      <c r="CF12" s="467">
        <f t="shared" ref="CF12:CG12" si="11">BG12+BI12+BK12+BM12+BO12+BQ12+BS12+BU12+BW12+BY12+CA12+CC12</f>
        <v>8982847287</v>
      </c>
      <c r="CG12" s="467">
        <f t="shared" si="11"/>
        <v>5315620572</v>
      </c>
      <c r="CH12" s="467">
        <f t="shared" si="7"/>
        <v>8982847287</v>
      </c>
      <c r="CI12" s="467">
        <f t="shared" si="8"/>
        <v>5315620572</v>
      </c>
      <c r="CJ12" s="468">
        <v>7311395000</v>
      </c>
      <c r="CK12" s="467">
        <v>0</v>
      </c>
      <c r="CL12" s="467">
        <v>0</v>
      </c>
      <c r="CM12" s="469">
        <v>0</v>
      </c>
      <c r="CN12" s="467">
        <v>0</v>
      </c>
      <c r="CO12" s="469">
        <v>36360200</v>
      </c>
      <c r="CP12" s="469">
        <v>36360200</v>
      </c>
      <c r="CQ12" s="469">
        <v>70433566</v>
      </c>
      <c r="CR12" s="467">
        <v>0</v>
      </c>
      <c r="CS12" s="469">
        <v>540375001</v>
      </c>
      <c r="CT12" s="467">
        <v>0</v>
      </c>
      <c r="CU12" s="469">
        <v>396738628</v>
      </c>
      <c r="CV12" s="467">
        <v>0</v>
      </c>
      <c r="CW12" s="469">
        <v>309354090</v>
      </c>
      <c r="CX12" s="467">
        <v>0</v>
      </c>
      <c r="CY12" s="469">
        <v>309354090</v>
      </c>
      <c r="CZ12" s="467">
        <v>0</v>
      </c>
      <c r="DA12" s="469">
        <v>3305354090</v>
      </c>
      <c r="DB12" s="467">
        <v>0</v>
      </c>
      <c r="DC12" s="469">
        <v>609354090</v>
      </c>
      <c r="DD12" s="467">
        <v>0</v>
      </c>
      <c r="DE12" s="469">
        <v>609354090</v>
      </c>
      <c r="DF12" s="467">
        <v>0</v>
      </c>
      <c r="DG12" s="469">
        <v>1136338155</v>
      </c>
      <c r="DH12" s="467">
        <v>0</v>
      </c>
      <c r="DI12" s="468">
        <f>DG12+DE12+DC12+DA12+CW12+CU12+CS12+CQ12+CO12+CM12+CK12+CY12</f>
        <v>7323016000</v>
      </c>
      <c r="DJ12" s="468">
        <f t="shared" ref="DJ12:DJ14" si="12">CK12+CM12+CO12</f>
        <v>36360200</v>
      </c>
      <c r="DK12" s="468">
        <f t="shared" ref="DK12:DK14" si="13">CL12+CN12+CP12</f>
        <v>36360200</v>
      </c>
      <c r="DL12" s="467">
        <f t="shared" ref="DL12" si="14">DI12</f>
        <v>7323016000</v>
      </c>
      <c r="DM12" s="467">
        <f t="shared" ref="DM12:DM14" si="15">DK12</f>
        <v>36360200</v>
      </c>
      <c r="DN12" s="467">
        <v>0</v>
      </c>
      <c r="DO12" s="467"/>
      <c r="DP12" s="467"/>
      <c r="DQ12" s="467"/>
      <c r="DR12" s="467"/>
      <c r="DS12" s="467"/>
      <c r="DT12" s="467"/>
      <c r="DU12" s="467"/>
      <c r="DV12" s="467"/>
      <c r="DW12" s="467"/>
      <c r="DX12" s="467"/>
      <c r="DY12" s="467"/>
      <c r="DZ12" s="467"/>
      <c r="EA12" s="467"/>
      <c r="EB12" s="467"/>
      <c r="EC12" s="467"/>
      <c r="ED12" s="467"/>
      <c r="EE12" s="467"/>
      <c r="EF12" s="467"/>
      <c r="EG12" s="467"/>
      <c r="EH12" s="467"/>
      <c r="EI12" s="467"/>
      <c r="EJ12" s="467"/>
      <c r="EK12" s="467"/>
      <c r="EL12" s="467"/>
      <c r="EM12" s="467"/>
      <c r="EN12" s="467"/>
      <c r="EO12" s="467"/>
      <c r="EP12" s="467"/>
      <c r="EQ12" s="467"/>
      <c r="ER12" s="465">
        <f t="shared" ref="ER12:ER14" si="16">CP12/CO12</f>
        <v>1</v>
      </c>
      <c r="ES12" s="466">
        <f t="shared" ref="ES12:ES14" si="17">DK12/DJ12</f>
        <v>1</v>
      </c>
      <c r="ET12" s="465">
        <f t="shared" ref="ET12:ET14" si="18">DM12/DL12</f>
        <v>4.9651946684262328E-3</v>
      </c>
      <c r="EU12" s="465">
        <f t="shared" ref="EU12:EU14" si="19">(AA12+BE12+CI12+DK12)/(Z12+BD12+CH12+DJ12)</f>
        <v>0.44032898467759585</v>
      </c>
      <c r="EV12" s="465">
        <f>IFERROR((AA12+BE12+CI12+DM12)/G12,0)</f>
        <v>0</v>
      </c>
      <c r="EW12" s="823"/>
      <c r="EX12" s="758"/>
      <c r="EY12" s="758"/>
      <c r="EZ12" s="758"/>
      <c r="FA12" s="758"/>
    </row>
    <row r="13" spans="1:157" ht="29.25" customHeight="1" x14ac:dyDescent="0.25">
      <c r="A13" s="827"/>
      <c r="B13" s="836"/>
      <c r="C13" s="833"/>
      <c r="D13" s="833"/>
      <c r="E13" s="827"/>
      <c r="F13" s="41" t="s">
        <v>104</v>
      </c>
      <c r="G13" s="612"/>
      <c r="H13" s="470">
        <v>0</v>
      </c>
      <c r="I13" s="470">
        <v>0</v>
      </c>
      <c r="J13" s="470">
        <v>0</v>
      </c>
      <c r="K13" s="470">
        <v>0</v>
      </c>
      <c r="L13" s="470">
        <v>0</v>
      </c>
      <c r="M13" s="470">
        <v>0</v>
      </c>
      <c r="N13" s="470">
        <v>0</v>
      </c>
      <c r="O13" s="470">
        <v>0</v>
      </c>
      <c r="P13" s="470">
        <v>0</v>
      </c>
      <c r="Q13" s="470">
        <v>0</v>
      </c>
      <c r="R13" s="470">
        <v>0</v>
      </c>
      <c r="S13" s="470">
        <v>0</v>
      </c>
      <c r="T13" s="464">
        <f t="shared" ref="T13:T14" si="20">+R13</f>
        <v>0</v>
      </c>
      <c r="U13" s="470">
        <v>0</v>
      </c>
      <c r="V13" s="470">
        <v>0</v>
      </c>
      <c r="W13" s="470"/>
      <c r="X13" s="470"/>
      <c r="Y13" s="470"/>
      <c r="Z13" s="461">
        <v>0</v>
      </c>
      <c r="AA13" s="461">
        <v>0</v>
      </c>
      <c r="AB13" s="470">
        <v>0</v>
      </c>
      <c r="AC13" s="461">
        <v>0</v>
      </c>
      <c r="AD13" s="470">
        <v>0</v>
      </c>
      <c r="AE13" s="471">
        <v>0</v>
      </c>
      <c r="AF13" s="470">
        <v>0</v>
      </c>
      <c r="AG13" s="471">
        <v>0</v>
      </c>
      <c r="AH13" s="470">
        <v>0</v>
      </c>
      <c r="AI13" s="471">
        <v>0</v>
      </c>
      <c r="AJ13" s="470">
        <v>0</v>
      </c>
      <c r="AK13" s="470">
        <v>0</v>
      </c>
      <c r="AL13" s="470">
        <v>0</v>
      </c>
      <c r="AM13" s="470">
        <v>0</v>
      </c>
      <c r="AN13" s="470">
        <v>0</v>
      </c>
      <c r="AO13" s="470">
        <v>0</v>
      </c>
      <c r="AP13" s="470">
        <v>0</v>
      </c>
      <c r="AQ13" s="470">
        <v>0</v>
      </c>
      <c r="AR13" s="470">
        <v>0</v>
      </c>
      <c r="AS13" s="467">
        <v>0</v>
      </c>
      <c r="AT13" s="470">
        <v>0</v>
      </c>
      <c r="AU13" s="470">
        <v>0</v>
      </c>
      <c r="AV13" s="470">
        <v>0</v>
      </c>
      <c r="AW13" s="470">
        <v>0</v>
      </c>
      <c r="AX13" s="470">
        <v>0</v>
      </c>
      <c r="AY13" s="470">
        <v>0</v>
      </c>
      <c r="AZ13" s="470">
        <v>0</v>
      </c>
      <c r="BA13" s="472">
        <f t="shared" si="0"/>
        <v>0</v>
      </c>
      <c r="BB13" s="472">
        <f>AC13+AE13+AG13+AI13+AK13</f>
        <v>0</v>
      </c>
      <c r="BC13" s="468">
        <f>AD13+AF13+AH13+AJ13+AL13+AN13+AP13+AR13</f>
        <v>0</v>
      </c>
      <c r="BD13" s="462">
        <f t="shared" ref="BD13:BD14" si="21">BA13+AA13</f>
        <v>0</v>
      </c>
      <c r="BE13" s="462">
        <f t="shared" ref="BE13:BE14" si="22">BC13+AA13</f>
        <v>0</v>
      </c>
      <c r="BF13" s="461">
        <v>0</v>
      </c>
      <c r="BG13" s="461">
        <v>0</v>
      </c>
      <c r="BH13" s="461">
        <v>0</v>
      </c>
      <c r="BI13" s="461">
        <v>0</v>
      </c>
      <c r="BJ13" s="461">
        <v>0</v>
      </c>
      <c r="BK13" s="461">
        <v>0</v>
      </c>
      <c r="BL13" s="461">
        <v>0</v>
      </c>
      <c r="BM13" s="461">
        <v>0</v>
      </c>
      <c r="BN13" s="461">
        <v>0</v>
      </c>
      <c r="BO13" s="461">
        <v>0</v>
      </c>
      <c r="BP13" s="461">
        <v>0</v>
      </c>
      <c r="BQ13" s="461">
        <v>0</v>
      </c>
      <c r="BR13" s="461">
        <v>0</v>
      </c>
      <c r="BS13" s="461">
        <v>0</v>
      </c>
      <c r="BT13" s="461">
        <v>0</v>
      </c>
      <c r="BU13" s="461">
        <v>0</v>
      </c>
      <c r="BV13" s="461">
        <v>0</v>
      </c>
      <c r="BW13" s="461">
        <v>0</v>
      </c>
      <c r="BX13" s="461">
        <v>0</v>
      </c>
      <c r="BY13" s="461">
        <v>0</v>
      </c>
      <c r="BZ13" s="461">
        <v>0</v>
      </c>
      <c r="CA13" s="461">
        <v>0</v>
      </c>
      <c r="CB13" s="461">
        <v>0</v>
      </c>
      <c r="CC13" s="461">
        <v>0</v>
      </c>
      <c r="CD13" s="461">
        <v>0</v>
      </c>
      <c r="CE13" s="461">
        <v>0</v>
      </c>
      <c r="CF13" s="461">
        <f>BG13</f>
        <v>0</v>
      </c>
      <c r="CG13" s="461">
        <f t="shared" ref="CG13:CG14" si="23">BH13+BJ13+BL13+BN13+BP13+BR13+BT13+BV13+BX13+BZ13+CB13+CD13</f>
        <v>0</v>
      </c>
      <c r="CH13" s="461">
        <f t="shared" si="7"/>
        <v>0</v>
      </c>
      <c r="CI13" s="461">
        <v>0</v>
      </c>
      <c r="CJ13" s="461">
        <v>0</v>
      </c>
      <c r="CK13" s="461">
        <v>0</v>
      </c>
      <c r="CL13" s="461">
        <v>0</v>
      </c>
      <c r="CM13" s="461">
        <v>0</v>
      </c>
      <c r="CN13" s="461">
        <v>0</v>
      </c>
      <c r="CO13" s="473">
        <v>0</v>
      </c>
      <c r="CP13" s="473">
        <v>0</v>
      </c>
      <c r="CQ13" s="461">
        <v>0</v>
      </c>
      <c r="CR13" s="461">
        <v>0</v>
      </c>
      <c r="CS13" s="461">
        <v>0</v>
      </c>
      <c r="CT13" s="461">
        <v>0</v>
      </c>
      <c r="CU13" s="461">
        <v>0</v>
      </c>
      <c r="CV13" s="461">
        <v>0</v>
      </c>
      <c r="CW13" s="461">
        <v>0</v>
      </c>
      <c r="CX13" s="461">
        <v>0</v>
      </c>
      <c r="CY13" s="461">
        <v>0</v>
      </c>
      <c r="CZ13" s="461">
        <v>0</v>
      </c>
      <c r="DA13" s="461">
        <v>0</v>
      </c>
      <c r="DB13" s="461">
        <v>0</v>
      </c>
      <c r="DC13" s="461">
        <v>0</v>
      </c>
      <c r="DD13" s="461">
        <v>0</v>
      </c>
      <c r="DE13" s="461">
        <v>0</v>
      </c>
      <c r="DF13" s="461">
        <v>0</v>
      </c>
      <c r="DG13" s="461">
        <v>0</v>
      </c>
      <c r="DH13" s="461">
        <v>0</v>
      </c>
      <c r="DI13" s="462">
        <f t="shared" ref="DI13:DI15" si="24">DG13+DE13+DC13+DA13+CW13+CU13+CS13+CQ13+CO13+CM13+CK13+CY13</f>
        <v>0</v>
      </c>
      <c r="DJ13" s="468">
        <f t="shared" si="12"/>
        <v>0</v>
      </c>
      <c r="DK13" s="468">
        <f t="shared" si="13"/>
        <v>0</v>
      </c>
      <c r="DL13" s="461">
        <f>CI13+DI13</f>
        <v>0</v>
      </c>
      <c r="DM13" s="461">
        <f t="shared" si="15"/>
        <v>0</v>
      </c>
      <c r="DN13" s="461">
        <v>0</v>
      </c>
      <c r="DO13" s="470">
        <v>0</v>
      </c>
      <c r="DP13" s="471">
        <v>0</v>
      </c>
      <c r="DQ13" s="470">
        <v>0</v>
      </c>
      <c r="DR13" s="471">
        <v>0</v>
      </c>
      <c r="DS13" s="470">
        <v>0</v>
      </c>
      <c r="DT13" s="471">
        <v>0</v>
      </c>
      <c r="DU13" s="470">
        <v>0</v>
      </c>
      <c r="DV13" s="471">
        <v>0</v>
      </c>
      <c r="DW13" s="470">
        <v>0</v>
      </c>
      <c r="DX13" s="471">
        <v>0</v>
      </c>
      <c r="DY13" s="470">
        <v>0</v>
      </c>
      <c r="DZ13" s="471">
        <v>0</v>
      </c>
      <c r="EA13" s="470">
        <v>0</v>
      </c>
      <c r="EB13" s="471">
        <v>0</v>
      </c>
      <c r="EC13" s="470">
        <v>0</v>
      </c>
      <c r="ED13" s="471">
        <v>0</v>
      </c>
      <c r="EE13" s="470">
        <v>0</v>
      </c>
      <c r="EF13" s="471">
        <v>0</v>
      </c>
      <c r="EG13" s="470">
        <v>0</v>
      </c>
      <c r="EH13" s="471">
        <v>0</v>
      </c>
      <c r="EI13" s="470">
        <v>0</v>
      </c>
      <c r="EJ13" s="471">
        <v>0</v>
      </c>
      <c r="EK13" s="471"/>
      <c r="EL13" s="470">
        <v>0</v>
      </c>
      <c r="EM13" s="470"/>
      <c r="EN13" s="470"/>
      <c r="EO13" s="470"/>
      <c r="EP13" s="470"/>
      <c r="EQ13" s="471">
        <v>0</v>
      </c>
      <c r="ER13" s="465">
        <f>IFERROR(CP13/CO13,0)</f>
        <v>0</v>
      </c>
      <c r="ES13" s="466">
        <f>IFERROR(DK13/DJ13,0)</f>
        <v>0</v>
      </c>
      <c r="ET13" s="465">
        <f>IFERROR(DM13/DL13,0)</f>
        <v>0</v>
      </c>
      <c r="EU13" s="465">
        <f>IFERROR((AA13+BE13+CI13+DK13)/(Z13+BD13+CH13+DJ13),0)</f>
        <v>0</v>
      </c>
      <c r="EV13" s="465">
        <f>IFERROR((AA13+BE13+CI13+DM13)/G13,0)</f>
        <v>0</v>
      </c>
      <c r="EW13" s="823"/>
      <c r="EX13" s="758"/>
      <c r="EY13" s="758"/>
      <c r="EZ13" s="758"/>
      <c r="FA13" s="758"/>
    </row>
    <row r="14" spans="1:157" ht="29.25" customHeight="1" x14ac:dyDescent="0.25">
      <c r="A14" s="827"/>
      <c r="B14" s="836"/>
      <c r="C14" s="833"/>
      <c r="D14" s="833"/>
      <c r="E14" s="827"/>
      <c r="F14" s="457" t="s">
        <v>105</v>
      </c>
      <c r="G14" s="612">
        <f>AA14+BE14+CI14+DL14+DN14</f>
        <v>4763217437</v>
      </c>
      <c r="H14" s="467">
        <v>0</v>
      </c>
      <c r="I14" s="467">
        <v>0</v>
      </c>
      <c r="J14" s="467">
        <v>0</v>
      </c>
      <c r="K14" s="467">
        <v>0</v>
      </c>
      <c r="L14" s="467">
        <v>0</v>
      </c>
      <c r="M14" s="467">
        <v>0</v>
      </c>
      <c r="N14" s="467">
        <v>0</v>
      </c>
      <c r="O14" s="467">
        <v>0</v>
      </c>
      <c r="P14" s="467">
        <v>0</v>
      </c>
      <c r="Q14" s="467">
        <v>0</v>
      </c>
      <c r="R14" s="467">
        <v>0</v>
      </c>
      <c r="S14" s="467">
        <v>0</v>
      </c>
      <c r="T14" s="468">
        <f t="shared" si="20"/>
        <v>0</v>
      </c>
      <c r="U14" s="467">
        <v>0</v>
      </c>
      <c r="V14" s="467">
        <v>0</v>
      </c>
      <c r="W14" s="467"/>
      <c r="X14" s="467"/>
      <c r="Y14" s="467"/>
      <c r="Z14" s="467">
        <v>0</v>
      </c>
      <c r="AA14" s="467">
        <v>0</v>
      </c>
      <c r="AB14" s="467">
        <v>644531002</v>
      </c>
      <c r="AC14" s="467">
        <v>17458000</v>
      </c>
      <c r="AD14" s="467">
        <v>17458000</v>
      </c>
      <c r="AE14" s="474">
        <v>36330787</v>
      </c>
      <c r="AF14" s="474">
        <v>36330787</v>
      </c>
      <c r="AG14" s="474">
        <v>86184069</v>
      </c>
      <c r="AH14" s="474">
        <v>86184069</v>
      </c>
      <c r="AI14" s="474">
        <v>435138273</v>
      </c>
      <c r="AJ14" s="474">
        <v>435138273</v>
      </c>
      <c r="AK14" s="474">
        <v>38151620</v>
      </c>
      <c r="AL14" s="474">
        <v>38151620</v>
      </c>
      <c r="AM14" s="470">
        <v>0</v>
      </c>
      <c r="AN14" s="470">
        <v>0</v>
      </c>
      <c r="AO14" s="467">
        <v>31268253</v>
      </c>
      <c r="AP14" s="467">
        <v>0</v>
      </c>
      <c r="AQ14" s="467">
        <v>0</v>
      </c>
      <c r="AR14" s="467">
        <v>26018008</v>
      </c>
      <c r="AS14" s="467">
        <v>0</v>
      </c>
      <c r="AT14" s="467">
        <v>0</v>
      </c>
      <c r="AU14" s="467">
        <v>-163345</v>
      </c>
      <c r="AV14" s="467">
        <v>0</v>
      </c>
      <c r="AW14" s="467">
        <v>0</v>
      </c>
      <c r="AX14" s="467">
        <v>0</v>
      </c>
      <c r="AY14" s="467">
        <v>0</v>
      </c>
      <c r="AZ14" s="467">
        <v>0</v>
      </c>
      <c r="BA14" s="472">
        <f t="shared" si="0"/>
        <v>644367657</v>
      </c>
      <c r="BB14" s="472">
        <f t="shared" ref="BB14:BC14" si="25">AC14+AE14+AG14+AI14+AK14+AM14+AO14+AQ14+AS14+AU14+AW14+AY14</f>
        <v>644367657</v>
      </c>
      <c r="BC14" s="472">
        <f t="shared" si="25"/>
        <v>639280757</v>
      </c>
      <c r="BD14" s="468">
        <f t="shared" si="21"/>
        <v>644367657</v>
      </c>
      <c r="BE14" s="468">
        <f t="shared" si="22"/>
        <v>639280757</v>
      </c>
      <c r="BF14" s="469">
        <v>984643986</v>
      </c>
      <c r="BG14" s="469">
        <v>312524934</v>
      </c>
      <c r="BH14" s="469">
        <v>312524934</v>
      </c>
      <c r="BI14" s="469">
        <v>22140266</v>
      </c>
      <c r="BJ14" s="467">
        <v>18438933</v>
      </c>
      <c r="BK14" s="469">
        <f>498524940+12321950-215546170-231332-1</f>
        <v>295069387</v>
      </c>
      <c r="BL14" s="467">
        <f>3489254-1</f>
        <v>3489253</v>
      </c>
      <c r="BM14" s="469">
        <f>215546170</f>
        <v>215546170</v>
      </c>
      <c r="BN14" s="467">
        <v>0</v>
      </c>
      <c r="BO14" s="469">
        <v>0</v>
      </c>
      <c r="BP14" s="467">
        <v>13760441</v>
      </c>
      <c r="BQ14" s="469">
        <v>0</v>
      </c>
      <c r="BR14" s="467">
        <v>0</v>
      </c>
      <c r="BS14" s="469">
        <f>139131895-47320176</f>
        <v>91811719</v>
      </c>
      <c r="BT14" s="469">
        <v>542396297</v>
      </c>
      <c r="BU14" s="469">
        <v>0</v>
      </c>
      <c r="BV14" s="467">
        <v>4700201</v>
      </c>
      <c r="BW14" s="469">
        <v>0</v>
      </c>
      <c r="BX14" s="467">
        <v>0</v>
      </c>
      <c r="BY14" s="469">
        <v>0</v>
      </c>
      <c r="BZ14" s="467">
        <v>0</v>
      </c>
      <c r="CA14" s="469">
        <v>0</v>
      </c>
      <c r="CB14" s="467">
        <v>0</v>
      </c>
      <c r="CC14" s="469">
        <v>47320176</v>
      </c>
      <c r="CD14" s="467">
        <v>89102593</v>
      </c>
      <c r="CE14" s="467">
        <f>CC14+CA14+BY14+BW14+BS14+BQ14+BO14+BM14+BK14+BI14+BG14+BU14</f>
        <v>984412652</v>
      </c>
      <c r="CF14" s="467">
        <f>BG14+BI14+BK14+BM14+BO14+BQ14+BS14+BU14+BW14+BY14+CA1+CA14+CC14</f>
        <v>984412652</v>
      </c>
      <c r="CG14" s="467">
        <f t="shared" si="23"/>
        <v>984412652</v>
      </c>
      <c r="CH14" s="467">
        <f t="shared" si="7"/>
        <v>984412652</v>
      </c>
      <c r="CI14" s="467">
        <f>CG14</f>
        <v>984412652</v>
      </c>
      <c r="CJ14" s="467">
        <v>3139524028</v>
      </c>
      <c r="CK14" s="467">
        <v>46872823</v>
      </c>
      <c r="CL14" s="467">
        <v>46872823</v>
      </c>
      <c r="CM14" s="467">
        <v>257770235</v>
      </c>
      <c r="CN14" s="469">
        <v>257770235</v>
      </c>
      <c r="CO14" s="469">
        <v>82422920</v>
      </c>
      <c r="CP14" s="469">
        <v>82422920</v>
      </c>
      <c r="CQ14" s="467">
        <v>1292460401</v>
      </c>
      <c r="CR14" s="469">
        <v>0</v>
      </c>
      <c r="CS14" s="467">
        <v>564404340</v>
      </c>
      <c r="CT14" s="467">
        <v>0</v>
      </c>
      <c r="CU14" s="467">
        <v>72888327</v>
      </c>
      <c r="CV14" s="467">
        <v>0</v>
      </c>
      <c r="CW14" s="467">
        <v>822704982</v>
      </c>
      <c r="CX14" s="467">
        <v>0</v>
      </c>
      <c r="CY14" s="467">
        <v>0</v>
      </c>
      <c r="CZ14" s="467">
        <v>0</v>
      </c>
      <c r="DA14" s="467">
        <v>0</v>
      </c>
      <c r="DB14" s="467">
        <v>0</v>
      </c>
      <c r="DC14" s="467">
        <v>0</v>
      </c>
      <c r="DD14" s="467">
        <v>0</v>
      </c>
      <c r="DE14" s="467">
        <v>0</v>
      </c>
      <c r="DF14" s="467">
        <v>0</v>
      </c>
      <c r="DG14" s="467">
        <v>0</v>
      </c>
      <c r="DH14" s="467">
        <v>0</v>
      </c>
      <c r="DI14" s="468">
        <f>DG14+DE14+DC14+DA14+CW14+CU14+CS14+CQ14+CO14+CM14+CK14+CY14</f>
        <v>3139524028</v>
      </c>
      <c r="DJ14" s="468">
        <f t="shared" si="12"/>
        <v>387065978</v>
      </c>
      <c r="DK14" s="468">
        <f t="shared" si="13"/>
        <v>387065978</v>
      </c>
      <c r="DL14" s="467">
        <f>DI14</f>
        <v>3139524028</v>
      </c>
      <c r="DM14" s="467">
        <f t="shared" si="15"/>
        <v>387065978</v>
      </c>
      <c r="DN14" s="467">
        <v>0</v>
      </c>
      <c r="DO14" s="467">
        <v>0</v>
      </c>
      <c r="DP14" s="467">
        <v>0</v>
      </c>
      <c r="DQ14" s="467">
        <v>0</v>
      </c>
      <c r="DR14" s="467">
        <v>0</v>
      </c>
      <c r="DS14" s="467">
        <v>0</v>
      </c>
      <c r="DT14" s="467">
        <v>0</v>
      </c>
      <c r="DU14" s="467">
        <v>0</v>
      </c>
      <c r="DV14" s="467">
        <v>0</v>
      </c>
      <c r="DW14" s="467">
        <v>0</v>
      </c>
      <c r="DX14" s="467">
        <v>0</v>
      </c>
      <c r="DY14" s="467">
        <v>0</v>
      </c>
      <c r="DZ14" s="467">
        <v>0</v>
      </c>
      <c r="EA14" s="467">
        <v>0</v>
      </c>
      <c r="EB14" s="467">
        <v>0</v>
      </c>
      <c r="EC14" s="467">
        <v>0</v>
      </c>
      <c r="ED14" s="467">
        <v>0</v>
      </c>
      <c r="EE14" s="467">
        <v>0</v>
      </c>
      <c r="EF14" s="467">
        <v>0</v>
      </c>
      <c r="EG14" s="467">
        <v>0</v>
      </c>
      <c r="EH14" s="467">
        <v>0</v>
      </c>
      <c r="EI14" s="467">
        <v>0</v>
      </c>
      <c r="EJ14" s="467">
        <v>0</v>
      </c>
      <c r="EK14" s="467"/>
      <c r="EL14" s="467">
        <v>0</v>
      </c>
      <c r="EM14" s="467"/>
      <c r="EN14" s="467"/>
      <c r="EO14" s="467"/>
      <c r="EP14" s="467"/>
      <c r="EQ14" s="467">
        <v>0</v>
      </c>
      <c r="ER14" s="465">
        <f t="shared" si="16"/>
        <v>1</v>
      </c>
      <c r="ES14" s="466">
        <f t="shared" si="17"/>
        <v>1</v>
      </c>
      <c r="ET14" s="465">
        <f t="shared" si="18"/>
        <v>0.12328810818070923</v>
      </c>
      <c r="EU14" s="465">
        <f t="shared" si="19"/>
        <v>0.99747654370633076</v>
      </c>
      <c r="EV14" s="465">
        <f t="shared" ref="EV14" si="26">(AA14+BE14+CI14+DM14)/G14</f>
        <v>0.42214310255515636</v>
      </c>
      <c r="EW14" s="823"/>
      <c r="EX14" s="758"/>
      <c r="EY14" s="758"/>
      <c r="EZ14" s="758"/>
      <c r="FA14" s="758"/>
    </row>
    <row r="15" spans="1:157" ht="29.25" customHeight="1" thickBot="1" x14ac:dyDescent="0.3">
      <c r="A15" s="827"/>
      <c r="B15" s="836"/>
      <c r="C15" s="833"/>
      <c r="D15" s="833"/>
      <c r="E15" s="827"/>
      <c r="F15" s="41" t="s">
        <v>106</v>
      </c>
      <c r="G15" s="615">
        <f>G10+G13</f>
        <v>75</v>
      </c>
      <c r="H15" s="484">
        <f t="shared" ref="H15:I15" si="27">+H10</f>
        <v>46</v>
      </c>
      <c r="I15" s="484">
        <f t="shared" si="27"/>
        <v>46</v>
      </c>
      <c r="J15" s="484">
        <f>J10+J13</f>
        <v>0</v>
      </c>
      <c r="K15" s="484">
        <f>+K10</f>
        <v>46</v>
      </c>
      <c r="L15" s="484">
        <f>L10+L13</f>
        <v>0</v>
      </c>
      <c r="M15" s="484">
        <f>+M10</f>
        <v>46</v>
      </c>
      <c r="N15" s="485">
        <f>N10+N13</f>
        <v>44.02</v>
      </c>
      <c r="O15" s="484">
        <f t="shared" ref="O15:T15" si="28">+O10</f>
        <v>46</v>
      </c>
      <c r="P15" s="485">
        <f t="shared" si="28"/>
        <v>44.39</v>
      </c>
      <c r="Q15" s="484">
        <f t="shared" si="28"/>
        <v>46</v>
      </c>
      <c r="R15" s="485">
        <f t="shared" si="28"/>
        <v>44.87</v>
      </c>
      <c r="S15" s="484">
        <f t="shared" si="28"/>
        <v>46</v>
      </c>
      <c r="T15" s="485">
        <f t="shared" si="28"/>
        <v>45.54</v>
      </c>
      <c r="U15" s="484">
        <v>46</v>
      </c>
      <c r="V15" s="485">
        <v>45.92</v>
      </c>
      <c r="W15" s="484"/>
      <c r="X15" s="484"/>
      <c r="Y15" s="484"/>
      <c r="Z15" s="486">
        <v>46</v>
      </c>
      <c r="AA15" s="486">
        <v>45.92</v>
      </c>
      <c r="AB15" s="485">
        <f t="shared" ref="AB15:AB16" si="29">AB10+AB13</f>
        <v>56</v>
      </c>
      <c r="AC15" s="485">
        <f t="shared" ref="AC15:BE15" si="30">+AC10</f>
        <v>0.36</v>
      </c>
      <c r="AD15" s="485">
        <f t="shared" si="30"/>
        <v>0.36</v>
      </c>
      <c r="AE15" s="485">
        <f t="shared" si="30"/>
        <v>0.36</v>
      </c>
      <c r="AF15" s="485">
        <f t="shared" si="30"/>
        <v>0.36</v>
      </c>
      <c r="AG15" s="485">
        <f t="shared" si="30"/>
        <v>0.38</v>
      </c>
      <c r="AH15" s="485">
        <f t="shared" si="30"/>
        <v>0.38</v>
      </c>
      <c r="AI15" s="485">
        <f t="shared" si="30"/>
        <v>0.08</v>
      </c>
      <c r="AJ15" s="485">
        <f t="shared" si="30"/>
        <v>0.08</v>
      </c>
      <c r="AK15" s="485">
        <f t="shared" si="30"/>
        <v>0.3</v>
      </c>
      <c r="AL15" s="485">
        <f t="shared" si="30"/>
        <v>0.2</v>
      </c>
      <c r="AM15" s="485">
        <f t="shared" si="30"/>
        <v>0.85</v>
      </c>
      <c r="AN15" s="485">
        <f t="shared" si="30"/>
        <v>0.51</v>
      </c>
      <c r="AO15" s="485">
        <f t="shared" si="30"/>
        <v>0.95</v>
      </c>
      <c r="AP15" s="485">
        <f t="shared" si="30"/>
        <v>0.93</v>
      </c>
      <c r="AQ15" s="485">
        <f t="shared" si="30"/>
        <v>0.98</v>
      </c>
      <c r="AR15" s="485">
        <f t="shared" si="30"/>
        <v>0.45</v>
      </c>
      <c r="AS15" s="485">
        <f t="shared" si="30"/>
        <v>0.98</v>
      </c>
      <c r="AT15" s="485">
        <f t="shared" si="30"/>
        <v>0.76</v>
      </c>
      <c r="AU15" s="485">
        <f t="shared" si="30"/>
        <v>0.98</v>
      </c>
      <c r="AV15" s="485">
        <f t="shared" si="30"/>
        <v>0.91</v>
      </c>
      <c r="AW15" s="485">
        <f t="shared" si="30"/>
        <v>0.98</v>
      </c>
      <c r="AX15" s="485">
        <f t="shared" si="30"/>
        <v>0.8</v>
      </c>
      <c r="AY15" s="485">
        <f t="shared" si="30"/>
        <v>2.88</v>
      </c>
      <c r="AZ15" s="485">
        <f t="shared" si="30"/>
        <v>0.53</v>
      </c>
      <c r="BA15" s="485">
        <f t="shared" si="30"/>
        <v>10.080000000000002</v>
      </c>
      <c r="BB15" s="485">
        <f t="shared" si="30"/>
        <v>10.080000000000002</v>
      </c>
      <c r="BC15" s="485">
        <f t="shared" si="30"/>
        <v>6.2700000000000005</v>
      </c>
      <c r="BD15" s="486">
        <f t="shared" si="30"/>
        <v>56</v>
      </c>
      <c r="BE15" s="486">
        <f t="shared" si="30"/>
        <v>52.190000000000005</v>
      </c>
      <c r="BF15" s="487">
        <f t="shared" ref="BF15:DG15" si="31">BF10+BF13</f>
        <v>64</v>
      </c>
      <c r="BG15" s="488">
        <f t="shared" si="31"/>
        <v>0</v>
      </c>
      <c r="BH15" s="488">
        <f t="shared" si="31"/>
        <v>0</v>
      </c>
      <c r="BI15" s="488">
        <f t="shared" si="31"/>
        <v>0.4</v>
      </c>
      <c r="BJ15" s="488">
        <f t="shared" si="31"/>
        <v>0.4</v>
      </c>
      <c r="BK15" s="488">
        <f t="shared" si="31"/>
        <v>0.59</v>
      </c>
      <c r="BL15" s="487">
        <f t="shared" si="31"/>
        <v>0.59</v>
      </c>
      <c r="BM15" s="488">
        <f t="shared" si="31"/>
        <v>0.67</v>
      </c>
      <c r="BN15" s="488">
        <f t="shared" si="31"/>
        <v>0.67</v>
      </c>
      <c r="BO15" s="488">
        <f t="shared" si="31"/>
        <v>0.71</v>
      </c>
      <c r="BP15" s="488">
        <f t="shared" si="31"/>
        <v>0.65</v>
      </c>
      <c r="BQ15" s="488">
        <f t="shared" si="31"/>
        <v>1</v>
      </c>
      <c r="BR15" s="488">
        <f t="shared" si="31"/>
        <v>0.95</v>
      </c>
      <c r="BS15" s="488">
        <f t="shared" si="31"/>
        <v>1.39</v>
      </c>
      <c r="BT15" s="488">
        <f t="shared" si="31"/>
        <v>1.28</v>
      </c>
      <c r="BU15" s="487">
        <f t="shared" si="31"/>
        <v>1.51</v>
      </c>
      <c r="BV15" s="487">
        <f t="shared" si="31"/>
        <v>1.1200000000000001</v>
      </c>
      <c r="BW15" s="486">
        <f t="shared" si="31"/>
        <v>1.65</v>
      </c>
      <c r="BX15" s="486">
        <f t="shared" si="31"/>
        <v>1.21</v>
      </c>
      <c r="BY15" s="487">
        <f t="shared" si="31"/>
        <v>1.65</v>
      </c>
      <c r="BZ15" s="487">
        <f t="shared" si="31"/>
        <v>1.18</v>
      </c>
      <c r="CA15" s="486">
        <f t="shared" si="31"/>
        <v>1.57</v>
      </c>
      <c r="CB15" s="486">
        <f t="shared" si="31"/>
        <v>1.0900000000000001</v>
      </c>
      <c r="CC15" s="486">
        <f t="shared" si="31"/>
        <v>0.67</v>
      </c>
      <c r="CD15" s="486">
        <f t="shared" si="31"/>
        <v>1.28</v>
      </c>
      <c r="CE15" s="487">
        <f t="shared" si="31"/>
        <v>11.81</v>
      </c>
      <c r="CF15" s="487">
        <f t="shared" si="31"/>
        <v>11.81</v>
      </c>
      <c r="CG15" s="487">
        <f t="shared" si="31"/>
        <v>10.42</v>
      </c>
      <c r="CH15" s="487">
        <f t="shared" si="31"/>
        <v>64</v>
      </c>
      <c r="CI15" s="487">
        <f t="shared" si="31"/>
        <v>62.610000000000007</v>
      </c>
      <c r="CJ15" s="486">
        <f t="shared" si="31"/>
        <v>74</v>
      </c>
      <c r="CK15" s="485">
        <f t="shared" si="31"/>
        <v>0</v>
      </c>
      <c r="CL15" s="485">
        <f t="shared" si="31"/>
        <v>0</v>
      </c>
      <c r="CM15" s="485">
        <f t="shared" si="31"/>
        <v>0.2</v>
      </c>
      <c r="CN15" s="485">
        <f t="shared" si="31"/>
        <v>0.2</v>
      </c>
      <c r="CO15" s="489">
        <f t="shared" si="31"/>
        <v>0.4</v>
      </c>
      <c r="CP15" s="489">
        <f t="shared" si="31"/>
        <v>0.4</v>
      </c>
      <c r="CQ15" s="485">
        <f t="shared" si="31"/>
        <v>0.6</v>
      </c>
      <c r="CR15" s="485">
        <f t="shared" si="31"/>
        <v>0</v>
      </c>
      <c r="CS15" s="485">
        <f t="shared" si="31"/>
        <v>1</v>
      </c>
      <c r="CT15" s="485">
        <f t="shared" si="31"/>
        <v>0</v>
      </c>
      <c r="CU15" s="485">
        <f t="shared" si="31"/>
        <v>1</v>
      </c>
      <c r="CV15" s="485">
        <f t="shared" si="31"/>
        <v>0</v>
      </c>
      <c r="CW15" s="485">
        <f t="shared" si="31"/>
        <v>1</v>
      </c>
      <c r="CX15" s="485">
        <f t="shared" si="31"/>
        <v>0</v>
      </c>
      <c r="CY15" s="485">
        <f t="shared" si="31"/>
        <v>1.39</v>
      </c>
      <c r="CZ15" s="485">
        <f t="shared" si="31"/>
        <v>0</v>
      </c>
      <c r="DA15" s="485">
        <f t="shared" si="31"/>
        <v>1.5</v>
      </c>
      <c r="DB15" s="485">
        <f t="shared" si="31"/>
        <v>0</v>
      </c>
      <c r="DC15" s="485">
        <f t="shared" si="31"/>
        <v>1.5</v>
      </c>
      <c r="DD15" s="485">
        <f t="shared" si="31"/>
        <v>0</v>
      </c>
      <c r="DE15" s="485">
        <f t="shared" si="31"/>
        <v>1.5</v>
      </c>
      <c r="DF15" s="485">
        <f t="shared" si="31"/>
        <v>0</v>
      </c>
      <c r="DG15" s="485">
        <f t="shared" si="31"/>
        <v>1.3</v>
      </c>
      <c r="DH15" s="485">
        <v>0</v>
      </c>
      <c r="DI15" s="485">
        <f t="shared" si="24"/>
        <v>11.39</v>
      </c>
      <c r="DJ15" s="490">
        <f>CK15+CM15+CO15</f>
        <v>0.60000000000000009</v>
      </c>
      <c r="DK15" s="490">
        <f>CL15+CN15+CP15</f>
        <v>0.60000000000000009</v>
      </c>
      <c r="DL15" s="487">
        <f>CI15+DI15</f>
        <v>74</v>
      </c>
      <c r="DM15" s="487">
        <f>DM10</f>
        <v>63.210000000000008</v>
      </c>
      <c r="DN15" s="486">
        <f>DN10+DN13</f>
        <v>75</v>
      </c>
      <c r="DO15" s="484"/>
      <c r="DP15" s="484"/>
      <c r="DQ15" s="484"/>
      <c r="DR15" s="484"/>
      <c r="DS15" s="484"/>
      <c r="DT15" s="484"/>
      <c r="DU15" s="484"/>
      <c r="DV15" s="484"/>
      <c r="DW15" s="484"/>
      <c r="DX15" s="484"/>
      <c r="DY15" s="484"/>
      <c r="DZ15" s="484"/>
      <c r="EA15" s="484"/>
      <c r="EB15" s="484"/>
      <c r="EC15" s="484"/>
      <c r="ED15" s="484"/>
      <c r="EE15" s="484"/>
      <c r="EF15" s="484"/>
      <c r="EG15" s="484"/>
      <c r="EH15" s="484"/>
      <c r="EI15" s="484"/>
      <c r="EJ15" s="484"/>
      <c r="EK15" s="484"/>
      <c r="EL15" s="484"/>
      <c r="EM15" s="484"/>
      <c r="EN15" s="484"/>
      <c r="EO15" s="484"/>
      <c r="EP15" s="484"/>
      <c r="EQ15" s="484"/>
      <c r="ER15" s="491">
        <f>CP15/CO15</f>
        <v>1</v>
      </c>
      <c r="ES15" s="492">
        <f>DK15/DJ15</f>
        <v>1</v>
      </c>
      <c r="ET15" s="491">
        <f>DM15/DL15</f>
        <v>0.85418918918918929</v>
      </c>
      <c r="EU15" s="465">
        <f>(DK15+CI15)/(CH15+DJ15)</f>
        <v>0.97848297213622315</v>
      </c>
      <c r="EV15" s="491">
        <f>DM15/G15</f>
        <v>0.8428000000000001</v>
      </c>
      <c r="EW15" s="823"/>
      <c r="EX15" s="758"/>
      <c r="EY15" s="758"/>
      <c r="EZ15" s="758"/>
      <c r="FA15" s="758"/>
    </row>
    <row r="16" spans="1:157" ht="29.25" customHeight="1" thickBot="1" x14ac:dyDescent="0.3">
      <c r="A16" s="827"/>
      <c r="B16" s="837"/>
      <c r="C16" s="834"/>
      <c r="D16" s="834"/>
      <c r="E16" s="828"/>
      <c r="F16" s="459" t="s">
        <v>107</v>
      </c>
      <c r="G16" s="617">
        <f>G11+G14</f>
        <v>27091348485</v>
      </c>
      <c r="H16" s="502">
        <f t="shared" ref="H16:M16" si="32">H11+H14</f>
        <v>2239274028</v>
      </c>
      <c r="I16" s="502">
        <f t="shared" si="32"/>
        <v>2239274028</v>
      </c>
      <c r="J16" s="502">
        <f t="shared" si="32"/>
        <v>15250000</v>
      </c>
      <c r="K16" s="502">
        <f t="shared" si="32"/>
        <v>2239274028</v>
      </c>
      <c r="L16" s="502">
        <f t="shared" si="32"/>
        <v>15250000</v>
      </c>
      <c r="M16" s="502">
        <f t="shared" si="32"/>
        <v>2239274028</v>
      </c>
      <c r="N16" s="503">
        <f>N11</f>
        <v>186734000</v>
      </c>
      <c r="O16" s="502">
        <f>O11+O14</f>
        <v>2239274028</v>
      </c>
      <c r="P16" s="503">
        <f>+P11</f>
        <v>208535000</v>
      </c>
      <c r="Q16" s="502">
        <f>Q11+Q14</f>
        <v>2239274028</v>
      </c>
      <c r="R16" s="503">
        <f>+R11</f>
        <v>208535000</v>
      </c>
      <c r="S16" s="502">
        <f>S11+S14</f>
        <v>2239274028</v>
      </c>
      <c r="T16" s="503">
        <f t="shared" ref="T16:U16" si="33">+T11</f>
        <v>261972893</v>
      </c>
      <c r="U16" s="503">
        <f t="shared" si="33"/>
        <v>1985716202</v>
      </c>
      <c r="V16" s="503">
        <v>835562923</v>
      </c>
      <c r="W16" s="503"/>
      <c r="X16" s="503"/>
      <c r="Y16" s="503"/>
      <c r="Z16" s="503">
        <f>+Z11</f>
        <v>1985716202</v>
      </c>
      <c r="AA16" s="502">
        <v>835562923</v>
      </c>
      <c r="AB16" s="503">
        <f t="shared" si="29"/>
        <v>11942347002</v>
      </c>
      <c r="AC16" s="503">
        <f t="shared" ref="AC16:CM16" si="34">AC11+AC14</f>
        <v>17458000</v>
      </c>
      <c r="AD16" s="503">
        <f t="shared" si="34"/>
        <v>17458000</v>
      </c>
      <c r="AE16" s="503">
        <f t="shared" si="34"/>
        <v>288655787</v>
      </c>
      <c r="AF16" s="503">
        <f t="shared" si="34"/>
        <v>288655787</v>
      </c>
      <c r="AG16" s="503">
        <f t="shared" si="34"/>
        <v>408312069</v>
      </c>
      <c r="AH16" s="503">
        <f t="shared" si="34"/>
        <v>408312069</v>
      </c>
      <c r="AI16" s="503">
        <f t="shared" si="34"/>
        <v>435138273</v>
      </c>
      <c r="AJ16" s="503">
        <f t="shared" si="34"/>
        <v>435138273</v>
      </c>
      <c r="AK16" s="503">
        <f t="shared" si="34"/>
        <v>38151620</v>
      </c>
      <c r="AL16" s="503">
        <f t="shared" si="34"/>
        <v>38151620</v>
      </c>
      <c r="AM16" s="503">
        <f t="shared" si="34"/>
        <v>0</v>
      </c>
      <c r="AN16" s="503">
        <f t="shared" si="34"/>
        <v>177646000</v>
      </c>
      <c r="AO16" s="503">
        <f t="shared" si="34"/>
        <v>498268253</v>
      </c>
      <c r="AP16" s="503">
        <f t="shared" si="34"/>
        <v>0</v>
      </c>
      <c r="AQ16" s="503">
        <f t="shared" si="34"/>
        <v>223940000</v>
      </c>
      <c r="AR16" s="503">
        <f t="shared" si="34"/>
        <v>26018008</v>
      </c>
      <c r="AS16" s="503">
        <f t="shared" si="34"/>
        <v>521491286</v>
      </c>
      <c r="AT16" s="503">
        <f t="shared" si="34"/>
        <v>18089500</v>
      </c>
      <c r="AU16" s="503">
        <f t="shared" si="34"/>
        <v>6102718655</v>
      </c>
      <c r="AV16" s="503">
        <f t="shared" si="34"/>
        <v>250254791</v>
      </c>
      <c r="AW16" s="503">
        <f t="shared" si="34"/>
        <v>502548000</v>
      </c>
      <c r="AX16" s="503">
        <f t="shared" si="34"/>
        <v>278976000</v>
      </c>
      <c r="AY16" s="503">
        <f t="shared" si="34"/>
        <v>1453262744</v>
      </c>
      <c r="AZ16" s="503">
        <f t="shared" si="34"/>
        <v>2683988234</v>
      </c>
      <c r="BA16" s="503">
        <f t="shared" si="34"/>
        <v>10489944687</v>
      </c>
      <c r="BB16" s="503">
        <f t="shared" si="34"/>
        <v>10489944687</v>
      </c>
      <c r="BC16" s="503">
        <f t="shared" si="34"/>
        <v>4622688282</v>
      </c>
      <c r="BD16" s="503">
        <f t="shared" si="34"/>
        <v>10489944687</v>
      </c>
      <c r="BE16" s="503">
        <f t="shared" si="34"/>
        <v>4622688282</v>
      </c>
      <c r="BF16" s="503">
        <f t="shared" si="34"/>
        <v>9707924986</v>
      </c>
      <c r="BG16" s="503">
        <f t="shared" si="34"/>
        <v>1335689934</v>
      </c>
      <c r="BH16" s="503">
        <f t="shared" si="34"/>
        <v>1335689934</v>
      </c>
      <c r="BI16" s="503">
        <f t="shared" si="34"/>
        <v>22140266</v>
      </c>
      <c r="BJ16" s="503">
        <f t="shared" si="34"/>
        <v>18438933</v>
      </c>
      <c r="BK16" s="503">
        <f t="shared" si="34"/>
        <v>295069387</v>
      </c>
      <c r="BL16" s="503">
        <f t="shared" si="34"/>
        <v>3489253</v>
      </c>
      <c r="BM16" s="503">
        <f t="shared" si="34"/>
        <v>215546170</v>
      </c>
      <c r="BN16" s="503">
        <f t="shared" si="34"/>
        <v>0</v>
      </c>
      <c r="BO16" s="503">
        <f t="shared" si="34"/>
        <v>0</v>
      </c>
      <c r="BP16" s="503">
        <f t="shared" si="34"/>
        <v>13760441</v>
      </c>
      <c r="BQ16" s="503">
        <f t="shared" si="34"/>
        <v>0</v>
      </c>
      <c r="BR16" s="503">
        <f t="shared" si="34"/>
        <v>30000000</v>
      </c>
      <c r="BS16" s="503">
        <f t="shared" si="34"/>
        <v>350105719</v>
      </c>
      <c r="BT16" s="503">
        <f t="shared" si="34"/>
        <v>547483197</v>
      </c>
      <c r="BU16" s="503">
        <f t="shared" si="34"/>
        <v>0</v>
      </c>
      <c r="BV16" s="503">
        <f t="shared" si="34"/>
        <v>4700201</v>
      </c>
      <c r="BW16" s="503">
        <f t="shared" si="34"/>
        <v>0</v>
      </c>
      <c r="BX16" s="503">
        <f t="shared" si="34"/>
        <v>0</v>
      </c>
      <c r="BY16" s="503">
        <f t="shared" si="34"/>
        <v>7294349000</v>
      </c>
      <c r="BZ16" s="503">
        <f t="shared" si="34"/>
        <v>0</v>
      </c>
      <c r="CA16" s="503">
        <f t="shared" si="34"/>
        <v>89543000</v>
      </c>
      <c r="CB16" s="503">
        <f t="shared" si="34"/>
        <v>5834986133</v>
      </c>
      <c r="CC16" s="503">
        <f t="shared" si="34"/>
        <v>364816463</v>
      </c>
      <c r="CD16" s="503">
        <f t="shared" si="34"/>
        <v>1651009160</v>
      </c>
      <c r="CE16" s="503">
        <f t="shared" si="34"/>
        <v>9967259939</v>
      </c>
      <c r="CF16" s="503">
        <f t="shared" si="34"/>
        <v>9967259939</v>
      </c>
      <c r="CG16" s="503">
        <f t="shared" si="34"/>
        <v>9439557252</v>
      </c>
      <c r="CH16" s="503">
        <f t="shared" si="34"/>
        <v>9967259939</v>
      </c>
      <c r="CI16" s="503">
        <f t="shared" si="34"/>
        <v>9439557252</v>
      </c>
      <c r="CJ16" s="503">
        <f t="shared" si="34"/>
        <v>10450919028</v>
      </c>
      <c r="CK16" s="503">
        <f t="shared" si="34"/>
        <v>6646687839</v>
      </c>
      <c r="CL16" s="503">
        <f t="shared" si="34"/>
        <v>6646687839</v>
      </c>
      <c r="CM16" s="503">
        <f t="shared" si="34"/>
        <v>656885235</v>
      </c>
      <c r="CN16" s="503">
        <f t="shared" ref="CN16:CO16" si="35">CN11+CO14</f>
        <v>481537920</v>
      </c>
      <c r="CO16" s="504">
        <f t="shared" si="35"/>
        <v>191462920</v>
      </c>
      <c r="CP16" s="504">
        <f>CP11+CP14</f>
        <v>191462920</v>
      </c>
      <c r="CQ16" s="503">
        <f t="shared" ref="CQ16:CV16" si="36">CQ11+CQ14</f>
        <v>1399345401</v>
      </c>
      <c r="CR16" s="503">
        <f t="shared" si="36"/>
        <v>0</v>
      </c>
      <c r="CS16" s="503">
        <f t="shared" si="36"/>
        <v>672565324</v>
      </c>
      <c r="CT16" s="503">
        <f t="shared" si="36"/>
        <v>0</v>
      </c>
      <c r="CU16" s="503">
        <f t="shared" si="36"/>
        <v>72888327</v>
      </c>
      <c r="CV16" s="503">
        <f t="shared" si="36"/>
        <v>0</v>
      </c>
      <c r="CW16" s="503">
        <f>CW11+CQ42</f>
        <v>0</v>
      </c>
      <c r="CX16" s="503">
        <f>CX11+CX14</f>
        <v>0</v>
      </c>
      <c r="CY16" s="503" t="e">
        <f>CY11+#REF!</f>
        <v>#REF!</v>
      </c>
      <c r="CZ16" s="503">
        <f>CZ11+CZ14</f>
        <v>0</v>
      </c>
      <c r="DA16" s="503" t="e">
        <f>DA11+#REF!</f>
        <v>#REF!</v>
      </c>
      <c r="DB16" s="503">
        <f t="shared" ref="DB16:DD16" si="37">DB11+DB14</f>
        <v>0</v>
      </c>
      <c r="DC16" s="503">
        <f t="shared" si="37"/>
        <v>0</v>
      </c>
      <c r="DD16" s="503">
        <f t="shared" si="37"/>
        <v>0</v>
      </c>
      <c r="DE16" s="503" t="e">
        <f>DE11+#REF!</f>
        <v>#REF!</v>
      </c>
      <c r="DF16" s="503">
        <f>DF11+DF14</f>
        <v>0</v>
      </c>
      <c r="DG16" s="503" t="e">
        <f>DG11+#REF!</f>
        <v>#REF!</v>
      </c>
      <c r="DH16" s="503">
        <f t="shared" ref="DH16:EQ16" si="38">DH11+DH14</f>
        <v>0</v>
      </c>
      <c r="DI16" s="503">
        <f>DI11+DI14</f>
        <v>10462540028</v>
      </c>
      <c r="DJ16" s="503">
        <f t="shared" si="38"/>
        <v>7495035994</v>
      </c>
      <c r="DK16" s="503">
        <f t="shared" si="38"/>
        <v>7495035994</v>
      </c>
      <c r="DL16" s="503">
        <f t="shared" si="38"/>
        <v>10462540028</v>
      </c>
      <c r="DM16" s="503">
        <f t="shared" si="38"/>
        <v>7495035994</v>
      </c>
      <c r="DN16" s="503">
        <f t="shared" si="38"/>
        <v>1731000000</v>
      </c>
      <c r="DO16" s="503">
        <f t="shared" si="38"/>
        <v>0</v>
      </c>
      <c r="DP16" s="503">
        <f t="shared" si="38"/>
        <v>0</v>
      </c>
      <c r="DQ16" s="503">
        <f t="shared" si="38"/>
        <v>0</v>
      </c>
      <c r="DR16" s="503">
        <f t="shared" si="38"/>
        <v>0</v>
      </c>
      <c r="DS16" s="503">
        <f t="shared" si="38"/>
        <v>0</v>
      </c>
      <c r="DT16" s="503">
        <f t="shared" si="38"/>
        <v>0</v>
      </c>
      <c r="DU16" s="503">
        <f t="shared" si="38"/>
        <v>0</v>
      </c>
      <c r="DV16" s="503">
        <f t="shared" si="38"/>
        <v>0</v>
      </c>
      <c r="DW16" s="503">
        <f t="shared" si="38"/>
        <v>0</v>
      </c>
      <c r="DX16" s="503">
        <f t="shared" si="38"/>
        <v>0</v>
      </c>
      <c r="DY16" s="503">
        <f t="shared" si="38"/>
        <v>0</v>
      </c>
      <c r="DZ16" s="503">
        <f t="shared" si="38"/>
        <v>0</v>
      </c>
      <c r="EA16" s="503">
        <f t="shared" si="38"/>
        <v>0</v>
      </c>
      <c r="EB16" s="503">
        <f t="shared" si="38"/>
        <v>0</v>
      </c>
      <c r="EC16" s="503">
        <f t="shared" si="38"/>
        <v>0</v>
      </c>
      <c r="ED16" s="503">
        <f t="shared" si="38"/>
        <v>0</v>
      </c>
      <c r="EE16" s="503">
        <f t="shared" si="38"/>
        <v>0</v>
      </c>
      <c r="EF16" s="503">
        <f t="shared" si="38"/>
        <v>0</v>
      </c>
      <c r="EG16" s="503">
        <f t="shared" si="38"/>
        <v>0</v>
      </c>
      <c r="EH16" s="503">
        <f t="shared" si="38"/>
        <v>0</v>
      </c>
      <c r="EI16" s="503">
        <f t="shared" si="38"/>
        <v>0</v>
      </c>
      <c r="EJ16" s="503">
        <f t="shared" si="38"/>
        <v>0</v>
      </c>
      <c r="EK16" s="503">
        <f t="shared" si="38"/>
        <v>0</v>
      </c>
      <c r="EL16" s="503">
        <f t="shared" si="38"/>
        <v>0</v>
      </c>
      <c r="EM16" s="503">
        <f t="shared" si="38"/>
        <v>0</v>
      </c>
      <c r="EN16" s="503">
        <f t="shared" si="38"/>
        <v>0</v>
      </c>
      <c r="EO16" s="503">
        <f t="shared" si="38"/>
        <v>0</v>
      </c>
      <c r="EP16" s="503">
        <f t="shared" si="38"/>
        <v>0</v>
      </c>
      <c r="EQ16" s="503">
        <f t="shared" si="38"/>
        <v>0</v>
      </c>
      <c r="ER16" s="505">
        <f t="shared" ref="ER16" si="39">CP16/CO16</f>
        <v>1</v>
      </c>
      <c r="ES16" s="506">
        <f t="shared" ref="ES16" si="40">DK16/DJ16</f>
        <v>1</v>
      </c>
      <c r="ET16" s="505">
        <f t="shared" ref="ET16" si="41">DM16/DL16</f>
        <v>0.71636868044869384</v>
      </c>
      <c r="EU16" s="505">
        <f t="shared" ref="EU16" si="42">(AA16+BE16+CI16+DK16)/(Z16+BD16+CH16+DJ16)</f>
        <v>0.7479750399848446</v>
      </c>
      <c r="EV16" s="507">
        <f t="shared" ref="EV16" si="43">(AA16+BE16+CI16+DM16)/G16</f>
        <v>0.82656810027003713</v>
      </c>
      <c r="EW16" s="824"/>
      <c r="EX16" s="758"/>
      <c r="EY16" s="758"/>
      <c r="EZ16" s="758"/>
      <c r="FA16" s="758"/>
    </row>
    <row r="17" spans="1:157" ht="29.25" customHeight="1" x14ac:dyDescent="0.25">
      <c r="A17" s="827"/>
      <c r="B17" s="835">
        <v>2</v>
      </c>
      <c r="C17" s="838" t="s">
        <v>108</v>
      </c>
      <c r="D17" s="832" t="s">
        <v>69</v>
      </c>
      <c r="E17" s="826">
        <v>216</v>
      </c>
      <c r="F17" s="40" t="s">
        <v>100</v>
      </c>
      <c r="G17" s="618">
        <f>AA17+BE17+CI17+DL17+DN17</f>
        <v>214.85</v>
      </c>
      <c r="H17" s="493">
        <v>5</v>
      </c>
      <c r="I17" s="493">
        <v>5</v>
      </c>
      <c r="J17" s="493">
        <v>0</v>
      </c>
      <c r="K17" s="493">
        <v>5</v>
      </c>
      <c r="L17" s="493">
        <v>0</v>
      </c>
      <c r="M17" s="493">
        <v>5</v>
      </c>
      <c r="N17" s="493">
        <v>0</v>
      </c>
      <c r="O17" s="493">
        <v>5</v>
      </c>
      <c r="P17" s="494">
        <v>0.24</v>
      </c>
      <c r="Q17" s="493">
        <v>5</v>
      </c>
      <c r="R17" s="494">
        <v>1.54</v>
      </c>
      <c r="S17" s="493">
        <v>5</v>
      </c>
      <c r="T17" s="495">
        <f>+[1]GESTIÓN!V14</f>
        <v>2.5379999999999998</v>
      </c>
      <c r="U17" s="493">
        <v>5</v>
      </c>
      <c r="V17" s="494">
        <v>5.49</v>
      </c>
      <c r="W17" s="493"/>
      <c r="X17" s="493"/>
      <c r="Y17" s="493"/>
      <c r="Z17" s="496">
        <v>5</v>
      </c>
      <c r="AA17" s="496">
        <v>5.49</v>
      </c>
      <c r="AB17" s="493">
        <v>50</v>
      </c>
      <c r="AC17" s="494">
        <v>0.12</v>
      </c>
      <c r="AD17" s="494">
        <v>0.12</v>
      </c>
      <c r="AE17" s="494">
        <v>0</v>
      </c>
      <c r="AF17" s="494">
        <v>0</v>
      </c>
      <c r="AG17" s="494">
        <v>0</v>
      </c>
      <c r="AH17" s="494">
        <v>0</v>
      </c>
      <c r="AI17" s="494">
        <v>0</v>
      </c>
      <c r="AJ17" s="494">
        <v>0</v>
      </c>
      <c r="AK17" s="493">
        <v>0</v>
      </c>
      <c r="AL17" s="493">
        <v>0</v>
      </c>
      <c r="AM17" s="497">
        <v>0</v>
      </c>
      <c r="AN17" s="497">
        <v>0.98</v>
      </c>
      <c r="AO17" s="498">
        <v>0</v>
      </c>
      <c r="AP17" s="498">
        <v>0</v>
      </c>
      <c r="AQ17" s="498">
        <v>0</v>
      </c>
      <c r="AR17" s="497">
        <v>0.63</v>
      </c>
      <c r="AS17" s="498">
        <v>0</v>
      </c>
      <c r="AT17" s="497">
        <v>0.51</v>
      </c>
      <c r="AU17" s="498">
        <v>9.8800000000000008</v>
      </c>
      <c r="AV17" s="497">
        <v>4.05</v>
      </c>
      <c r="AW17" s="497">
        <v>20</v>
      </c>
      <c r="AX17" s="497">
        <v>4.7699999999999996</v>
      </c>
      <c r="AY17" s="497">
        <v>20</v>
      </c>
      <c r="AZ17" s="497">
        <v>3.13</v>
      </c>
      <c r="BA17" s="494">
        <f t="shared" ref="BA17:BA19" si="44">AC17+AE17+AG17+AI17+AK17+AM17+AO17+AQ17+AS17+AU17+AW17+AY17</f>
        <v>50</v>
      </c>
      <c r="BB17" s="494">
        <f t="shared" ref="BB17:BC17" si="45">AC17+AE17+AG17+AI17+AK17+AM17+AO17+AQ17+AS17+AU17+AW17+AY17</f>
        <v>50</v>
      </c>
      <c r="BC17" s="494">
        <f t="shared" si="45"/>
        <v>14.189999999999998</v>
      </c>
      <c r="BD17" s="496">
        <f t="shared" ref="BD17:BD18" si="46">BA17</f>
        <v>50</v>
      </c>
      <c r="BE17" s="496">
        <f t="shared" ref="BE17:BE18" si="47">BC17</f>
        <v>14.189999999999998</v>
      </c>
      <c r="BF17" s="496">
        <v>150</v>
      </c>
      <c r="BG17" s="499">
        <v>0</v>
      </c>
      <c r="BH17" s="499">
        <v>0</v>
      </c>
      <c r="BI17" s="499">
        <v>0</v>
      </c>
      <c r="BJ17" s="498">
        <v>0</v>
      </c>
      <c r="BK17" s="499">
        <v>1.84</v>
      </c>
      <c r="BL17" s="498">
        <v>3.2</v>
      </c>
      <c r="BM17" s="499">
        <v>0</v>
      </c>
      <c r="BN17" s="498">
        <v>0.1</v>
      </c>
      <c r="BO17" s="499">
        <v>0</v>
      </c>
      <c r="BP17" s="498">
        <v>0.97</v>
      </c>
      <c r="BQ17" s="499">
        <v>0</v>
      </c>
      <c r="BR17" s="498">
        <v>0.09</v>
      </c>
      <c r="BS17" s="499">
        <v>10</v>
      </c>
      <c r="BT17" s="498">
        <v>12.53</v>
      </c>
      <c r="BU17" s="498">
        <v>10.19</v>
      </c>
      <c r="BV17" s="498">
        <v>0.13</v>
      </c>
      <c r="BW17" s="498">
        <v>0.47</v>
      </c>
      <c r="BX17" s="498">
        <v>7.44</v>
      </c>
      <c r="BY17" s="498">
        <v>0.5</v>
      </c>
      <c r="BZ17" s="498">
        <v>2.72</v>
      </c>
      <c r="CA17" s="498">
        <v>60</v>
      </c>
      <c r="CB17" s="498">
        <v>0.97</v>
      </c>
      <c r="CC17" s="498">
        <v>67</v>
      </c>
      <c r="CD17" s="496">
        <v>2.5099999999999998</v>
      </c>
      <c r="CE17" s="498">
        <f t="shared" ref="CE17:CE21" si="48">CC17+CA17+BY17+BW17+BS17+BQ17+BO17+BM17+BK17+BI17+BG17+BU17</f>
        <v>150</v>
      </c>
      <c r="CF17" s="496">
        <f t="shared" ref="CF17:CG17" si="49">BG17+BI17+BK17+BM17+BO17+BQ17+BS17+BU17+BW17+BY17+CA17+CC17</f>
        <v>150</v>
      </c>
      <c r="CG17" s="496">
        <f t="shared" si="49"/>
        <v>30.659999999999997</v>
      </c>
      <c r="CH17" s="496">
        <f t="shared" ref="CH17:CH21" si="50">CE17</f>
        <v>150</v>
      </c>
      <c r="CI17" s="498">
        <f t="shared" ref="CI17:CI21" si="51">CG17</f>
        <v>30.659999999999997</v>
      </c>
      <c r="CJ17" s="496">
        <v>135</v>
      </c>
      <c r="CK17" s="498">
        <v>0</v>
      </c>
      <c r="CL17" s="498">
        <v>0</v>
      </c>
      <c r="CM17" s="498">
        <v>0.03</v>
      </c>
      <c r="CN17" s="498">
        <v>2.9000000000000001E-2</v>
      </c>
      <c r="CO17" s="499">
        <v>0.01</v>
      </c>
      <c r="CP17" s="499">
        <v>0</v>
      </c>
      <c r="CQ17" s="498">
        <v>0</v>
      </c>
      <c r="CR17" s="498">
        <v>0</v>
      </c>
      <c r="CS17" s="498">
        <v>0</v>
      </c>
      <c r="CT17" s="498">
        <v>0</v>
      </c>
      <c r="CU17" s="498">
        <v>0</v>
      </c>
      <c r="CV17" s="498">
        <v>0</v>
      </c>
      <c r="CW17" s="498">
        <v>0</v>
      </c>
      <c r="CX17" s="498">
        <v>0</v>
      </c>
      <c r="CY17" s="498">
        <v>0</v>
      </c>
      <c r="CZ17" s="498">
        <v>0</v>
      </c>
      <c r="DA17" s="498">
        <v>39.97</v>
      </c>
      <c r="DB17" s="498">
        <v>0</v>
      </c>
      <c r="DC17" s="498">
        <v>40</v>
      </c>
      <c r="DD17" s="498">
        <v>0</v>
      </c>
      <c r="DE17" s="498">
        <v>40</v>
      </c>
      <c r="DF17" s="498">
        <v>0</v>
      </c>
      <c r="DG17" s="498">
        <v>15</v>
      </c>
      <c r="DH17" s="498">
        <v>0</v>
      </c>
      <c r="DI17" s="496">
        <f>DG17+DE17+DC17+DA17+CW17+CU17+CS17+CQ17+CO17+CM17+CK17+CY17-0.01</f>
        <v>135</v>
      </c>
      <c r="DJ17" s="496">
        <f>CK17+CM17+CO17</f>
        <v>0.04</v>
      </c>
      <c r="DK17" s="498">
        <f>CL17+CN17+CP17+CR17+CT17+CV17+CX17+CZ17+DB17+DD17+DF17</f>
        <v>2.9000000000000001E-2</v>
      </c>
      <c r="DL17" s="498">
        <f t="shared" ref="DL17:DL21" si="52">DI17</f>
        <v>135</v>
      </c>
      <c r="DM17" s="498">
        <f t="shared" ref="DM17:DM21" si="53">DK17</f>
        <v>2.9000000000000001E-2</v>
      </c>
      <c r="DN17" s="496">
        <v>29.51</v>
      </c>
      <c r="DO17" s="493"/>
      <c r="DP17" s="493"/>
      <c r="DQ17" s="493"/>
      <c r="DR17" s="493"/>
      <c r="DS17" s="493"/>
      <c r="DT17" s="493"/>
      <c r="DU17" s="493"/>
      <c r="DV17" s="493"/>
      <c r="DW17" s="493"/>
      <c r="DX17" s="493"/>
      <c r="DY17" s="493"/>
      <c r="DZ17" s="493"/>
      <c r="EA17" s="493"/>
      <c r="EB17" s="493"/>
      <c r="EC17" s="493"/>
      <c r="ED17" s="493"/>
      <c r="EE17" s="493"/>
      <c r="EF17" s="493"/>
      <c r="EG17" s="493"/>
      <c r="EH17" s="493"/>
      <c r="EI17" s="493"/>
      <c r="EJ17" s="493"/>
      <c r="EK17" s="493"/>
      <c r="EL17" s="493"/>
      <c r="EM17" s="493"/>
      <c r="EN17" s="493"/>
      <c r="EO17" s="493"/>
      <c r="EP17" s="493"/>
      <c r="EQ17" s="493"/>
      <c r="ER17" s="500">
        <f t="shared" ref="ER17" si="54">CP17/CO17</f>
        <v>0</v>
      </c>
      <c r="ES17" s="501">
        <f t="shared" ref="ES17" si="55">DK17/DJ17</f>
        <v>0.72499999999999998</v>
      </c>
      <c r="ET17" s="500">
        <f t="shared" ref="ET17" si="56">DM17/DL17</f>
        <v>2.1481481481481482E-4</v>
      </c>
      <c r="EU17" s="500">
        <f t="shared" ref="EU17" si="57">(AA17+BE17+CI17+DK17)/(Z17+BD17+CH17+DJ17)</f>
        <v>0.24565450643776826</v>
      </c>
      <c r="EV17" s="500">
        <f t="shared" ref="EV17" si="58">(AA17+BE17+CI17+DM17)/G17</f>
        <v>0.23443797998603677</v>
      </c>
      <c r="EW17" s="822" t="s">
        <v>628</v>
      </c>
      <c r="EX17" s="806" t="s">
        <v>63</v>
      </c>
      <c r="EY17" s="806" t="s">
        <v>63</v>
      </c>
      <c r="EZ17" s="825" t="s">
        <v>70</v>
      </c>
      <c r="FA17" s="825" t="s">
        <v>65</v>
      </c>
    </row>
    <row r="18" spans="1:157" ht="29.25" customHeight="1" x14ac:dyDescent="0.25">
      <c r="A18" s="827"/>
      <c r="B18" s="836"/>
      <c r="C18" s="833"/>
      <c r="D18" s="833"/>
      <c r="E18" s="827"/>
      <c r="F18" s="457" t="s">
        <v>102</v>
      </c>
      <c r="G18" s="612">
        <f>AA18+BE18+CI18+DL18+DN18</f>
        <v>32461390719</v>
      </c>
      <c r="H18" s="467">
        <v>632180000</v>
      </c>
      <c r="I18" s="467">
        <v>632180000</v>
      </c>
      <c r="J18" s="467">
        <v>0</v>
      </c>
      <c r="K18" s="467">
        <v>632180000</v>
      </c>
      <c r="L18" s="467">
        <v>0</v>
      </c>
      <c r="M18" s="467">
        <v>632180000</v>
      </c>
      <c r="N18" s="467">
        <v>183792000</v>
      </c>
      <c r="O18" s="467">
        <v>632180000</v>
      </c>
      <c r="P18" s="467">
        <f>N18+6270000</f>
        <v>190062000</v>
      </c>
      <c r="Q18" s="467">
        <v>632180000</v>
      </c>
      <c r="R18" s="467">
        <f>+P18</f>
        <v>190062000</v>
      </c>
      <c r="S18" s="467">
        <v>632180000</v>
      </c>
      <c r="T18" s="467">
        <v>208073593</v>
      </c>
      <c r="U18" s="467">
        <v>588967593</v>
      </c>
      <c r="V18" s="467">
        <v>543446593</v>
      </c>
      <c r="W18" s="467"/>
      <c r="X18" s="467"/>
      <c r="Y18" s="467"/>
      <c r="Z18" s="467">
        <v>588967593</v>
      </c>
      <c r="AA18" s="468">
        <v>543446593</v>
      </c>
      <c r="AB18" s="477">
        <v>5009181000</v>
      </c>
      <c r="AC18" s="467">
        <v>0</v>
      </c>
      <c r="AD18" s="467">
        <v>0</v>
      </c>
      <c r="AE18" s="467">
        <v>0</v>
      </c>
      <c r="AF18" s="467">
        <v>0</v>
      </c>
      <c r="AG18" s="467">
        <v>226464000</v>
      </c>
      <c r="AH18" s="467">
        <v>226464000</v>
      </c>
      <c r="AI18" s="467">
        <v>213632000</v>
      </c>
      <c r="AJ18" s="467">
        <v>213632000</v>
      </c>
      <c r="AK18" s="467">
        <v>0</v>
      </c>
      <c r="AL18" s="467">
        <v>0</v>
      </c>
      <c r="AM18" s="467">
        <v>0</v>
      </c>
      <c r="AN18" s="467">
        <v>68323000</v>
      </c>
      <c r="AO18" s="469">
        <f>571823000</f>
        <v>571823000</v>
      </c>
      <c r="AP18" s="467">
        <v>0</v>
      </c>
      <c r="AQ18" s="467">
        <v>0</v>
      </c>
      <c r="AR18" s="467">
        <v>0</v>
      </c>
      <c r="AS18" s="467">
        <f>258186000+125036000-191630673</f>
        <v>191591327</v>
      </c>
      <c r="AT18" s="467">
        <v>3500000</v>
      </c>
      <c r="AU18" s="467">
        <v>2631583942</v>
      </c>
      <c r="AV18" s="467">
        <v>403971071</v>
      </c>
      <c r="AW18" s="467">
        <v>0</v>
      </c>
      <c r="AX18" s="467">
        <v>0</v>
      </c>
      <c r="AY18" s="467">
        <v>297053713</v>
      </c>
      <c r="AZ18" s="467">
        <v>2605714423</v>
      </c>
      <c r="BA18" s="468">
        <f t="shared" si="44"/>
        <v>4132147982</v>
      </c>
      <c r="BB18" s="468">
        <f t="shared" ref="BB18:BC18" si="59">AC18+AE18+AG18+AI18+AK18+AM18+AO18+AQ18+AS18+AU18+AW18+AY18</f>
        <v>4132147982</v>
      </c>
      <c r="BC18" s="468">
        <f t="shared" si="59"/>
        <v>3521604494</v>
      </c>
      <c r="BD18" s="468">
        <f t="shared" si="46"/>
        <v>4132147982</v>
      </c>
      <c r="BE18" s="468">
        <f t="shared" si="47"/>
        <v>3521604494</v>
      </c>
      <c r="BF18" s="468">
        <v>7818660000</v>
      </c>
      <c r="BG18" s="469">
        <v>840161000</v>
      </c>
      <c r="BH18" s="469">
        <v>840161000</v>
      </c>
      <c r="BI18" s="469">
        <v>0</v>
      </c>
      <c r="BJ18" s="467">
        <v>0</v>
      </c>
      <c r="BK18" s="469">
        <v>0</v>
      </c>
      <c r="BL18" s="467">
        <v>0</v>
      </c>
      <c r="BM18" s="469">
        <v>324000000</v>
      </c>
      <c r="BN18" s="467">
        <v>320598750</v>
      </c>
      <c r="BO18" s="469">
        <v>15649000</v>
      </c>
      <c r="BP18" s="467">
        <v>0</v>
      </c>
      <c r="BQ18" s="469">
        <v>0</v>
      </c>
      <c r="BR18" s="467">
        <v>0</v>
      </c>
      <c r="BS18" s="469">
        <f>201151000-9338000+12630000</f>
        <v>204443000</v>
      </c>
      <c r="BT18" s="467">
        <v>0</v>
      </c>
      <c r="BU18" s="467">
        <v>0</v>
      </c>
      <c r="BV18" s="467">
        <v>20114014</v>
      </c>
      <c r="BW18" s="467">
        <v>0</v>
      </c>
      <c r="BX18" s="467">
        <v>16029937</v>
      </c>
      <c r="BY18" s="467">
        <v>6426000000</v>
      </c>
      <c r="BZ18" s="467">
        <v>0</v>
      </c>
      <c r="CA18" s="467">
        <f>11699000+16030000-10623973</f>
        <v>17105027</v>
      </c>
      <c r="CB18" s="467">
        <v>15131400</v>
      </c>
      <c r="CC18" s="467">
        <f>53985500</f>
        <v>53985500</v>
      </c>
      <c r="CD18" s="467">
        <v>6666805234</v>
      </c>
      <c r="CE18" s="467">
        <f t="shared" si="48"/>
        <v>7881343527</v>
      </c>
      <c r="CF18" s="467">
        <f t="shared" ref="CF18:CG18" si="60">BG18+BI18+BK18+BM18+BO18+BQ18+BS18+BU18+BW18+BY18+CA18+CC18</f>
        <v>7881343527</v>
      </c>
      <c r="CG18" s="467">
        <f t="shared" si="60"/>
        <v>7878840335</v>
      </c>
      <c r="CH18" s="467">
        <f t="shared" si="50"/>
        <v>7881343527</v>
      </c>
      <c r="CI18" s="467">
        <f t="shared" si="51"/>
        <v>7878840335</v>
      </c>
      <c r="CJ18" s="468">
        <v>15639526000</v>
      </c>
      <c r="CK18" s="469">
        <v>11982335825</v>
      </c>
      <c r="CL18" s="469">
        <v>11982335825</v>
      </c>
      <c r="CM18" s="469">
        <v>819523000</v>
      </c>
      <c r="CN18" s="469">
        <v>819523000</v>
      </c>
      <c r="CO18" s="469">
        <v>154974000</v>
      </c>
      <c r="CP18" s="469">
        <v>154974000</v>
      </c>
      <c r="CQ18" s="469">
        <v>200000000</v>
      </c>
      <c r="CR18" s="467">
        <v>0</v>
      </c>
      <c r="CS18" s="469">
        <v>0</v>
      </c>
      <c r="CT18" s="467">
        <v>0</v>
      </c>
      <c r="CU18" s="469">
        <f>2414395175+1255245297-104974000</f>
        <v>3564666472</v>
      </c>
      <c r="CV18" s="467">
        <v>0</v>
      </c>
      <c r="CW18" s="467">
        <v>0</v>
      </c>
      <c r="CX18" s="467">
        <v>0</v>
      </c>
      <c r="CY18" s="467">
        <v>0</v>
      </c>
      <c r="CZ18" s="467">
        <v>0</v>
      </c>
      <c r="DA18" s="467">
        <v>0</v>
      </c>
      <c r="DB18" s="467">
        <v>0</v>
      </c>
      <c r="DC18" s="467">
        <v>0</v>
      </c>
      <c r="DD18" s="467">
        <v>0</v>
      </c>
      <c r="DE18" s="467">
        <v>0</v>
      </c>
      <c r="DF18" s="467">
        <v>0</v>
      </c>
      <c r="DG18" s="467">
        <v>0</v>
      </c>
      <c r="DH18" s="467">
        <v>0</v>
      </c>
      <c r="DI18" s="468">
        <f t="shared" ref="DI18:DI20" si="61">DG18+DE18+DC18+DA18+CW18+CU18+CS18+CQ18+CO18+CM18+CK18+CY18</f>
        <v>16721499297</v>
      </c>
      <c r="DJ18" s="468">
        <f>CK18+CM18+CO18</f>
        <v>12956832825</v>
      </c>
      <c r="DK18" s="468">
        <f>CL18+CN18+CP18</f>
        <v>12956832825</v>
      </c>
      <c r="DL18" s="467">
        <f t="shared" si="52"/>
        <v>16721499297</v>
      </c>
      <c r="DM18" s="467">
        <f t="shared" si="53"/>
        <v>12956832825</v>
      </c>
      <c r="DN18" s="467">
        <v>3796000000</v>
      </c>
      <c r="DO18" s="478"/>
      <c r="DP18" s="478"/>
      <c r="DQ18" s="478"/>
      <c r="DR18" s="478"/>
      <c r="DS18" s="478"/>
      <c r="DT18" s="478"/>
      <c r="DU18" s="478"/>
      <c r="DV18" s="478"/>
      <c r="DW18" s="478"/>
      <c r="DX18" s="478"/>
      <c r="DY18" s="478"/>
      <c r="DZ18" s="478"/>
      <c r="EA18" s="478"/>
      <c r="EB18" s="478"/>
      <c r="EC18" s="478"/>
      <c r="ED18" s="478"/>
      <c r="EE18" s="478"/>
      <c r="EF18" s="478"/>
      <c r="EG18" s="478"/>
      <c r="EH18" s="478"/>
      <c r="EI18" s="478"/>
      <c r="EJ18" s="478"/>
      <c r="EK18" s="478"/>
      <c r="EL18" s="478"/>
      <c r="EM18" s="478"/>
      <c r="EN18" s="478"/>
      <c r="EO18" s="478"/>
      <c r="EP18" s="478"/>
      <c r="EQ18" s="478"/>
      <c r="ER18" s="465">
        <f t="shared" ref="ER18:ER37" si="62">CP18/CO18</f>
        <v>1</v>
      </c>
      <c r="ES18" s="466">
        <f t="shared" ref="ES18:ES37" si="63">DK18/DJ18</f>
        <v>1</v>
      </c>
      <c r="ET18" s="465">
        <f t="shared" ref="ET18:ET37" si="64">DM18/DL18</f>
        <v>0.7748607104462566</v>
      </c>
      <c r="EU18" s="465">
        <f t="shared" ref="EU18:EU37" si="65">(AA18+BE18+CI18+DK18)/(Z18+BD18+CH18+DJ18)</f>
        <v>0.97423372752731419</v>
      </c>
      <c r="EV18" s="465">
        <f t="shared" ref="EV18:EV37" si="66">(AA18+BE18+CI18+DM18)/G18</f>
        <v>0.76708741355389121</v>
      </c>
      <c r="EW18" s="823"/>
      <c r="EX18" s="758"/>
      <c r="EY18" s="758"/>
      <c r="EZ18" s="758"/>
      <c r="FA18" s="758"/>
    </row>
    <row r="19" spans="1:157" ht="29.25" customHeight="1" x14ac:dyDescent="0.25">
      <c r="A19" s="827"/>
      <c r="B19" s="836"/>
      <c r="C19" s="833"/>
      <c r="D19" s="833"/>
      <c r="E19" s="827"/>
      <c r="F19" s="458" t="s">
        <v>103</v>
      </c>
      <c r="G19" s="612"/>
      <c r="H19" s="478"/>
      <c r="I19" s="478"/>
      <c r="J19" s="478"/>
      <c r="K19" s="478"/>
      <c r="L19" s="478"/>
      <c r="M19" s="478"/>
      <c r="N19" s="478"/>
      <c r="O19" s="478"/>
      <c r="P19" s="478"/>
      <c r="Q19" s="478"/>
      <c r="R19" s="478"/>
      <c r="S19" s="478"/>
      <c r="T19" s="478"/>
      <c r="U19" s="478"/>
      <c r="V19" s="478"/>
      <c r="W19" s="478"/>
      <c r="X19" s="478"/>
      <c r="Y19" s="478"/>
      <c r="Z19" s="467"/>
      <c r="AA19" s="468"/>
      <c r="AB19" s="479"/>
      <c r="AC19" s="467">
        <v>0</v>
      </c>
      <c r="AD19" s="467">
        <v>0</v>
      </c>
      <c r="AE19" s="467">
        <v>0</v>
      </c>
      <c r="AF19" s="467">
        <v>0</v>
      </c>
      <c r="AG19" s="467">
        <v>0</v>
      </c>
      <c r="AH19" s="467">
        <v>0</v>
      </c>
      <c r="AI19" s="474">
        <v>196733</v>
      </c>
      <c r="AJ19" s="474">
        <v>196733</v>
      </c>
      <c r="AK19" s="467">
        <v>37336700</v>
      </c>
      <c r="AL19" s="467">
        <v>37336700</v>
      </c>
      <c r="AM19" s="467">
        <v>72318000</v>
      </c>
      <c r="AN19" s="467">
        <v>28238400</v>
      </c>
      <c r="AO19" s="467">
        <v>68482000</v>
      </c>
      <c r="AP19" s="467">
        <v>50061867</v>
      </c>
      <c r="AQ19" s="469">
        <v>571823000</v>
      </c>
      <c r="AR19" s="467">
        <v>63673866</v>
      </c>
      <c r="AS19" s="467">
        <f>258186000-191630673</f>
        <v>66555327</v>
      </c>
      <c r="AT19" s="467">
        <v>92630462</v>
      </c>
      <c r="AU19" s="467">
        <v>1000000000</v>
      </c>
      <c r="AV19" s="467">
        <v>74794405</v>
      </c>
      <c r="AW19" s="467">
        <v>1631583942</v>
      </c>
      <c r="AX19" s="467">
        <v>67309000</v>
      </c>
      <c r="AY19" s="467">
        <f>604313567+125036000+12659000</f>
        <v>742008567</v>
      </c>
      <c r="AZ19" s="467">
        <v>34943595</v>
      </c>
      <c r="BA19" s="472">
        <f t="shared" si="44"/>
        <v>4190304269</v>
      </c>
      <c r="BB19" s="472">
        <f t="shared" ref="BB19:BC19" si="67">AC19+AE19+AG19+AI19+AK19+AM19+AO19+AQ19+AS19+AU19+AW19+AY19</f>
        <v>4190304269</v>
      </c>
      <c r="BC19" s="472">
        <f t="shared" si="67"/>
        <v>449185028</v>
      </c>
      <c r="BD19" s="468">
        <f t="shared" ref="BD19:BD21" si="68">BA19+AA19</f>
        <v>4190304269</v>
      </c>
      <c r="BE19" s="468">
        <f t="shared" ref="BE19:BE21" si="69">BC19+AA19</f>
        <v>449185028</v>
      </c>
      <c r="BF19" s="468">
        <v>7818660000</v>
      </c>
      <c r="BG19" s="467">
        <v>0</v>
      </c>
      <c r="BH19" s="467">
        <v>0</v>
      </c>
      <c r="BI19" s="467">
        <v>13406818</v>
      </c>
      <c r="BJ19" s="467">
        <v>0</v>
      </c>
      <c r="BK19" s="467">
        <v>78137818</v>
      </c>
      <c r="BL19" s="467">
        <v>57306881</v>
      </c>
      <c r="BM19" s="467">
        <v>78137818</v>
      </c>
      <c r="BN19" s="467">
        <v>97475488</v>
      </c>
      <c r="BO19" s="467">
        <f>159137818-9338000</f>
        <v>149799818</v>
      </c>
      <c r="BP19" s="467">
        <v>83824000</v>
      </c>
      <c r="BQ19" s="467">
        <v>174786818</v>
      </c>
      <c r="BR19" s="467">
        <v>57141000</v>
      </c>
      <c r="BS19" s="467">
        <v>194329652</v>
      </c>
      <c r="BT19" s="467">
        <v>169630318</v>
      </c>
      <c r="BU19" s="467">
        <v>194329652</v>
      </c>
      <c r="BV19" s="467">
        <v>130772627</v>
      </c>
      <c r="BW19" s="467">
        <v>110829652</v>
      </c>
      <c r="BX19" s="467">
        <v>136433830</v>
      </c>
      <c r="BY19" s="467">
        <v>2252829652</v>
      </c>
      <c r="BZ19" s="467">
        <v>108022123</v>
      </c>
      <c r="CA19" s="467">
        <f>2264528652+16030000-10623973</f>
        <v>2269934679</v>
      </c>
      <c r="CB19" s="467">
        <v>97881032</v>
      </c>
      <c r="CC19" s="467">
        <f>2298205650+12630000+53985500</f>
        <v>2364821150</v>
      </c>
      <c r="CD19" s="467">
        <v>113419278</v>
      </c>
      <c r="CE19" s="467">
        <f t="shared" si="48"/>
        <v>7881343527</v>
      </c>
      <c r="CF19" s="467">
        <f>BG19+BI19+BK19+BM19+BO19+BQ19+BS19+BU19+BW19+BY19+CA19</f>
        <v>5516522377</v>
      </c>
      <c r="CG19" s="467">
        <f t="shared" ref="CG19:CG21" si="70">BH19+BJ19+BL19+BN19+BP19+BR19+BT19+BV19+BX19+BZ19+CB19+CD19</f>
        <v>1051906577</v>
      </c>
      <c r="CH19" s="467">
        <f t="shared" si="50"/>
        <v>7881343527</v>
      </c>
      <c r="CI19" s="467">
        <f t="shared" si="51"/>
        <v>1051906577</v>
      </c>
      <c r="CJ19" s="468">
        <v>15639526000</v>
      </c>
      <c r="CK19" s="467">
        <v>0</v>
      </c>
      <c r="CL19" s="467">
        <v>0</v>
      </c>
      <c r="CM19" s="469">
        <v>0</v>
      </c>
      <c r="CN19" s="467">
        <v>0</v>
      </c>
      <c r="CO19" s="469">
        <v>14962500</v>
      </c>
      <c r="CP19" s="469">
        <v>14962500</v>
      </c>
      <c r="CQ19" s="469">
        <v>95510000</v>
      </c>
      <c r="CR19" s="467">
        <v>0</v>
      </c>
      <c r="CS19" s="469">
        <v>95510000</v>
      </c>
      <c r="CT19" s="467">
        <v>0</v>
      </c>
      <c r="CU19" s="469">
        <v>95510000</v>
      </c>
      <c r="CV19" s="467">
        <v>0</v>
      </c>
      <c r="CW19" s="469">
        <v>132617545</v>
      </c>
      <c r="CX19" s="467">
        <v>0</v>
      </c>
      <c r="CY19" s="469">
        <v>132617545</v>
      </c>
      <c r="CZ19" s="467">
        <v>0</v>
      </c>
      <c r="DA19" s="469">
        <v>6259980545</v>
      </c>
      <c r="DB19" s="467">
        <v>0</v>
      </c>
      <c r="DC19" s="469">
        <v>4112617545</v>
      </c>
      <c r="DD19" s="467">
        <v>0</v>
      </c>
      <c r="DE19" s="469">
        <v>2987385842</v>
      </c>
      <c r="DF19" s="467">
        <v>0</v>
      </c>
      <c r="DG19" s="469">
        <f>1589764850+67793545+500000000+637229380</f>
        <v>2794787775</v>
      </c>
      <c r="DH19" s="467">
        <v>0</v>
      </c>
      <c r="DI19" s="468">
        <f t="shared" si="61"/>
        <v>16721499297</v>
      </c>
      <c r="DJ19" s="468">
        <f t="shared" ref="DJ19:DJ21" si="71">CK19+CM19+CO19</f>
        <v>14962500</v>
      </c>
      <c r="DK19" s="468">
        <f t="shared" ref="DK19:DK21" si="72">CL19+CN19+CP19</f>
        <v>14962500</v>
      </c>
      <c r="DL19" s="467">
        <f t="shared" si="52"/>
        <v>16721499297</v>
      </c>
      <c r="DM19" s="467">
        <f t="shared" si="53"/>
        <v>14962500</v>
      </c>
      <c r="DN19" s="467">
        <v>0</v>
      </c>
      <c r="DO19" s="478"/>
      <c r="DP19" s="478"/>
      <c r="DQ19" s="478"/>
      <c r="DR19" s="478"/>
      <c r="DS19" s="478"/>
      <c r="DT19" s="478"/>
      <c r="DU19" s="478"/>
      <c r="DV19" s="478"/>
      <c r="DW19" s="478"/>
      <c r="DX19" s="478"/>
      <c r="DY19" s="478"/>
      <c r="DZ19" s="478"/>
      <c r="EA19" s="478"/>
      <c r="EB19" s="478"/>
      <c r="EC19" s="478"/>
      <c r="ED19" s="478"/>
      <c r="EE19" s="478"/>
      <c r="EF19" s="478"/>
      <c r="EG19" s="478"/>
      <c r="EH19" s="478"/>
      <c r="EI19" s="478"/>
      <c r="EJ19" s="478"/>
      <c r="EK19" s="478"/>
      <c r="EL19" s="478"/>
      <c r="EM19" s="478"/>
      <c r="EN19" s="478"/>
      <c r="EO19" s="478"/>
      <c r="EP19" s="478"/>
      <c r="EQ19" s="478"/>
      <c r="ER19" s="465">
        <f t="shared" si="62"/>
        <v>1</v>
      </c>
      <c r="ES19" s="466">
        <f t="shared" si="63"/>
        <v>1</v>
      </c>
      <c r="ET19" s="465">
        <f t="shared" si="64"/>
        <v>8.9480612558973213E-4</v>
      </c>
      <c r="EU19" s="465">
        <f t="shared" si="65"/>
        <v>0.1254325297061766</v>
      </c>
      <c r="EV19" s="465">
        <f>IFERROR((AA19+BE19+CI19+DM19)/G19,0)</f>
        <v>0</v>
      </c>
      <c r="EW19" s="823"/>
      <c r="EX19" s="758"/>
      <c r="EY19" s="758"/>
      <c r="EZ19" s="758"/>
      <c r="FA19" s="758"/>
    </row>
    <row r="20" spans="1:157" ht="29.25" customHeight="1" x14ac:dyDescent="0.25">
      <c r="A20" s="827"/>
      <c r="B20" s="836"/>
      <c r="C20" s="833"/>
      <c r="D20" s="833"/>
      <c r="E20" s="827"/>
      <c r="F20" s="41" t="s">
        <v>104</v>
      </c>
      <c r="G20" s="613">
        <f>AA20+BE20+CI20+DL20+DN20</f>
        <v>155.15</v>
      </c>
      <c r="H20" s="470">
        <v>0</v>
      </c>
      <c r="I20" s="470">
        <v>0</v>
      </c>
      <c r="J20" s="470">
        <v>0</v>
      </c>
      <c r="K20" s="470">
        <v>0</v>
      </c>
      <c r="L20" s="470">
        <v>0</v>
      </c>
      <c r="M20" s="470">
        <v>0</v>
      </c>
      <c r="N20" s="470">
        <v>0</v>
      </c>
      <c r="O20" s="470">
        <v>0</v>
      </c>
      <c r="P20" s="470">
        <v>0</v>
      </c>
      <c r="Q20" s="470">
        <v>0</v>
      </c>
      <c r="R20" s="470">
        <v>0</v>
      </c>
      <c r="S20" s="470">
        <v>0</v>
      </c>
      <c r="T20" s="470">
        <v>0</v>
      </c>
      <c r="U20" s="470">
        <v>0</v>
      </c>
      <c r="V20" s="470">
        <v>0</v>
      </c>
      <c r="W20" s="470"/>
      <c r="X20" s="470"/>
      <c r="Y20" s="470"/>
      <c r="Z20" s="461">
        <v>0</v>
      </c>
      <c r="AA20" s="461">
        <v>0</v>
      </c>
      <c r="AB20" s="470">
        <v>0</v>
      </c>
      <c r="AC20" s="470">
        <v>0</v>
      </c>
      <c r="AD20" s="470">
        <v>0</v>
      </c>
      <c r="AE20" s="470">
        <v>0</v>
      </c>
      <c r="AF20" s="470">
        <v>0</v>
      </c>
      <c r="AG20" s="470">
        <v>0</v>
      </c>
      <c r="AH20" s="470">
        <v>0</v>
      </c>
      <c r="AI20" s="470">
        <v>0</v>
      </c>
      <c r="AJ20" s="470">
        <v>0</v>
      </c>
      <c r="AK20" s="470">
        <v>0</v>
      </c>
      <c r="AL20" s="470">
        <v>0</v>
      </c>
      <c r="AM20" s="470">
        <v>0</v>
      </c>
      <c r="AN20" s="470">
        <v>0</v>
      </c>
      <c r="AO20" s="470">
        <v>0</v>
      </c>
      <c r="AP20" s="470">
        <v>0</v>
      </c>
      <c r="AQ20" s="470">
        <v>0</v>
      </c>
      <c r="AR20" s="470">
        <v>0</v>
      </c>
      <c r="AS20" s="470">
        <v>0</v>
      </c>
      <c r="AT20" s="470">
        <v>0</v>
      </c>
      <c r="AU20" s="470">
        <v>0</v>
      </c>
      <c r="AV20" s="470">
        <v>0</v>
      </c>
      <c r="AW20" s="470">
        <v>0</v>
      </c>
      <c r="AX20" s="470">
        <v>0</v>
      </c>
      <c r="AY20" s="470">
        <v>0</v>
      </c>
      <c r="AZ20" s="470">
        <v>0</v>
      </c>
      <c r="BA20" s="470">
        <v>0</v>
      </c>
      <c r="BB20" s="470">
        <v>0</v>
      </c>
      <c r="BC20" s="472">
        <f>AD20+AF20+AH20+AJ20+AL20+AN20+AP20+AR20</f>
        <v>0</v>
      </c>
      <c r="BD20" s="462">
        <f t="shared" si="68"/>
        <v>0</v>
      </c>
      <c r="BE20" s="462">
        <f t="shared" si="69"/>
        <v>0</v>
      </c>
      <c r="BF20" s="462">
        <v>35.81</v>
      </c>
      <c r="BG20" s="461">
        <v>0</v>
      </c>
      <c r="BH20" s="461">
        <v>0</v>
      </c>
      <c r="BI20" s="461">
        <v>0</v>
      </c>
      <c r="BJ20" s="461">
        <v>0</v>
      </c>
      <c r="BK20" s="461">
        <v>0</v>
      </c>
      <c r="BL20" s="461">
        <v>0</v>
      </c>
      <c r="BM20" s="461">
        <v>5</v>
      </c>
      <c r="BN20" s="461">
        <v>0</v>
      </c>
      <c r="BO20" s="461">
        <v>15</v>
      </c>
      <c r="BP20" s="461">
        <v>0</v>
      </c>
      <c r="BQ20" s="461">
        <v>15.81</v>
      </c>
      <c r="BR20" s="461">
        <v>21.78</v>
      </c>
      <c r="BS20" s="461">
        <v>0</v>
      </c>
      <c r="BT20" s="461">
        <v>14.03</v>
      </c>
      <c r="BU20" s="461">
        <v>0</v>
      </c>
      <c r="BV20" s="461">
        <v>0</v>
      </c>
      <c r="BW20" s="461">
        <v>0</v>
      </c>
      <c r="BX20" s="461">
        <v>0</v>
      </c>
      <c r="BY20" s="461">
        <v>0</v>
      </c>
      <c r="BZ20" s="461">
        <v>0</v>
      </c>
      <c r="CA20" s="461">
        <v>0</v>
      </c>
      <c r="CB20" s="461">
        <v>0</v>
      </c>
      <c r="CC20" s="461">
        <v>0</v>
      </c>
      <c r="CD20" s="461">
        <v>0</v>
      </c>
      <c r="CE20" s="461">
        <f t="shared" si="48"/>
        <v>35.81</v>
      </c>
      <c r="CF20" s="462">
        <f>BG20+BI20+BK20+BM20+BO20+BQ20+BS20+BU20+BW20</f>
        <v>35.81</v>
      </c>
      <c r="CG20" s="461">
        <f t="shared" si="70"/>
        <v>35.81</v>
      </c>
      <c r="CH20" s="461">
        <f t="shared" si="50"/>
        <v>35.81</v>
      </c>
      <c r="CI20" s="461">
        <f t="shared" si="51"/>
        <v>35.81</v>
      </c>
      <c r="CJ20" s="461">
        <v>119.34</v>
      </c>
      <c r="CK20" s="461">
        <v>0</v>
      </c>
      <c r="CL20" s="461">
        <v>0</v>
      </c>
      <c r="CM20" s="461">
        <v>0</v>
      </c>
      <c r="CN20" s="461">
        <v>0</v>
      </c>
      <c r="CO20" s="473">
        <v>0</v>
      </c>
      <c r="CP20" s="473">
        <v>0</v>
      </c>
      <c r="CQ20" s="461">
        <v>0</v>
      </c>
      <c r="CR20" s="461">
        <v>0</v>
      </c>
      <c r="CS20" s="461">
        <v>20</v>
      </c>
      <c r="CT20" s="461">
        <v>0</v>
      </c>
      <c r="CU20" s="461">
        <v>30</v>
      </c>
      <c r="CV20" s="461">
        <v>0</v>
      </c>
      <c r="CW20" s="461">
        <v>30</v>
      </c>
      <c r="CX20" s="461">
        <v>0</v>
      </c>
      <c r="CY20" s="461">
        <v>39.340000000000003</v>
      </c>
      <c r="CZ20" s="461">
        <v>0</v>
      </c>
      <c r="DA20" s="461">
        <v>0</v>
      </c>
      <c r="DB20" s="461">
        <v>0</v>
      </c>
      <c r="DC20" s="461">
        <v>0</v>
      </c>
      <c r="DD20" s="461">
        <v>0</v>
      </c>
      <c r="DE20" s="461">
        <v>0</v>
      </c>
      <c r="DF20" s="461">
        <v>0</v>
      </c>
      <c r="DG20" s="461">
        <v>0</v>
      </c>
      <c r="DH20" s="461">
        <v>0</v>
      </c>
      <c r="DI20" s="462">
        <f t="shared" si="61"/>
        <v>119.34</v>
      </c>
      <c r="DJ20" s="468">
        <f t="shared" si="71"/>
        <v>0</v>
      </c>
      <c r="DK20" s="468">
        <f t="shared" si="72"/>
        <v>0</v>
      </c>
      <c r="DL20" s="461">
        <f t="shared" si="52"/>
        <v>119.34</v>
      </c>
      <c r="DM20" s="461">
        <f t="shared" si="53"/>
        <v>0</v>
      </c>
      <c r="DN20" s="461">
        <v>0</v>
      </c>
      <c r="DO20" s="470">
        <v>0</v>
      </c>
      <c r="DP20" s="470">
        <v>0</v>
      </c>
      <c r="DQ20" s="470">
        <v>0</v>
      </c>
      <c r="DR20" s="470">
        <v>0</v>
      </c>
      <c r="DS20" s="470">
        <v>0</v>
      </c>
      <c r="DT20" s="470">
        <v>0</v>
      </c>
      <c r="DU20" s="470">
        <v>0</v>
      </c>
      <c r="DV20" s="470">
        <v>0</v>
      </c>
      <c r="DW20" s="470">
        <v>0</v>
      </c>
      <c r="DX20" s="470">
        <v>0</v>
      </c>
      <c r="DY20" s="470">
        <v>0</v>
      </c>
      <c r="DZ20" s="470">
        <v>0</v>
      </c>
      <c r="EA20" s="470">
        <v>0</v>
      </c>
      <c r="EB20" s="470">
        <v>0</v>
      </c>
      <c r="EC20" s="470">
        <v>0</v>
      </c>
      <c r="ED20" s="470">
        <v>0</v>
      </c>
      <c r="EE20" s="470">
        <v>0</v>
      </c>
      <c r="EF20" s="470">
        <v>0</v>
      </c>
      <c r="EG20" s="470">
        <v>0</v>
      </c>
      <c r="EH20" s="470">
        <v>0</v>
      </c>
      <c r="EI20" s="470">
        <v>0</v>
      </c>
      <c r="EJ20" s="470">
        <v>0</v>
      </c>
      <c r="EK20" s="470"/>
      <c r="EL20" s="470">
        <v>0</v>
      </c>
      <c r="EM20" s="470"/>
      <c r="EN20" s="470"/>
      <c r="EO20" s="470"/>
      <c r="EP20" s="470"/>
      <c r="EQ20" s="470">
        <v>0</v>
      </c>
      <c r="ER20" s="465">
        <f>IFERROR(CP20/CO20,0)</f>
        <v>0</v>
      </c>
      <c r="ES20" s="466">
        <f>IFERROR(DK20/DJ20,0)</f>
        <v>0</v>
      </c>
      <c r="ET20" s="465">
        <f t="shared" si="64"/>
        <v>0</v>
      </c>
      <c r="EU20" s="465">
        <f t="shared" si="65"/>
        <v>1</v>
      </c>
      <c r="EV20" s="465">
        <f t="shared" si="66"/>
        <v>0.23080889461811152</v>
      </c>
      <c r="EW20" s="823"/>
      <c r="EX20" s="758"/>
      <c r="EY20" s="758"/>
      <c r="EZ20" s="758"/>
      <c r="FA20" s="758"/>
    </row>
    <row r="21" spans="1:157" ht="29.25" customHeight="1" x14ac:dyDescent="0.25">
      <c r="A21" s="827"/>
      <c r="B21" s="836"/>
      <c r="C21" s="833"/>
      <c r="D21" s="833"/>
      <c r="E21" s="827"/>
      <c r="F21" s="457" t="s">
        <v>105</v>
      </c>
      <c r="G21" s="612">
        <f>AA21+BE21+CI21+DL21+DN21</f>
        <v>10204233071</v>
      </c>
      <c r="H21" s="467">
        <v>0</v>
      </c>
      <c r="I21" s="467">
        <v>0</v>
      </c>
      <c r="J21" s="467">
        <v>0</v>
      </c>
      <c r="K21" s="467">
        <v>0</v>
      </c>
      <c r="L21" s="467">
        <v>0</v>
      </c>
      <c r="M21" s="467">
        <v>0</v>
      </c>
      <c r="N21" s="467">
        <v>0</v>
      </c>
      <c r="O21" s="467">
        <v>0</v>
      </c>
      <c r="P21" s="467">
        <v>0</v>
      </c>
      <c r="Q21" s="467">
        <v>0</v>
      </c>
      <c r="R21" s="467">
        <v>0</v>
      </c>
      <c r="S21" s="467">
        <v>0</v>
      </c>
      <c r="T21" s="467">
        <v>0</v>
      </c>
      <c r="U21" s="467">
        <v>0</v>
      </c>
      <c r="V21" s="467">
        <v>0</v>
      </c>
      <c r="W21" s="467"/>
      <c r="X21" s="467"/>
      <c r="Y21" s="467"/>
      <c r="Z21" s="467">
        <v>0</v>
      </c>
      <c r="AA21" s="467">
        <v>0</v>
      </c>
      <c r="AB21" s="467">
        <v>385891501</v>
      </c>
      <c r="AC21" s="474">
        <v>35590000</v>
      </c>
      <c r="AD21" s="474">
        <v>35590000</v>
      </c>
      <c r="AE21" s="474">
        <v>42476267</v>
      </c>
      <c r="AF21" s="474">
        <v>42476267</v>
      </c>
      <c r="AG21" s="474">
        <v>18093934</v>
      </c>
      <c r="AH21" s="474">
        <v>18093934</v>
      </c>
      <c r="AI21" s="474">
        <v>25732992</v>
      </c>
      <c r="AJ21" s="474">
        <v>25732992</v>
      </c>
      <c r="AK21" s="467">
        <v>0</v>
      </c>
      <c r="AL21" s="467">
        <v>0</v>
      </c>
      <c r="AM21" s="467">
        <v>0</v>
      </c>
      <c r="AN21" s="467">
        <v>6540300</v>
      </c>
      <c r="AO21" s="467">
        <v>0</v>
      </c>
      <c r="AP21" s="467">
        <v>4400000</v>
      </c>
      <c r="AQ21" s="467">
        <f>263998308</f>
        <v>263998308</v>
      </c>
      <c r="AR21" s="467">
        <v>0</v>
      </c>
      <c r="AS21" s="467">
        <v>0</v>
      </c>
      <c r="AT21" s="467">
        <v>0</v>
      </c>
      <c r="AU21" s="467">
        <v>0</v>
      </c>
      <c r="AV21" s="467">
        <v>0</v>
      </c>
      <c r="AW21" s="467">
        <v>0</v>
      </c>
      <c r="AX21" s="467">
        <v>0</v>
      </c>
      <c r="AY21" s="467">
        <v>0</v>
      </c>
      <c r="AZ21" s="467">
        <v>202446406</v>
      </c>
      <c r="BA21" s="468">
        <f>AC21+AE21+AG21+AI21+AK21+AM21+AO21+AQ21+AS21+AU21+AW21+AY21</f>
        <v>385891501</v>
      </c>
      <c r="BB21" s="468">
        <f t="shared" ref="BB21:BC21" si="73">AC21+AE21+AG21+AI21+AK21+AM21+AO21+AQ21+AS21+AU21+AW21+AY21</f>
        <v>385891501</v>
      </c>
      <c r="BC21" s="468">
        <f t="shared" si="73"/>
        <v>335279899</v>
      </c>
      <c r="BD21" s="468">
        <f t="shared" si="68"/>
        <v>385891501</v>
      </c>
      <c r="BE21" s="468">
        <f t="shared" si="69"/>
        <v>335279899</v>
      </c>
      <c r="BF21" s="469">
        <f>3084741415-12321949</f>
        <v>3072419466</v>
      </c>
      <c r="BG21" s="467">
        <v>19733867</v>
      </c>
      <c r="BH21" s="467">
        <v>19733867</v>
      </c>
      <c r="BI21" s="467">
        <v>84040390</v>
      </c>
      <c r="BJ21" s="467">
        <v>19185867</v>
      </c>
      <c r="BK21" s="467">
        <v>1036819806</v>
      </c>
      <c r="BL21" s="467">
        <v>135657552</v>
      </c>
      <c r="BM21" s="467">
        <f>98300360-1278767</f>
        <v>97021593</v>
      </c>
      <c r="BN21" s="467">
        <v>2301600</v>
      </c>
      <c r="BO21" s="467">
        <v>1619836194</v>
      </c>
      <c r="BP21" s="467">
        <v>1282108514</v>
      </c>
      <c r="BQ21" s="467">
        <v>28075915</v>
      </c>
      <c r="BR21" s="467">
        <v>150188383</v>
      </c>
      <c r="BS21" s="467">
        <f>184862001-26150-127867-47320176</f>
        <v>137387808</v>
      </c>
      <c r="BT21" s="467">
        <v>71375370</v>
      </c>
      <c r="BU21" s="467">
        <v>0</v>
      </c>
      <c r="BV21" s="467">
        <v>336287242</v>
      </c>
      <c r="BW21" s="469">
        <v>0</v>
      </c>
      <c r="BX21" s="467">
        <v>279599995</v>
      </c>
      <c r="BY21" s="469">
        <v>0</v>
      </c>
      <c r="BZ21" s="467">
        <v>175609762</v>
      </c>
      <c r="CA21" s="469">
        <v>0</v>
      </c>
      <c r="CB21" s="467">
        <v>0</v>
      </c>
      <c r="CC21" s="469">
        <v>47320176</v>
      </c>
      <c r="CD21" s="467">
        <v>569971262</v>
      </c>
      <c r="CE21" s="467">
        <f t="shared" si="48"/>
        <v>3070235749</v>
      </c>
      <c r="CF21" s="467">
        <f>BG21+BI21+BK21+BM21+BO21+BQ21+BS21+BU21+BW21+BY21+CA8+CA21+CC21</f>
        <v>3070235749</v>
      </c>
      <c r="CG21" s="467">
        <f t="shared" si="70"/>
        <v>3042019414</v>
      </c>
      <c r="CH21" s="467">
        <f t="shared" si="50"/>
        <v>3070235749</v>
      </c>
      <c r="CI21" s="467">
        <f t="shared" si="51"/>
        <v>3042019414</v>
      </c>
      <c r="CJ21" s="467">
        <v>6826933758</v>
      </c>
      <c r="CK21" s="467">
        <v>21349000</v>
      </c>
      <c r="CL21" s="467">
        <v>21349000</v>
      </c>
      <c r="CM21" s="467">
        <v>1726530234</v>
      </c>
      <c r="CN21" s="467">
        <v>1726530234</v>
      </c>
      <c r="CO21" s="469">
        <v>13338894</v>
      </c>
      <c r="CP21" s="469">
        <v>13338894</v>
      </c>
      <c r="CQ21" s="467">
        <v>456051553</v>
      </c>
      <c r="CR21" s="467">
        <v>0</v>
      </c>
      <c r="CS21" s="467">
        <v>1197418860</v>
      </c>
      <c r="CT21" s="467">
        <v>0</v>
      </c>
      <c r="CU21" s="467">
        <v>3126558369</v>
      </c>
      <c r="CV21" s="467">
        <v>0</v>
      </c>
      <c r="CW21" s="467">
        <v>285686848</v>
      </c>
      <c r="CX21" s="467">
        <v>0</v>
      </c>
      <c r="CY21" s="467">
        <v>0</v>
      </c>
      <c r="CZ21" s="467">
        <v>0</v>
      </c>
      <c r="DA21" s="467">
        <v>0</v>
      </c>
      <c r="DB21" s="467">
        <v>0</v>
      </c>
      <c r="DC21" s="467">
        <v>0</v>
      </c>
      <c r="DD21" s="467">
        <v>0</v>
      </c>
      <c r="DE21" s="467">
        <v>0</v>
      </c>
      <c r="DF21" s="467">
        <v>0</v>
      </c>
      <c r="DG21" s="467">
        <v>0</v>
      </c>
      <c r="DH21" s="467">
        <v>0</v>
      </c>
      <c r="DI21" s="468">
        <f>DG21+DE21+DC21+DA21+CW21+CU21+CS21+CQ21+CO21+CM21+CK21+CY21</f>
        <v>6826933758</v>
      </c>
      <c r="DJ21" s="468">
        <f t="shared" si="71"/>
        <v>1761218128</v>
      </c>
      <c r="DK21" s="468">
        <f t="shared" si="72"/>
        <v>1761218128</v>
      </c>
      <c r="DL21" s="467">
        <f t="shared" si="52"/>
        <v>6826933758</v>
      </c>
      <c r="DM21" s="467">
        <f t="shared" si="53"/>
        <v>1761218128</v>
      </c>
      <c r="DN21" s="467">
        <v>0</v>
      </c>
      <c r="DO21" s="467">
        <v>0</v>
      </c>
      <c r="DP21" s="467">
        <v>0</v>
      </c>
      <c r="DQ21" s="467">
        <v>0</v>
      </c>
      <c r="DR21" s="467">
        <v>0</v>
      </c>
      <c r="DS21" s="467">
        <v>0</v>
      </c>
      <c r="DT21" s="467">
        <v>0</v>
      </c>
      <c r="DU21" s="467">
        <v>0</v>
      </c>
      <c r="DV21" s="467">
        <v>0</v>
      </c>
      <c r="DW21" s="467">
        <v>0</v>
      </c>
      <c r="DX21" s="467">
        <v>0</v>
      </c>
      <c r="DY21" s="467">
        <v>0</v>
      </c>
      <c r="DZ21" s="467">
        <v>0</v>
      </c>
      <c r="EA21" s="467">
        <v>0</v>
      </c>
      <c r="EB21" s="467">
        <v>0</v>
      </c>
      <c r="EC21" s="467">
        <v>0</v>
      </c>
      <c r="ED21" s="467">
        <v>0</v>
      </c>
      <c r="EE21" s="467">
        <v>0</v>
      </c>
      <c r="EF21" s="467">
        <v>0</v>
      </c>
      <c r="EG21" s="467">
        <v>0</v>
      </c>
      <c r="EH21" s="467">
        <v>0</v>
      </c>
      <c r="EI21" s="467">
        <v>0</v>
      </c>
      <c r="EJ21" s="467">
        <v>0</v>
      </c>
      <c r="EK21" s="467"/>
      <c r="EL21" s="467">
        <v>0</v>
      </c>
      <c r="EM21" s="467"/>
      <c r="EN21" s="467"/>
      <c r="EO21" s="467"/>
      <c r="EP21" s="467"/>
      <c r="EQ21" s="467">
        <v>0</v>
      </c>
      <c r="ER21" s="465">
        <f t="shared" si="62"/>
        <v>1</v>
      </c>
      <c r="ES21" s="466">
        <f t="shared" si="63"/>
        <v>1</v>
      </c>
      <c r="ET21" s="465">
        <f t="shared" si="64"/>
        <v>0.25798084329383647</v>
      </c>
      <c r="EU21" s="465">
        <f t="shared" si="65"/>
        <v>0.98489117907884838</v>
      </c>
      <c r="EV21" s="465">
        <f t="shared" si="66"/>
        <v>0.50356723579780338</v>
      </c>
      <c r="EW21" s="823"/>
      <c r="EX21" s="758"/>
      <c r="EY21" s="758"/>
      <c r="EZ21" s="758"/>
      <c r="FA21" s="758"/>
    </row>
    <row r="22" spans="1:157" ht="29.25" customHeight="1" thickBot="1" x14ac:dyDescent="0.3">
      <c r="A22" s="827"/>
      <c r="B22" s="836"/>
      <c r="C22" s="833"/>
      <c r="D22" s="833"/>
      <c r="E22" s="827"/>
      <c r="F22" s="41" t="s">
        <v>106</v>
      </c>
      <c r="G22" s="615">
        <f>G17+G20</f>
        <v>370</v>
      </c>
      <c r="H22" s="508">
        <v>5</v>
      </c>
      <c r="I22" s="508">
        <v>5</v>
      </c>
      <c r="J22" s="508">
        <v>0</v>
      </c>
      <c r="K22" s="508">
        <v>5</v>
      </c>
      <c r="L22" s="508">
        <v>0</v>
      </c>
      <c r="M22" s="508">
        <v>5</v>
      </c>
      <c r="N22" s="508">
        <v>0</v>
      </c>
      <c r="O22" s="508">
        <v>5</v>
      </c>
      <c r="P22" s="509">
        <f>+P17</f>
        <v>0.24</v>
      </c>
      <c r="Q22" s="508">
        <v>5</v>
      </c>
      <c r="R22" s="509">
        <f>+R17</f>
        <v>1.54</v>
      </c>
      <c r="S22" s="508">
        <v>5</v>
      </c>
      <c r="T22" s="510">
        <f>+T17</f>
        <v>2.5379999999999998</v>
      </c>
      <c r="U22" s="508">
        <v>5</v>
      </c>
      <c r="V22" s="508">
        <v>5.49</v>
      </c>
      <c r="W22" s="508"/>
      <c r="X22" s="508"/>
      <c r="Y22" s="508"/>
      <c r="Z22" s="487">
        <v>5</v>
      </c>
      <c r="AA22" s="486">
        <v>5.49</v>
      </c>
      <c r="AB22" s="484">
        <f t="shared" ref="AB22:AB23" si="74">AB17+AB20</f>
        <v>50</v>
      </c>
      <c r="AC22" s="485">
        <f t="shared" ref="AC22:BB22" si="75">+AC17</f>
        <v>0.12</v>
      </c>
      <c r="AD22" s="485">
        <f t="shared" si="75"/>
        <v>0.12</v>
      </c>
      <c r="AE22" s="485">
        <f t="shared" si="75"/>
        <v>0</v>
      </c>
      <c r="AF22" s="485">
        <f t="shared" si="75"/>
        <v>0</v>
      </c>
      <c r="AG22" s="485">
        <f t="shared" si="75"/>
        <v>0</v>
      </c>
      <c r="AH22" s="485">
        <f t="shared" si="75"/>
        <v>0</v>
      </c>
      <c r="AI22" s="485">
        <f t="shared" si="75"/>
        <v>0</v>
      </c>
      <c r="AJ22" s="485">
        <f t="shared" si="75"/>
        <v>0</v>
      </c>
      <c r="AK22" s="485">
        <f t="shared" si="75"/>
        <v>0</v>
      </c>
      <c r="AL22" s="485">
        <f t="shared" si="75"/>
        <v>0</v>
      </c>
      <c r="AM22" s="485">
        <f t="shared" si="75"/>
        <v>0</v>
      </c>
      <c r="AN22" s="485">
        <f t="shared" si="75"/>
        <v>0.98</v>
      </c>
      <c r="AO22" s="485">
        <f t="shared" si="75"/>
        <v>0</v>
      </c>
      <c r="AP22" s="485">
        <f t="shared" si="75"/>
        <v>0</v>
      </c>
      <c r="AQ22" s="485">
        <f t="shared" si="75"/>
        <v>0</v>
      </c>
      <c r="AR22" s="485">
        <f t="shared" si="75"/>
        <v>0.63</v>
      </c>
      <c r="AS22" s="485">
        <f t="shared" si="75"/>
        <v>0</v>
      </c>
      <c r="AT22" s="485">
        <f t="shared" si="75"/>
        <v>0.51</v>
      </c>
      <c r="AU22" s="485">
        <f t="shared" si="75"/>
        <v>9.8800000000000008</v>
      </c>
      <c r="AV22" s="485">
        <f t="shared" si="75"/>
        <v>4.05</v>
      </c>
      <c r="AW22" s="485">
        <f t="shared" si="75"/>
        <v>20</v>
      </c>
      <c r="AX22" s="485">
        <f t="shared" si="75"/>
        <v>4.7699999999999996</v>
      </c>
      <c r="AY22" s="485">
        <f t="shared" si="75"/>
        <v>20</v>
      </c>
      <c r="AZ22" s="485">
        <f t="shared" si="75"/>
        <v>3.13</v>
      </c>
      <c r="BA22" s="485">
        <f t="shared" si="75"/>
        <v>50</v>
      </c>
      <c r="BB22" s="485">
        <f t="shared" si="75"/>
        <v>50</v>
      </c>
      <c r="BC22" s="485">
        <f>BC17</f>
        <v>14.189999999999998</v>
      </c>
      <c r="BD22" s="486">
        <f t="shared" ref="BD22:BE22" si="76">+BD17</f>
        <v>50</v>
      </c>
      <c r="BE22" s="486">
        <f t="shared" si="76"/>
        <v>14.189999999999998</v>
      </c>
      <c r="BF22" s="486">
        <f t="shared" ref="BF22:CE22" si="77">BF17+BF20</f>
        <v>185.81</v>
      </c>
      <c r="BG22" s="487">
        <f t="shared" si="77"/>
        <v>0</v>
      </c>
      <c r="BH22" s="487">
        <f t="shared" si="77"/>
        <v>0</v>
      </c>
      <c r="BI22" s="487">
        <f t="shared" si="77"/>
        <v>0</v>
      </c>
      <c r="BJ22" s="487">
        <f t="shared" si="77"/>
        <v>0</v>
      </c>
      <c r="BK22" s="487">
        <f t="shared" si="77"/>
        <v>1.84</v>
      </c>
      <c r="BL22" s="487">
        <f t="shared" si="77"/>
        <v>3.2</v>
      </c>
      <c r="BM22" s="487">
        <f t="shared" si="77"/>
        <v>5</v>
      </c>
      <c r="BN22" s="487">
        <f t="shared" si="77"/>
        <v>0.1</v>
      </c>
      <c r="BO22" s="487">
        <f t="shared" si="77"/>
        <v>15</v>
      </c>
      <c r="BP22" s="487">
        <f t="shared" si="77"/>
        <v>0.97</v>
      </c>
      <c r="BQ22" s="487">
        <f t="shared" si="77"/>
        <v>15.81</v>
      </c>
      <c r="BR22" s="487">
        <f t="shared" si="77"/>
        <v>21.87</v>
      </c>
      <c r="BS22" s="487">
        <f t="shared" si="77"/>
        <v>10</v>
      </c>
      <c r="BT22" s="487">
        <f t="shared" si="77"/>
        <v>26.56</v>
      </c>
      <c r="BU22" s="487">
        <f t="shared" si="77"/>
        <v>10.19</v>
      </c>
      <c r="BV22" s="487">
        <f t="shared" si="77"/>
        <v>0.13</v>
      </c>
      <c r="BW22" s="486">
        <f t="shared" si="77"/>
        <v>0.47</v>
      </c>
      <c r="BX22" s="486">
        <f t="shared" si="77"/>
        <v>7.44</v>
      </c>
      <c r="BY22" s="487">
        <f t="shared" si="77"/>
        <v>0.5</v>
      </c>
      <c r="BZ22" s="487">
        <f t="shared" si="77"/>
        <v>2.72</v>
      </c>
      <c r="CA22" s="486">
        <f t="shared" si="77"/>
        <v>60</v>
      </c>
      <c r="CB22" s="486">
        <f t="shared" si="77"/>
        <v>0.97</v>
      </c>
      <c r="CC22" s="486">
        <f t="shared" si="77"/>
        <v>67</v>
      </c>
      <c r="CD22" s="486">
        <f t="shared" si="77"/>
        <v>2.5099999999999998</v>
      </c>
      <c r="CE22" s="487">
        <f t="shared" si="77"/>
        <v>185.81</v>
      </c>
      <c r="CF22" s="486">
        <f>BG22+BI22+BK22+BM22+BO22+BQ22+BS22+BU22+BW22</f>
        <v>58.309999999999995</v>
      </c>
      <c r="CG22" s="487">
        <f t="shared" ref="CG22:CI22" si="78">CG17+CG20</f>
        <v>66.47</v>
      </c>
      <c r="CH22" s="487">
        <f t="shared" si="78"/>
        <v>185.81</v>
      </c>
      <c r="CI22" s="487">
        <f t="shared" si="78"/>
        <v>66.47</v>
      </c>
      <c r="CJ22" s="486">
        <f t="shared" ref="CJ22:DN22" si="79">+CJ17+CJ20</f>
        <v>254.34</v>
      </c>
      <c r="CK22" s="486">
        <f t="shared" si="79"/>
        <v>0</v>
      </c>
      <c r="CL22" s="486">
        <f t="shared" si="79"/>
        <v>0</v>
      </c>
      <c r="CM22" s="486">
        <f t="shared" si="79"/>
        <v>0.03</v>
      </c>
      <c r="CN22" s="486">
        <f t="shared" si="79"/>
        <v>2.9000000000000001E-2</v>
      </c>
      <c r="CO22" s="489">
        <f t="shared" si="79"/>
        <v>0.01</v>
      </c>
      <c r="CP22" s="489">
        <f t="shared" si="79"/>
        <v>0</v>
      </c>
      <c r="CQ22" s="486">
        <f t="shared" si="79"/>
        <v>0</v>
      </c>
      <c r="CR22" s="486">
        <f t="shared" si="79"/>
        <v>0</v>
      </c>
      <c r="CS22" s="486">
        <f t="shared" si="79"/>
        <v>20</v>
      </c>
      <c r="CT22" s="486">
        <f t="shared" si="79"/>
        <v>0</v>
      </c>
      <c r="CU22" s="486">
        <f t="shared" si="79"/>
        <v>30</v>
      </c>
      <c r="CV22" s="486">
        <f t="shared" si="79"/>
        <v>0</v>
      </c>
      <c r="CW22" s="486">
        <f t="shared" si="79"/>
        <v>30</v>
      </c>
      <c r="CX22" s="486">
        <f t="shared" si="79"/>
        <v>0</v>
      </c>
      <c r="CY22" s="486">
        <f t="shared" si="79"/>
        <v>39.340000000000003</v>
      </c>
      <c r="CZ22" s="486">
        <f t="shared" si="79"/>
        <v>0</v>
      </c>
      <c r="DA22" s="486">
        <f t="shared" si="79"/>
        <v>39.97</v>
      </c>
      <c r="DB22" s="486">
        <f t="shared" si="79"/>
        <v>0</v>
      </c>
      <c r="DC22" s="486">
        <f t="shared" si="79"/>
        <v>40</v>
      </c>
      <c r="DD22" s="486">
        <f t="shared" si="79"/>
        <v>0</v>
      </c>
      <c r="DE22" s="486">
        <f t="shared" si="79"/>
        <v>40</v>
      </c>
      <c r="DF22" s="486">
        <f t="shared" si="79"/>
        <v>0</v>
      </c>
      <c r="DG22" s="486">
        <f t="shared" si="79"/>
        <v>15</v>
      </c>
      <c r="DH22" s="486">
        <f t="shared" si="79"/>
        <v>0</v>
      </c>
      <c r="DI22" s="486">
        <f>+DI17+DI20</f>
        <v>254.34</v>
      </c>
      <c r="DJ22" s="490">
        <f>CK22+CM22+CO22</f>
        <v>0.04</v>
      </c>
      <c r="DK22" s="490">
        <f>CL22+CN22+CP22</f>
        <v>2.9000000000000001E-2</v>
      </c>
      <c r="DL22" s="486">
        <f t="shared" si="79"/>
        <v>254.34</v>
      </c>
      <c r="DM22" s="486">
        <f t="shared" si="79"/>
        <v>2.9000000000000001E-2</v>
      </c>
      <c r="DN22" s="486">
        <f t="shared" si="79"/>
        <v>29.51</v>
      </c>
      <c r="DO22" s="485">
        <f t="shared" ref="DO22:EJ22" si="80">+DO17</f>
        <v>0</v>
      </c>
      <c r="DP22" s="485">
        <f t="shared" si="80"/>
        <v>0</v>
      </c>
      <c r="DQ22" s="485">
        <f t="shared" si="80"/>
        <v>0</v>
      </c>
      <c r="DR22" s="485">
        <f t="shared" si="80"/>
        <v>0</v>
      </c>
      <c r="DS22" s="485">
        <f t="shared" si="80"/>
        <v>0</v>
      </c>
      <c r="DT22" s="485">
        <f t="shared" si="80"/>
        <v>0</v>
      </c>
      <c r="DU22" s="485">
        <f t="shared" si="80"/>
        <v>0</v>
      </c>
      <c r="DV22" s="485">
        <f t="shared" si="80"/>
        <v>0</v>
      </c>
      <c r="DW22" s="485">
        <f t="shared" si="80"/>
        <v>0</v>
      </c>
      <c r="DX22" s="485">
        <f t="shared" si="80"/>
        <v>0</v>
      </c>
      <c r="DY22" s="485">
        <f t="shared" si="80"/>
        <v>0</v>
      </c>
      <c r="DZ22" s="485">
        <f t="shared" si="80"/>
        <v>0</v>
      </c>
      <c r="EA22" s="485">
        <f t="shared" si="80"/>
        <v>0</v>
      </c>
      <c r="EB22" s="485">
        <f t="shared" si="80"/>
        <v>0</v>
      </c>
      <c r="EC22" s="485">
        <f t="shared" si="80"/>
        <v>0</v>
      </c>
      <c r="ED22" s="485">
        <f t="shared" si="80"/>
        <v>0</v>
      </c>
      <c r="EE22" s="485">
        <f t="shared" si="80"/>
        <v>0</v>
      </c>
      <c r="EF22" s="485">
        <f t="shared" si="80"/>
        <v>0</v>
      </c>
      <c r="EG22" s="485">
        <f t="shared" si="80"/>
        <v>0</v>
      </c>
      <c r="EH22" s="485">
        <f t="shared" si="80"/>
        <v>0</v>
      </c>
      <c r="EI22" s="485">
        <f t="shared" si="80"/>
        <v>0</v>
      </c>
      <c r="EJ22" s="485">
        <f t="shared" si="80"/>
        <v>0</v>
      </c>
      <c r="EK22" s="485"/>
      <c r="EL22" s="485">
        <f>+EL17</f>
        <v>0</v>
      </c>
      <c r="EM22" s="485"/>
      <c r="EN22" s="485"/>
      <c r="EO22" s="485"/>
      <c r="EP22" s="485"/>
      <c r="EQ22" s="485">
        <f>+EQ17</f>
        <v>0</v>
      </c>
      <c r="ER22" s="491">
        <f t="shared" si="62"/>
        <v>0</v>
      </c>
      <c r="ES22" s="492">
        <f t="shared" si="63"/>
        <v>0.72499999999999998</v>
      </c>
      <c r="ET22" s="491">
        <f t="shared" si="64"/>
        <v>1.1402060234331997E-4</v>
      </c>
      <c r="EU22" s="491">
        <f t="shared" si="65"/>
        <v>0.35781191613037161</v>
      </c>
      <c r="EV22" s="491">
        <f t="shared" si="66"/>
        <v>0.23291621621621622</v>
      </c>
      <c r="EW22" s="823"/>
      <c r="EX22" s="758"/>
      <c r="EY22" s="758"/>
      <c r="EZ22" s="758"/>
      <c r="FA22" s="758"/>
    </row>
    <row r="23" spans="1:157" ht="29.25" customHeight="1" thickBot="1" x14ac:dyDescent="0.3">
      <c r="A23" s="827"/>
      <c r="B23" s="837"/>
      <c r="C23" s="834"/>
      <c r="D23" s="834"/>
      <c r="E23" s="828"/>
      <c r="F23" s="459" t="s">
        <v>107</v>
      </c>
      <c r="G23" s="617">
        <f>G18+G21</f>
        <v>42665623790</v>
      </c>
      <c r="H23" s="515">
        <f t="shared" ref="H23:I23" si="81">+H18</f>
        <v>632180000</v>
      </c>
      <c r="I23" s="515">
        <f t="shared" si="81"/>
        <v>632180000</v>
      </c>
      <c r="J23" s="515">
        <v>0</v>
      </c>
      <c r="K23" s="515">
        <f>+K18</f>
        <v>632180000</v>
      </c>
      <c r="L23" s="515">
        <v>0</v>
      </c>
      <c r="M23" s="515">
        <f t="shared" ref="M23:T23" si="82">+M18</f>
        <v>632180000</v>
      </c>
      <c r="N23" s="515">
        <f t="shared" si="82"/>
        <v>183792000</v>
      </c>
      <c r="O23" s="515">
        <f t="shared" si="82"/>
        <v>632180000</v>
      </c>
      <c r="P23" s="515">
        <f t="shared" si="82"/>
        <v>190062000</v>
      </c>
      <c r="Q23" s="515">
        <f t="shared" si="82"/>
        <v>632180000</v>
      </c>
      <c r="R23" s="515">
        <f t="shared" si="82"/>
        <v>190062000</v>
      </c>
      <c r="S23" s="515">
        <f t="shared" si="82"/>
        <v>632180000</v>
      </c>
      <c r="T23" s="515">
        <f t="shared" si="82"/>
        <v>208073593</v>
      </c>
      <c r="U23" s="515">
        <v>588967593</v>
      </c>
      <c r="V23" s="515">
        <v>543446593</v>
      </c>
      <c r="W23" s="515"/>
      <c r="X23" s="515"/>
      <c r="Y23" s="515"/>
      <c r="Z23" s="515">
        <v>588967593</v>
      </c>
      <c r="AA23" s="516">
        <v>543446593</v>
      </c>
      <c r="AB23" s="503">
        <f t="shared" si="74"/>
        <v>5395072501</v>
      </c>
      <c r="AC23" s="503">
        <f t="shared" ref="AC23:EQ23" si="83">AC18+AC21</f>
        <v>35590000</v>
      </c>
      <c r="AD23" s="503">
        <f t="shared" si="83"/>
        <v>35590000</v>
      </c>
      <c r="AE23" s="503">
        <f t="shared" si="83"/>
        <v>42476267</v>
      </c>
      <c r="AF23" s="503">
        <f t="shared" si="83"/>
        <v>42476267</v>
      </c>
      <c r="AG23" s="503">
        <f t="shared" si="83"/>
        <v>244557934</v>
      </c>
      <c r="AH23" s="503">
        <f t="shared" si="83"/>
        <v>244557934</v>
      </c>
      <c r="AI23" s="503">
        <f t="shared" si="83"/>
        <v>239364992</v>
      </c>
      <c r="AJ23" s="503">
        <f t="shared" si="83"/>
        <v>239364992</v>
      </c>
      <c r="AK23" s="503">
        <f t="shared" si="83"/>
        <v>0</v>
      </c>
      <c r="AL23" s="503">
        <f t="shared" si="83"/>
        <v>0</v>
      </c>
      <c r="AM23" s="503">
        <f t="shared" si="83"/>
        <v>0</v>
      </c>
      <c r="AN23" s="503">
        <f t="shared" si="83"/>
        <v>74863300</v>
      </c>
      <c r="AO23" s="503">
        <f t="shared" si="83"/>
        <v>571823000</v>
      </c>
      <c r="AP23" s="503">
        <f t="shared" si="83"/>
        <v>4400000</v>
      </c>
      <c r="AQ23" s="503">
        <f t="shared" si="83"/>
        <v>263998308</v>
      </c>
      <c r="AR23" s="503">
        <f t="shared" si="83"/>
        <v>0</v>
      </c>
      <c r="AS23" s="503">
        <f t="shared" si="83"/>
        <v>191591327</v>
      </c>
      <c r="AT23" s="503">
        <f t="shared" si="83"/>
        <v>3500000</v>
      </c>
      <c r="AU23" s="503">
        <f t="shared" si="83"/>
        <v>2631583942</v>
      </c>
      <c r="AV23" s="503">
        <f t="shared" si="83"/>
        <v>403971071</v>
      </c>
      <c r="AW23" s="503">
        <f t="shared" si="83"/>
        <v>0</v>
      </c>
      <c r="AX23" s="503">
        <f t="shared" si="83"/>
        <v>0</v>
      </c>
      <c r="AY23" s="503">
        <f t="shared" si="83"/>
        <v>297053713</v>
      </c>
      <c r="AZ23" s="503">
        <f t="shared" si="83"/>
        <v>2808160829</v>
      </c>
      <c r="BA23" s="503">
        <f t="shared" si="83"/>
        <v>4518039483</v>
      </c>
      <c r="BB23" s="503">
        <f t="shared" si="83"/>
        <v>4518039483</v>
      </c>
      <c r="BC23" s="503">
        <f t="shared" si="83"/>
        <v>3856884393</v>
      </c>
      <c r="BD23" s="503">
        <f t="shared" si="83"/>
        <v>4518039483</v>
      </c>
      <c r="BE23" s="503">
        <f t="shared" si="83"/>
        <v>3856884393</v>
      </c>
      <c r="BF23" s="503">
        <f t="shared" si="83"/>
        <v>10891079466</v>
      </c>
      <c r="BG23" s="503">
        <f t="shared" si="83"/>
        <v>859894867</v>
      </c>
      <c r="BH23" s="503">
        <f t="shared" si="83"/>
        <v>859894867</v>
      </c>
      <c r="BI23" s="503">
        <f t="shared" si="83"/>
        <v>84040390</v>
      </c>
      <c r="BJ23" s="503">
        <f t="shared" si="83"/>
        <v>19185867</v>
      </c>
      <c r="BK23" s="503">
        <f t="shared" si="83"/>
        <v>1036819806</v>
      </c>
      <c r="BL23" s="503">
        <f t="shared" si="83"/>
        <v>135657552</v>
      </c>
      <c r="BM23" s="503">
        <f t="shared" si="83"/>
        <v>421021593</v>
      </c>
      <c r="BN23" s="503">
        <f t="shared" si="83"/>
        <v>322900350</v>
      </c>
      <c r="BO23" s="503">
        <f t="shared" si="83"/>
        <v>1635485194</v>
      </c>
      <c r="BP23" s="503">
        <f t="shared" si="83"/>
        <v>1282108514</v>
      </c>
      <c r="BQ23" s="503">
        <f t="shared" si="83"/>
        <v>28075915</v>
      </c>
      <c r="BR23" s="503">
        <f t="shared" si="83"/>
        <v>150188383</v>
      </c>
      <c r="BS23" s="503">
        <f t="shared" si="83"/>
        <v>341830808</v>
      </c>
      <c r="BT23" s="503">
        <f t="shared" si="83"/>
        <v>71375370</v>
      </c>
      <c r="BU23" s="503">
        <f t="shared" si="83"/>
        <v>0</v>
      </c>
      <c r="BV23" s="503">
        <f t="shared" si="83"/>
        <v>356401256</v>
      </c>
      <c r="BW23" s="503">
        <f t="shared" si="83"/>
        <v>0</v>
      </c>
      <c r="BX23" s="503">
        <f t="shared" si="83"/>
        <v>295629932</v>
      </c>
      <c r="BY23" s="503">
        <f t="shared" si="83"/>
        <v>6426000000</v>
      </c>
      <c r="BZ23" s="503">
        <f t="shared" si="83"/>
        <v>175609762</v>
      </c>
      <c r="CA23" s="503">
        <f t="shared" si="83"/>
        <v>17105027</v>
      </c>
      <c r="CB23" s="503">
        <f t="shared" si="83"/>
        <v>15131400</v>
      </c>
      <c r="CC23" s="503">
        <f t="shared" si="83"/>
        <v>101305676</v>
      </c>
      <c r="CD23" s="503">
        <f t="shared" si="83"/>
        <v>7236776496</v>
      </c>
      <c r="CE23" s="503">
        <f t="shared" si="83"/>
        <v>10951579276</v>
      </c>
      <c r="CF23" s="503">
        <f t="shared" si="83"/>
        <v>10951579276</v>
      </c>
      <c r="CG23" s="503">
        <f t="shared" si="83"/>
        <v>10920859749</v>
      </c>
      <c r="CH23" s="503">
        <f t="shared" si="83"/>
        <v>10951579276</v>
      </c>
      <c r="CI23" s="503">
        <f t="shared" si="83"/>
        <v>10920859749</v>
      </c>
      <c r="CJ23" s="503">
        <f t="shared" si="83"/>
        <v>22466459758</v>
      </c>
      <c r="CK23" s="503">
        <f t="shared" si="83"/>
        <v>12003684825</v>
      </c>
      <c r="CL23" s="503">
        <f t="shared" si="83"/>
        <v>12003684825</v>
      </c>
      <c r="CM23" s="503">
        <f t="shared" si="83"/>
        <v>2546053234</v>
      </c>
      <c r="CN23" s="503">
        <f t="shared" si="83"/>
        <v>2546053234</v>
      </c>
      <c r="CO23" s="504">
        <f t="shared" si="83"/>
        <v>168312894</v>
      </c>
      <c r="CP23" s="504">
        <f t="shared" si="83"/>
        <v>168312894</v>
      </c>
      <c r="CQ23" s="503">
        <f t="shared" si="83"/>
        <v>656051553</v>
      </c>
      <c r="CR23" s="503">
        <f t="shared" si="83"/>
        <v>0</v>
      </c>
      <c r="CS23" s="503">
        <f t="shared" si="83"/>
        <v>1197418860</v>
      </c>
      <c r="CT23" s="503">
        <f t="shared" si="83"/>
        <v>0</v>
      </c>
      <c r="CU23" s="503">
        <f t="shared" si="83"/>
        <v>6691224841</v>
      </c>
      <c r="CV23" s="503">
        <f t="shared" si="83"/>
        <v>0</v>
      </c>
      <c r="CW23" s="503">
        <f t="shared" si="83"/>
        <v>285686848</v>
      </c>
      <c r="CX23" s="503">
        <f t="shared" si="83"/>
        <v>0</v>
      </c>
      <c r="CY23" s="503">
        <f t="shared" si="83"/>
        <v>0</v>
      </c>
      <c r="CZ23" s="503">
        <f t="shared" si="83"/>
        <v>0</v>
      </c>
      <c r="DA23" s="503">
        <f t="shared" si="83"/>
        <v>0</v>
      </c>
      <c r="DB23" s="503">
        <f t="shared" si="83"/>
        <v>0</v>
      </c>
      <c r="DC23" s="503">
        <f t="shared" si="83"/>
        <v>0</v>
      </c>
      <c r="DD23" s="503">
        <f t="shared" si="83"/>
        <v>0</v>
      </c>
      <c r="DE23" s="503">
        <f t="shared" si="83"/>
        <v>0</v>
      </c>
      <c r="DF23" s="503">
        <f t="shared" si="83"/>
        <v>0</v>
      </c>
      <c r="DG23" s="503">
        <f t="shared" si="83"/>
        <v>0</v>
      </c>
      <c r="DH23" s="503">
        <f t="shared" si="83"/>
        <v>0</v>
      </c>
      <c r="DI23" s="503">
        <f t="shared" si="83"/>
        <v>23548433055</v>
      </c>
      <c r="DJ23" s="503">
        <f t="shared" si="83"/>
        <v>14718050953</v>
      </c>
      <c r="DK23" s="503">
        <f t="shared" si="83"/>
        <v>14718050953</v>
      </c>
      <c r="DL23" s="503">
        <f t="shared" si="83"/>
        <v>23548433055</v>
      </c>
      <c r="DM23" s="503">
        <f t="shared" si="83"/>
        <v>14718050953</v>
      </c>
      <c r="DN23" s="503">
        <f t="shared" si="83"/>
        <v>3796000000</v>
      </c>
      <c r="DO23" s="503">
        <f t="shared" si="83"/>
        <v>0</v>
      </c>
      <c r="DP23" s="503">
        <f t="shared" si="83"/>
        <v>0</v>
      </c>
      <c r="DQ23" s="503">
        <f t="shared" si="83"/>
        <v>0</v>
      </c>
      <c r="DR23" s="503">
        <f t="shared" si="83"/>
        <v>0</v>
      </c>
      <c r="DS23" s="503">
        <f t="shared" si="83"/>
        <v>0</v>
      </c>
      <c r="DT23" s="503">
        <f t="shared" si="83"/>
        <v>0</v>
      </c>
      <c r="DU23" s="503">
        <f t="shared" si="83"/>
        <v>0</v>
      </c>
      <c r="DV23" s="503">
        <f t="shared" si="83"/>
        <v>0</v>
      </c>
      <c r="DW23" s="503">
        <f t="shared" si="83"/>
        <v>0</v>
      </c>
      <c r="DX23" s="503">
        <f t="shared" si="83"/>
        <v>0</v>
      </c>
      <c r="DY23" s="503">
        <f t="shared" si="83"/>
        <v>0</v>
      </c>
      <c r="DZ23" s="503">
        <f t="shared" si="83"/>
        <v>0</v>
      </c>
      <c r="EA23" s="503">
        <f t="shared" si="83"/>
        <v>0</v>
      </c>
      <c r="EB23" s="503">
        <f t="shared" si="83"/>
        <v>0</v>
      </c>
      <c r="EC23" s="503">
        <f t="shared" si="83"/>
        <v>0</v>
      </c>
      <c r="ED23" s="503">
        <f t="shared" si="83"/>
        <v>0</v>
      </c>
      <c r="EE23" s="503">
        <f t="shared" si="83"/>
        <v>0</v>
      </c>
      <c r="EF23" s="503">
        <f t="shared" si="83"/>
        <v>0</v>
      </c>
      <c r="EG23" s="503">
        <f t="shared" si="83"/>
        <v>0</v>
      </c>
      <c r="EH23" s="503">
        <f t="shared" si="83"/>
        <v>0</v>
      </c>
      <c r="EI23" s="503">
        <f t="shared" si="83"/>
        <v>0</v>
      </c>
      <c r="EJ23" s="503">
        <f t="shared" si="83"/>
        <v>0</v>
      </c>
      <c r="EK23" s="503">
        <f t="shared" si="83"/>
        <v>0</v>
      </c>
      <c r="EL23" s="503">
        <f t="shared" si="83"/>
        <v>0</v>
      </c>
      <c r="EM23" s="503">
        <f t="shared" si="83"/>
        <v>0</v>
      </c>
      <c r="EN23" s="503">
        <f t="shared" si="83"/>
        <v>0</v>
      </c>
      <c r="EO23" s="503">
        <f t="shared" si="83"/>
        <v>0</v>
      </c>
      <c r="EP23" s="503">
        <f t="shared" si="83"/>
        <v>0</v>
      </c>
      <c r="EQ23" s="503">
        <f t="shared" si="83"/>
        <v>0</v>
      </c>
      <c r="ER23" s="505">
        <f t="shared" si="62"/>
        <v>1</v>
      </c>
      <c r="ES23" s="506">
        <f t="shared" si="63"/>
        <v>1</v>
      </c>
      <c r="ET23" s="505">
        <f t="shared" si="64"/>
        <v>0.62501190285673558</v>
      </c>
      <c r="EU23" s="505">
        <f t="shared" si="65"/>
        <v>0.97604040981825513</v>
      </c>
      <c r="EV23" s="507">
        <f t="shared" si="66"/>
        <v>0.7040619360413668</v>
      </c>
      <c r="EW23" s="824"/>
      <c r="EX23" s="758"/>
      <c r="EY23" s="758"/>
      <c r="EZ23" s="758"/>
      <c r="FA23" s="758"/>
    </row>
    <row r="24" spans="1:157" ht="29.25" customHeight="1" x14ac:dyDescent="0.25">
      <c r="A24" s="827"/>
      <c r="B24" s="835">
        <v>3</v>
      </c>
      <c r="C24" s="838" t="s">
        <v>73</v>
      </c>
      <c r="D24" s="832" t="s">
        <v>75</v>
      </c>
      <c r="E24" s="839">
        <v>214</v>
      </c>
      <c r="F24" s="40" t="s">
        <v>100</v>
      </c>
      <c r="G24" s="614">
        <v>590</v>
      </c>
      <c r="H24" s="511">
        <v>54</v>
      </c>
      <c r="I24" s="511">
        <v>54</v>
      </c>
      <c r="J24" s="511">
        <v>0</v>
      </c>
      <c r="K24" s="511">
        <v>54</v>
      </c>
      <c r="L24" s="511">
        <v>0</v>
      </c>
      <c r="M24" s="511">
        <v>54</v>
      </c>
      <c r="N24" s="493">
        <v>0</v>
      </c>
      <c r="O24" s="511">
        <v>54</v>
      </c>
      <c r="P24" s="512">
        <v>4.1100000000000003</v>
      </c>
      <c r="Q24" s="511">
        <v>54</v>
      </c>
      <c r="R24" s="512">
        <v>4.24</v>
      </c>
      <c r="S24" s="511">
        <v>54</v>
      </c>
      <c r="T24" s="611">
        <f>+[1]GESTIÓN!V16</f>
        <v>4.8070000000000004</v>
      </c>
      <c r="U24" s="511">
        <v>54</v>
      </c>
      <c r="V24" s="511">
        <v>5.24</v>
      </c>
      <c r="W24" s="511"/>
      <c r="X24" s="511"/>
      <c r="Y24" s="511"/>
      <c r="Z24" s="498">
        <v>54</v>
      </c>
      <c r="AA24" s="513">
        <v>5.24</v>
      </c>
      <c r="AB24" s="511">
        <v>590</v>
      </c>
      <c r="AC24" s="514">
        <v>1.48</v>
      </c>
      <c r="AD24" s="514">
        <v>1.48</v>
      </c>
      <c r="AE24" s="498">
        <v>0</v>
      </c>
      <c r="AF24" s="498">
        <v>0</v>
      </c>
      <c r="AG24" s="498">
        <v>0</v>
      </c>
      <c r="AH24" s="498">
        <v>0</v>
      </c>
      <c r="AI24" s="514">
        <v>1.38</v>
      </c>
      <c r="AJ24" s="514">
        <v>1.38</v>
      </c>
      <c r="AK24" s="514">
        <v>7.84</v>
      </c>
      <c r="AL24" s="514">
        <v>5.85</v>
      </c>
      <c r="AM24" s="512">
        <v>2.5</v>
      </c>
      <c r="AN24" s="512">
        <v>1.3</v>
      </c>
      <c r="AO24" s="512">
        <v>3</v>
      </c>
      <c r="AP24" s="512">
        <v>19.72</v>
      </c>
      <c r="AQ24" s="512">
        <v>2.81</v>
      </c>
      <c r="AR24" s="512">
        <v>5.75</v>
      </c>
      <c r="AS24" s="512">
        <v>2.99</v>
      </c>
      <c r="AT24" s="512">
        <v>5.24</v>
      </c>
      <c r="AU24" s="512">
        <v>188</v>
      </c>
      <c r="AV24" s="512">
        <v>14.3</v>
      </c>
      <c r="AW24" s="512">
        <v>190</v>
      </c>
      <c r="AX24" s="512">
        <v>2.12</v>
      </c>
      <c r="AY24" s="512">
        <v>190</v>
      </c>
      <c r="AZ24" s="512">
        <v>3.42</v>
      </c>
      <c r="BA24" s="494">
        <f t="shared" ref="BA24:BA28" si="84">AC24+AE24+AG24+AI24+AK24+AM24+AO24+AQ24+AS24+AU24+AW24+AY24</f>
        <v>590</v>
      </c>
      <c r="BB24" s="494">
        <f t="shared" ref="BB24:BC24" si="85">AC24+AE24+AG24+AI24+AK24+AM24+AO24+AQ24+AS24+AU24+AW24+AY24</f>
        <v>590</v>
      </c>
      <c r="BC24" s="494">
        <f t="shared" si="85"/>
        <v>60.559999999999995</v>
      </c>
      <c r="BD24" s="496">
        <f>BA24</f>
        <v>590</v>
      </c>
      <c r="BE24" s="496">
        <f>BC24</f>
        <v>60.559999999999995</v>
      </c>
      <c r="BF24" s="496">
        <v>590</v>
      </c>
      <c r="BG24" s="498">
        <v>0</v>
      </c>
      <c r="BH24" s="498">
        <v>0</v>
      </c>
      <c r="BI24" s="498">
        <v>2.5499999999999998</v>
      </c>
      <c r="BJ24" s="498">
        <v>2.5499999999999998</v>
      </c>
      <c r="BK24" s="498">
        <v>2</v>
      </c>
      <c r="BL24" s="498">
        <v>4.57</v>
      </c>
      <c r="BM24" s="498">
        <v>2</v>
      </c>
      <c r="BN24" s="498">
        <v>6.97</v>
      </c>
      <c r="BO24" s="498">
        <v>2</v>
      </c>
      <c r="BP24" s="498">
        <v>3.46</v>
      </c>
      <c r="BQ24" s="498">
        <v>2</v>
      </c>
      <c r="BR24" s="498">
        <v>6.97</v>
      </c>
      <c r="BS24" s="498">
        <v>2</v>
      </c>
      <c r="BT24" s="498">
        <v>3.14</v>
      </c>
      <c r="BU24" s="498">
        <v>2</v>
      </c>
      <c r="BV24" s="498">
        <v>7.5</v>
      </c>
      <c r="BW24" s="498">
        <v>148</v>
      </c>
      <c r="BX24" s="498">
        <v>8</v>
      </c>
      <c r="BY24" s="498">
        <v>148</v>
      </c>
      <c r="BZ24" s="498">
        <v>25.2</v>
      </c>
      <c r="CA24" s="498">
        <v>148</v>
      </c>
      <c r="CB24" s="498">
        <v>3.03</v>
      </c>
      <c r="CC24" s="498">
        <v>131.44999999999999</v>
      </c>
      <c r="CD24" s="498">
        <v>4.34</v>
      </c>
      <c r="CE24" s="498">
        <f t="shared" ref="CE24:CE28" si="86">CC24+CA24+BY24+BW24+BS24+BQ24+BO24+BM24+BK24+BI24+BG24+BU24</f>
        <v>590</v>
      </c>
      <c r="CF24" s="496">
        <f t="shared" ref="CF24:CG24" si="87">BG24+BI24+BK24+BM24+BO24+BQ24+BS24+BU24+BW24+BY24+CA24+CC24</f>
        <v>590</v>
      </c>
      <c r="CG24" s="496">
        <f t="shared" si="87"/>
        <v>75.73</v>
      </c>
      <c r="CH24" s="498">
        <f t="shared" ref="CH24:CH28" si="88">CE24</f>
        <v>590</v>
      </c>
      <c r="CI24" s="498">
        <f t="shared" ref="CI24:CI28" si="89">CG24</f>
        <v>75.73</v>
      </c>
      <c r="CJ24" s="498">
        <v>590</v>
      </c>
      <c r="CK24" s="498">
        <v>0</v>
      </c>
      <c r="CL24" s="498">
        <v>0</v>
      </c>
      <c r="CM24" s="498">
        <v>0</v>
      </c>
      <c r="CN24" s="498">
        <v>0</v>
      </c>
      <c r="CO24" s="499">
        <v>0</v>
      </c>
      <c r="CP24" s="499">
        <v>0</v>
      </c>
      <c r="CQ24" s="498">
        <v>0</v>
      </c>
      <c r="CR24" s="498">
        <v>0</v>
      </c>
      <c r="CS24" s="498">
        <v>0</v>
      </c>
      <c r="CT24" s="498">
        <v>0</v>
      </c>
      <c r="CU24" s="498">
        <v>0</v>
      </c>
      <c r="CV24" s="498">
        <v>0</v>
      </c>
      <c r="CW24" s="498">
        <v>0</v>
      </c>
      <c r="CX24" s="498">
        <v>0</v>
      </c>
      <c r="CY24" s="498">
        <v>0</v>
      </c>
      <c r="CZ24" s="498">
        <v>0</v>
      </c>
      <c r="DA24" s="498">
        <v>148</v>
      </c>
      <c r="DB24" s="498">
        <v>0</v>
      </c>
      <c r="DC24" s="498">
        <v>148</v>
      </c>
      <c r="DD24" s="498">
        <v>0</v>
      </c>
      <c r="DE24" s="498">
        <v>148</v>
      </c>
      <c r="DF24" s="498">
        <v>0</v>
      </c>
      <c r="DG24" s="498">
        <v>146</v>
      </c>
      <c r="DH24" s="498">
        <v>0</v>
      </c>
      <c r="DI24" s="496">
        <f t="shared" ref="DI24:DI29" si="90">DG24+DE24+DC24+DA24+CW24+CU24+CS24+CQ24+CO24+CM24+CK24+CY24</f>
        <v>590</v>
      </c>
      <c r="DJ24" s="496">
        <f>CK24+CM24+CO24</f>
        <v>0</v>
      </c>
      <c r="DK24" s="498">
        <f>CL24+CN24+CP24+CR24+CT24+CV24+CX24+CZ24+DB24+DD24+DF24</f>
        <v>0</v>
      </c>
      <c r="DL24" s="498">
        <f>CK24+CM24+CO24+CQ24+CS24+CU24+CW24+CY24+DA24+DC24+DE24+DG24</f>
        <v>590</v>
      </c>
      <c r="DM24" s="498">
        <f t="shared" ref="DM24:DM26" si="91">DK24</f>
        <v>0</v>
      </c>
      <c r="DN24" s="498">
        <v>590</v>
      </c>
      <c r="DO24" s="452"/>
      <c r="DP24" s="452"/>
      <c r="DQ24" s="452"/>
      <c r="DR24" s="452"/>
      <c r="DS24" s="452"/>
      <c r="DT24" s="452"/>
      <c r="DU24" s="452"/>
      <c r="DV24" s="452"/>
      <c r="DW24" s="452"/>
      <c r="DX24" s="452"/>
      <c r="DY24" s="452"/>
      <c r="DZ24" s="452"/>
      <c r="EA24" s="452"/>
      <c r="EB24" s="452"/>
      <c r="EC24" s="452"/>
      <c r="ED24" s="452"/>
      <c r="EE24" s="452"/>
      <c r="EF24" s="452"/>
      <c r="EG24" s="452"/>
      <c r="EH24" s="452"/>
      <c r="EI24" s="452"/>
      <c r="EJ24" s="452"/>
      <c r="EK24" s="452"/>
      <c r="EL24" s="452"/>
      <c r="EM24" s="452"/>
      <c r="EN24" s="452"/>
      <c r="EO24" s="452"/>
      <c r="EP24" s="452"/>
      <c r="EQ24" s="452"/>
      <c r="ER24" s="465">
        <f>IFERROR(CP24/CO24,0)</f>
        <v>0</v>
      </c>
      <c r="ES24" s="501">
        <f>IFERROR(DK24/DJ24,0)</f>
        <v>0</v>
      </c>
      <c r="ET24" s="500">
        <f t="shared" si="64"/>
        <v>0</v>
      </c>
      <c r="EU24" s="500">
        <f t="shared" si="65"/>
        <v>0.11469205834683954</v>
      </c>
      <c r="EV24" s="500">
        <f>(AA24+BE24+CI24+DM24)/2414</f>
        <v>5.8628831814415909E-2</v>
      </c>
      <c r="EW24" s="822" t="s">
        <v>594</v>
      </c>
      <c r="EX24" s="806" t="s">
        <v>63</v>
      </c>
      <c r="EY24" s="806" t="s">
        <v>63</v>
      </c>
      <c r="EZ24" s="805" t="s">
        <v>76</v>
      </c>
      <c r="FA24" s="806" t="s">
        <v>65</v>
      </c>
    </row>
    <row r="25" spans="1:157" ht="29.25" customHeight="1" x14ac:dyDescent="0.25">
      <c r="A25" s="827"/>
      <c r="B25" s="836"/>
      <c r="C25" s="833"/>
      <c r="D25" s="833"/>
      <c r="E25" s="833"/>
      <c r="F25" s="457" t="s">
        <v>102</v>
      </c>
      <c r="G25" s="612">
        <f>AA25+BE25+CI25+DL25+DN25</f>
        <v>42833198544</v>
      </c>
      <c r="H25" s="467">
        <v>846820000</v>
      </c>
      <c r="I25" s="467">
        <v>846820000</v>
      </c>
      <c r="J25" s="467">
        <v>0</v>
      </c>
      <c r="K25" s="467">
        <v>846820000</v>
      </c>
      <c r="L25" s="467">
        <v>0</v>
      </c>
      <c r="M25" s="467">
        <v>846820000</v>
      </c>
      <c r="N25" s="467">
        <v>298980000</v>
      </c>
      <c r="O25" s="467">
        <v>846820000</v>
      </c>
      <c r="P25" s="467">
        <f>N25+17549347</f>
        <v>316529347</v>
      </c>
      <c r="Q25" s="467">
        <v>846820000</v>
      </c>
      <c r="R25" s="467">
        <v>323308102</v>
      </c>
      <c r="S25" s="467">
        <v>846820000</v>
      </c>
      <c r="T25" s="467" t="e">
        <v>#REF!</v>
      </c>
      <c r="U25" s="467">
        <v>817531593</v>
      </c>
      <c r="V25" s="467">
        <v>755491393</v>
      </c>
      <c r="W25" s="467"/>
      <c r="X25" s="467"/>
      <c r="Y25" s="467"/>
      <c r="Z25" s="467">
        <v>817531593</v>
      </c>
      <c r="AA25" s="468">
        <v>755491393</v>
      </c>
      <c r="AB25" s="467">
        <v>8798867000</v>
      </c>
      <c r="AC25" s="467">
        <v>0</v>
      </c>
      <c r="AD25" s="467">
        <v>0</v>
      </c>
      <c r="AE25" s="467">
        <v>10695000</v>
      </c>
      <c r="AF25" s="467">
        <v>10695000</v>
      </c>
      <c r="AG25" s="467">
        <v>299088000</v>
      </c>
      <c r="AH25" s="467">
        <v>299088000</v>
      </c>
      <c r="AI25" s="467">
        <v>288952996</v>
      </c>
      <c r="AJ25" s="467">
        <v>288952996</v>
      </c>
      <c r="AK25" s="467">
        <v>1446878</v>
      </c>
      <c r="AL25" s="467">
        <v>1446878</v>
      </c>
      <c r="AM25" s="467">
        <f>68553915+109206000</f>
        <v>177759915</v>
      </c>
      <c r="AN25" s="467">
        <v>175964597</v>
      </c>
      <c r="AO25" s="467">
        <v>0</v>
      </c>
      <c r="AP25" s="467">
        <v>0</v>
      </c>
      <c r="AQ25" s="467">
        <v>0</v>
      </c>
      <c r="AR25" s="467">
        <v>0</v>
      </c>
      <c r="AS25" s="467">
        <v>0</v>
      </c>
      <c r="AT25" s="467">
        <v>3500000</v>
      </c>
      <c r="AU25" s="467">
        <f>6425042000-100000000-1233648000</f>
        <v>5091394000</v>
      </c>
      <c r="AV25" s="467">
        <v>3000000000</v>
      </c>
      <c r="AW25" s="467">
        <v>0</v>
      </c>
      <c r="AX25" s="467">
        <v>3321023814</v>
      </c>
      <c r="AY25" s="467">
        <v>1442443390</v>
      </c>
      <c r="AZ25" s="467">
        <v>81036078</v>
      </c>
      <c r="BA25" s="481">
        <f t="shared" si="84"/>
        <v>7311780179</v>
      </c>
      <c r="BB25" s="472">
        <f t="shared" ref="BB25:BB26" si="92">AC25+AE25+AG25+AI25+AK25+AM25+AO25+AQ25+AS25+AU25+AW25+AY25</f>
        <v>7311780179</v>
      </c>
      <c r="BC25" s="472">
        <f>AD25+AF25+AH25+AJ25+AL25+AN25+AP25+AR25+AT25+AV239+AV25+AX25+AZ25</f>
        <v>7181707363</v>
      </c>
      <c r="BD25" s="468">
        <f t="shared" ref="BD25:BE25" si="93">AC25+AE25+AG25+AI25+AK25+AM25+AO25+AQ25+AS25+AU25+AW25+AY25</f>
        <v>7311780179</v>
      </c>
      <c r="BE25" s="468">
        <f t="shared" si="93"/>
        <v>7181707363</v>
      </c>
      <c r="BF25" s="468">
        <v>9719572000</v>
      </c>
      <c r="BG25" s="467">
        <v>1127853000</v>
      </c>
      <c r="BH25" s="467">
        <v>1127853000</v>
      </c>
      <c r="BI25" s="467">
        <v>0</v>
      </c>
      <c r="BJ25" s="467">
        <v>0</v>
      </c>
      <c r="BK25" s="467">
        <v>421048371</v>
      </c>
      <c r="BL25" s="467">
        <v>0</v>
      </c>
      <c r="BM25" s="467">
        <v>50611602</v>
      </c>
      <c r="BN25" s="467">
        <v>249661839</v>
      </c>
      <c r="BO25" s="467">
        <v>1490000</v>
      </c>
      <c r="BP25" s="467">
        <v>63054700</v>
      </c>
      <c r="BQ25" s="467">
        <v>0</v>
      </c>
      <c r="BR25" s="467">
        <v>0</v>
      </c>
      <c r="BS25" s="467">
        <v>9071000</v>
      </c>
      <c r="BT25" s="467">
        <v>55291733</v>
      </c>
      <c r="BU25" s="467">
        <v>0</v>
      </c>
      <c r="BV25" s="467">
        <v>0</v>
      </c>
      <c r="BW25" s="467">
        <v>8103849000</v>
      </c>
      <c r="BX25" s="467">
        <v>0</v>
      </c>
      <c r="BY25" s="467">
        <v>0</v>
      </c>
      <c r="BZ25" s="467">
        <v>0</v>
      </c>
      <c r="CA25" s="467">
        <v>5649027</v>
      </c>
      <c r="CB25" s="467">
        <v>44117900</v>
      </c>
      <c r="CC25" s="467">
        <f>50077079+76628000+17500858</f>
        <v>144205937</v>
      </c>
      <c r="CD25" s="467">
        <v>8319805913</v>
      </c>
      <c r="CE25" s="467">
        <f t="shared" si="86"/>
        <v>9863777937</v>
      </c>
      <c r="CF25" s="467">
        <f t="shared" ref="CF25:CG25" si="94">BG25+BI25+BK25+BM25+BO25+BQ25+BS25+BU25+BW25+BY25+CA25+CC25</f>
        <v>9863777937</v>
      </c>
      <c r="CG25" s="467">
        <f t="shared" si="94"/>
        <v>9859785085</v>
      </c>
      <c r="CH25" s="467">
        <f t="shared" si="88"/>
        <v>9863777937</v>
      </c>
      <c r="CI25" s="467">
        <f t="shared" si="89"/>
        <v>9859785085</v>
      </c>
      <c r="CJ25" s="468">
        <v>15816809000</v>
      </c>
      <c r="CK25" s="469">
        <v>13484905703</v>
      </c>
      <c r="CL25" s="469">
        <v>13484905703</v>
      </c>
      <c r="CM25" s="469">
        <v>657892000</v>
      </c>
      <c r="CN25" s="469">
        <v>657892000</v>
      </c>
      <c r="CO25" s="469">
        <v>98928000</v>
      </c>
      <c r="CP25" s="469">
        <v>98928000</v>
      </c>
      <c r="CQ25" s="469">
        <v>0</v>
      </c>
      <c r="CR25" s="467">
        <v>0</v>
      </c>
      <c r="CS25" s="469">
        <v>80000000</v>
      </c>
      <c r="CT25" s="467">
        <v>0</v>
      </c>
      <c r="CU25" s="469">
        <v>200417000</v>
      </c>
      <c r="CV25" s="467">
        <v>0</v>
      </c>
      <c r="CW25" s="469">
        <v>201072000</v>
      </c>
      <c r="CX25" s="467">
        <v>0</v>
      </c>
      <c r="CY25" s="469">
        <v>0</v>
      </c>
      <c r="CZ25" s="467">
        <v>0</v>
      </c>
      <c r="DA25" s="469">
        <v>0</v>
      </c>
      <c r="DB25" s="467">
        <v>0</v>
      </c>
      <c r="DC25" s="469">
        <v>0</v>
      </c>
      <c r="DD25" s="467">
        <v>0</v>
      </c>
      <c r="DE25" s="469">
        <v>0</v>
      </c>
      <c r="DF25" s="467">
        <v>0</v>
      </c>
      <c r="DG25" s="469">
        <v>0</v>
      </c>
      <c r="DH25" s="467">
        <v>0</v>
      </c>
      <c r="DI25" s="468">
        <f t="shared" si="90"/>
        <v>14723214703</v>
      </c>
      <c r="DJ25" s="468">
        <f>CK25+CM25+CO25</f>
        <v>14241725703</v>
      </c>
      <c r="DK25" s="468">
        <f>CL25+CN25+CP25</f>
        <v>14241725703</v>
      </c>
      <c r="DL25" s="467">
        <f t="shared" ref="DL25:DL28" si="95">DI25</f>
        <v>14723214703</v>
      </c>
      <c r="DM25" s="467">
        <f t="shared" si="91"/>
        <v>14241725703</v>
      </c>
      <c r="DN25" s="467">
        <v>10313000000</v>
      </c>
      <c r="DO25" s="467"/>
      <c r="DP25" s="467"/>
      <c r="DQ25" s="467"/>
      <c r="DR25" s="467"/>
      <c r="DS25" s="467"/>
      <c r="DT25" s="467"/>
      <c r="DU25" s="467"/>
      <c r="DV25" s="467"/>
      <c r="DW25" s="467"/>
      <c r="DX25" s="467"/>
      <c r="DY25" s="467"/>
      <c r="DZ25" s="467"/>
      <c r="EA25" s="467"/>
      <c r="EB25" s="467"/>
      <c r="EC25" s="467"/>
      <c r="ED25" s="467"/>
      <c r="EE25" s="467"/>
      <c r="EF25" s="467"/>
      <c r="EG25" s="467"/>
      <c r="EH25" s="467"/>
      <c r="EI25" s="467"/>
      <c r="EJ25" s="467"/>
      <c r="EK25" s="467"/>
      <c r="EL25" s="467"/>
      <c r="EM25" s="467"/>
      <c r="EN25" s="467"/>
      <c r="EO25" s="467"/>
      <c r="EP25" s="467"/>
      <c r="EQ25" s="467"/>
      <c r="ER25" s="465">
        <f t="shared" si="62"/>
        <v>1</v>
      </c>
      <c r="ES25" s="466">
        <f t="shared" si="63"/>
        <v>1</v>
      </c>
      <c r="ET25" s="465">
        <f t="shared" si="64"/>
        <v>0.96729729140593923</v>
      </c>
      <c r="EU25" s="465">
        <f t="shared" si="65"/>
        <v>0.99391633345829566</v>
      </c>
      <c r="EV25" s="465">
        <f t="shared" si="66"/>
        <v>0.74798779061733012</v>
      </c>
      <c r="EW25" s="823"/>
      <c r="EX25" s="758"/>
      <c r="EY25" s="758"/>
      <c r="EZ25" s="758"/>
      <c r="FA25" s="758"/>
    </row>
    <row r="26" spans="1:157" ht="29.25" customHeight="1" x14ac:dyDescent="0.25">
      <c r="A26" s="827"/>
      <c r="B26" s="836"/>
      <c r="C26" s="833"/>
      <c r="D26" s="833"/>
      <c r="E26" s="833"/>
      <c r="F26" s="458" t="s">
        <v>103</v>
      </c>
      <c r="G26" s="612"/>
      <c r="H26" s="467"/>
      <c r="I26" s="467"/>
      <c r="J26" s="467"/>
      <c r="K26" s="467"/>
      <c r="L26" s="467"/>
      <c r="M26" s="467"/>
      <c r="N26" s="467"/>
      <c r="O26" s="467"/>
      <c r="P26" s="467"/>
      <c r="Q26" s="467"/>
      <c r="R26" s="467"/>
      <c r="S26" s="467"/>
      <c r="T26" s="467"/>
      <c r="U26" s="467"/>
      <c r="V26" s="467"/>
      <c r="W26" s="467"/>
      <c r="X26" s="467"/>
      <c r="Y26" s="467"/>
      <c r="Z26" s="467"/>
      <c r="AA26" s="468"/>
      <c r="AB26" s="467"/>
      <c r="AC26" s="467">
        <v>0</v>
      </c>
      <c r="AD26" s="467">
        <v>0</v>
      </c>
      <c r="AE26" s="467">
        <v>0</v>
      </c>
      <c r="AF26" s="467">
        <v>0</v>
      </c>
      <c r="AG26" s="467">
        <v>0</v>
      </c>
      <c r="AH26" s="467">
        <v>0</v>
      </c>
      <c r="AI26" s="467">
        <v>1632996</v>
      </c>
      <c r="AJ26" s="467">
        <v>1632996</v>
      </c>
      <c r="AK26" s="467">
        <v>51985466</v>
      </c>
      <c r="AL26" s="467">
        <v>51985466</v>
      </c>
      <c r="AM26" s="467">
        <v>87881013</v>
      </c>
      <c r="AN26" s="467">
        <v>66806326</v>
      </c>
      <c r="AO26" s="467">
        <v>70035367</v>
      </c>
      <c r="AP26" s="467">
        <v>135316082</v>
      </c>
      <c r="AQ26" s="467">
        <v>0</v>
      </c>
      <c r="AR26" s="467">
        <v>62539000</v>
      </c>
      <c r="AS26" s="467">
        <v>0</v>
      </c>
      <c r="AT26" s="467">
        <v>74393000</v>
      </c>
      <c r="AU26" s="467">
        <f>2570016800-100000000-1233648000</f>
        <v>1236368800</v>
      </c>
      <c r="AV26" s="467">
        <v>3158101747</v>
      </c>
      <c r="AW26" s="467">
        <v>3212521000</v>
      </c>
      <c r="AX26" s="467">
        <v>90416253</v>
      </c>
      <c r="AY26" s="467">
        <f>2605148273+62520346</f>
        <v>2667668619</v>
      </c>
      <c r="AZ26" s="467">
        <v>142993489</v>
      </c>
      <c r="BA26" s="481">
        <f t="shared" si="84"/>
        <v>7328093261</v>
      </c>
      <c r="BB26" s="472">
        <f t="shared" si="92"/>
        <v>7328093261</v>
      </c>
      <c r="BC26" s="472">
        <f>AD26+AF26+AH26+AJ26+AL26+AN26+AP26+AR26+AT26+AV240+AV26+AX26+AZ26</f>
        <v>3784184359</v>
      </c>
      <c r="BD26" s="468">
        <f t="shared" ref="BD26:BE26" si="96">AC26+AE26+AG26+AI26+AK26+AM26+AO26+AQ26+AS26+AU26+AW26+AY26</f>
        <v>7328093261</v>
      </c>
      <c r="BE26" s="468">
        <f t="shared" si="96"/>
        <v>3784184359</v>
      </c>
      <c r="BF26" s="468">
        <v>9719571999.9999981</v>
      </c>
      <c r="BG26" s="467">
        <v>0</v>
      </c>
      <c r="BH26" s="467">
        <v>0</v>
      </c>
      <c r="BI26" s="467">
        <v>20740455</v>
      </c>
      <c r="BJ26" s="467">
        <v>2747000</v>
      </c>
      <c r="BK26" s="467">
        <v>526855826</v>
      </c>
      <c r="BL26" s="467">
        <v>113856477</v>
      </c>
      <c r="BM26" s="467">
        <v>156419057</v>
      </c>
      <c r="BN26" s="467">
        <v>131663510</v>
      </c>
      <c r="BO26" s="467">
        <v>107297455</v>
      </c>
      <c r="BP26" s="467">
        <v>186108867</v>
      </c>
      <c r="BQ26" s="467">
        <v>105807455</v>
      </c>
      <c r="BR26" s="467">
        <v>85067000</v>
      </c>
      <c r="BS26" s="467">
        <v>112378454</v>
      </c>
      <c r="BT26" s="467">
        <v>172816294</v>
      </c>
      <c r="BU26" s="467">
        <v>108307455</v>
      </c>
      <c r="BV26" s="467">
        <v>85067027</v>
      </c>
      <c r="BW26" s="467">
        <v>2131769705</v>
      </c>
      <c r="BX26" s="467">
        <v>96344545</v>
      </c>
      <c r="BY26" s="467">
        <v>2131769705</v>
      </c>
      <c r="BZ26" s="467">
        <v>97261851</v>
      </c>
      <c r="CA26" s="467">
        <f>2133505732+17500858</f>
        <v>2151006590</v>
      </c>
      <c r="CB26" s="467">
        <v>194981094</v>
      </c>
      <c r="CC26" s="467">
        <f>2184720701+50077079+76628000</f>
        <v>2311425780</v>
      </c>
      <c r="CD26" s="467">
        <v>564782094</v>
      </c>
      <c r="CE26" s="467">
        <f t="shared" si="86"/>
        <v>9863777937</v>
      </c>
      <c r="CF26" s="467">
        <f>BG26+BI26+BK26+BM26+BO26+BQ26+BS26+BU26+BW26+BY26+CA26</f>
        <v>7552352157</v>
      </c>
      <c r="CG26" s="467">
        <f t="shared" ref="CG26:CG27" si="97">BH26+BJ26+BL26+BN26+BP26+BR26+BT26+BV26+BX26+BZ26+CB26+CD26</f>
        <v>1730695759</v>
      </c>
      <c r="CH26" s="467">
        <f t="shared" si="88"/>
        <v>9863777937</v>
      </c>
      <c r="CI26" s="467">
        <f t="shared" si="89"/>
        <v>1730695759</v>
      </c>
      <c r="CJ26" s="468">
        <v>15816809000</v>
      </c>
      <c r="CK26" s="467">
        <v>0</v>
      </c>
      <c r="CL26" s="467">
        <v>0</v>
      </c>
      <c r="CM26" s="469">
        <v>0</v>
      </c>
      <c r="CN26" s="467">
        <v>0</v>
      </c>
      <c r="CO26" s="469">
        <v>13578500</v>
      </c>
      <c r="CP26" s="469">
        <v>13578500</v>
      </c>
      <c r="CQ26" s="469">
        <v>2331745352</v>
      </c>
      <c r="CR26" s="467">
        <v>0</v>
      </c>
      <c r="CS26" s="469">
        <v>2408879639</v>
      </c>
      <c r="CT26" s="467">
        <v>0</v>
      </c>
      <c r="CU26" s="469">
        <v>2408879639</v>
      </c>
      <c r="CV26" s="467">
        <v>0</v>
      </c>
      <c r="CW26" s="469">
        <f>105824545</f>
        <v>105824545</v>
      </c>
      <c r="CX26" s="467">
        <v>0</v>
      </c>
      <c r="CY26" s="469">
        <f>5351354945-580768297-2000000000</f>
        <v>2770586648</v>
      </c>
      <c r="CZ26" s="467">
        <v>0</v>
      </c>
      <c r="DA26" s="469">
        <v>105824545</v>
      </c>
      <c r="DB26" s="467">
        <v>0</v>
      </c>
      <c r="DC26" s="469">
        <v>105824545</v>
      </c>
      <c r="DD26" s="467">
        <v>0</v>
      </c>
      <c r="DE26" s="469">
        <v>3351354945</v>
      </c>
      <c r="DF26" s="467">
        <v>0</v>
      </c>
      <c r="DG26" s="469">
        <f>1604153050+52000000-535436705</f>
        <v>1120716345</v>
      </c>
      <c r="DH26" s="467">
        <v>0</v>
      </c>
      <c r="DI26" s="468">
        <f t="shared" si="90"/>
        <v>14723214703</v>
      </c>
      <c r="DJ26" s="468">
        <f t="shared" ref="DJ26:DJ28" si="98">CK26+CM26+CO26</f>
        <v>13578500</v>
      </c>
      <c r="DK26" s="468">
        <f t="shared" ref="DK26:DK28" si="99">CL26+CN26+CP26</f>
        <v>13578500</v>
      </c>
      <c r="DL26" s="467">
        <f t="shared" si="95"/>
        <v>14723214703</v>
      </c>
      <c r="DM26" s="467">
        <f t="shared" si="91"/>
        <v>13578500</v>
      </c>
      <c r="DN26" s="467">
        <v>0</v>
      </c>
      <c r="DO26" s="467"/>
      <c r="DP26" s="467"/>
      <c r="DQ26" s="467"/>
      <c r="DR26" s="467"/>
      <c r="DS26" s="467"/>
      <c r="DT26" s="467"/>
      <c r="DU26" s="467"/>
      <c r="DV26" s="467"/>
      <c r="DW26" s="467"/>
      <c r="DX26" s="467"/>
      <c r="DY26" s="467"/>
      <c r="DZ26" s="467"/>
      <c r="EA26" s="467"/>
      <c r="EB26" s="467"/>
      <c r="EC26" s="467"/>
      <c r="ED26" s="467"/>
      <c r="EE26" s="467"/>
      <c r="EF26" s="467"/>
      <c r="EG26" s="467"/>
      <c r="EH26" s="467"/>
      <c r="EI26" s="467"/>
      <c r="EJ26" s="467"/>
      <c r="EK26" s="467"/>
      <c r="EL26" s="467"/>
      <c r="EM26" s="467"/>
      <c r="EN26" s="467"/>
      <c r="EO26" s="467"/>
      <c r="EP26" s="467"/>
      <c r="EQ26" s="467"/>
      <c r="ER26" s="465">
        <f t="shared" si="62"/>
        <v>1</v>
      </c>
      <c r="ES26" s="466">
        <f t="shared" si="63"/>
        <v>1</v>
      </c>
      <c r="ET26" s="465">
        <f t="shared" si="64"/>
        <v>9.2225103511077964E-4</v>
      </c>
      <c r="EU26" s="465">
        <f t="shared" si="65"/>
        <v>0.32132020464670796</v>
      </c>
      <c r="EV26" s="465">
        <f>IFERROR((AA26+BE26+CI26+DM26)/G26,0)</f>
        <v>0</v>
      </c>
      <c r="EW26" s="823"/>
      <c r="EX26" s="758"/>
      <c r="EY26" s="758"/>
      <c r="EZ26" s="758"/>
      <c r="FA26" s="758"/>
    </row>
    <row r="27" spans="1:157" ht="29.25" customHeight="1" x14ac:dyDescent="0.25">
      <c r="A27" s="827"/>
      <c r="B27" s="836"/>
      <c r="C27" s="833"/>
      <c r="D27" s="833"/>
      <c r="E27" s="833"/>
      <c r="F27" s="41" t="s">
        <v>104</v>
      </c>
      <c r="G27" s="454">
        <v>0</v>
      </c>
      <c r="H27" s="480">
        <v>0</v>
      </c>
      <c r="I27" s="480">
        <v>0</v>
      </c>
      <c r="J27" s="480">
        <v>0</v>
      </c>
      <c r="K27" s="480">
        <v>0</v>
      </c>
      <c r="L27" s="480">
        <v>0</v>
      </c>
      <c r="M27" s="480">
        <v>0</v>
      </c>
      <c r="N27" s="480">
        <v>0</v>
      </c>
      <c r="O27" s="480">
        <v>0</v>
      </c>
      <c r="P27" s="480">
        <v>0</v>
      </c>
      <c r="Q27" s="480">
        <v>0</v>
      </c>
      <c r="R27" s="480">
        <v>0</v>
      </c>
      <c r="S27" s="480">
        <v>0</v>
      </c>
      <c r="T27" s="480">
        <v>0</v>
      </c>
      <c r="U27" s="480">
        <v>0</v>
      </c>
      <c r="V27" s="480">
        <v>0</v>
      </c>
      <c r="W27" s="480"/>
      <c r="X27" s="480"/>
      <c r="Y27" s="480"/>
      <c r="Z27" s="461">
        <v>0</v>
      </c>
      <c r="AA27" s="461">
        <v>0</v>
      </c>
      <c r="AB27" s="480">
        <v>0</v>
      </c>
      <c r="AC27" s="470">
        <v>0</v>
      </c>
      <c r="AD27" s="470">
        <v>0</v>
      </c>
      <c r="AE27" s="470">
        <v>0</v>
      </c>
      <c r="AF27" s="470">
        <v>0</v>
      </c>
      <c r="AG27" s="470">
        <v>0</v>
      </c>
      <c r="AH27" s="470">
        <v>0</v>
      </c>
      <c r="AI27" s="470">
        <v>0</v>
      </c>
      <c r="AJ27" s="470">
        <v>0</v>
      </c>
      <c r="AK27" s="470">
        <v>0</v>
      </c>
      <c r="AL27" s="470">
        <v>0</v>
      </c>
      <c r="AM27" s="480">
        <v>0</v>
      </c>
      <c r="AN27" s="480">
        <v>0</v>
      </c>
      <c r="AO27" s="480">
        <v>0</v>
      </c>
      <c r="AP27" s="480">
        <v>0</v>
      </c>
      <c r="AQ27" s="480">
        <v>0</v>
      </c>
      <c r="AR27" s="480">
        <v>0</v>
      </c>
      <c r="AS27" s="480">
        <v>0</v>
      </c>
      <c r="AT27" s="480">
        <v>0</v>
      </c>
      <c r="AU27" s="480">
        <v>0</v>
      </c>
      <c r="AV27" s="480">
        <v>0</v>
      </c>
      <c r="AW27" s="480">
        <v>0</v>
      </c>
      <c r="AX27" s="480">
        <v>0</v>
      </c>
      <c r="AY27" s="480">
        <v>0</v>
      </c>
      <c r="AZ27" s="480">
        <v>0</v>
      </c>
      <c r="BA27" s="472">
        <f t="shared" si="84"/>
        <v>0</v>
      </c>
      <c r="BB27" s="472">
        <f>AC27+AE27+AG27+AI27+AK27</f>
        <v>0</v>
      </c>
      <c r="BC27" s="472">
        <f>AD27+AF27+AH27+AJ27+AL27+AN27+AP27+AR27</f>
        <v>0</v>
      </c>
      <c r="BD27" s="462">
        <f t="shared" ref="BD27:BD28" si="100">BA27+AA27</f>
        <v>0</v>
      </c>
      <c r="BE27" s="462">
        <f t="shared" ref="BE27:BE28" si="101">BC27+AA27</f>
        <v>0</v>
      </c>
      <c r="BF27" s="462">
        <v>0</v>
      </c>
      <c r="BG27" s="461">
        <v>0</v>
      </c>
      <c r="BH27" s="461">
        <v>0</v>
      </c>
      <c r="BI27" s="461">
        <v>0</v>
      </c>
      <c r="BJ27" s="461">
        <v>0</v>
      </c>
      <c r="BK27" s="461">
        <v>0</v>
      </c>
      <c r="BL27" s="461">
        <v>0</v>
      </c>
      <c r="BM27" s="461">
        <v>0</v>
      </c>
      <c r="BN27" s="461">
        <v>0</v>
      </c>
      <c r="BO27" s="461">
        <v>0</v>
      </c>
      <c r="BP27" s="461">
        <v>0</v>
      </c>
      <c r="BQ27" s="461">
        <v>0</v>
      </c>
      <c r="BR27" s="461">
        <v>0</v>
      </c>
      <c r="BS27" s="461">
        <v>0</v>
      </c>
      <c r="BT27" s="461">
        <v>0</v>
      </c>
      <c r="BU27" s="461">
        <v>0</v>
      </c>
      <c r="BV27" s="461">
        <v>0</v>
      </c>
      <c r="BW27" s="461">
        <v>0</v>
      </c>
      <c r="BX27" s="461">
        <v>0</v>
      </c>
      <c r="BY27" s="461">
        <v>0</v>
      </c>
      <c r="BZ27" s="461">
        <v>0</v>
      </c>
      <c r="CA27" s="461">
        <v>0</v>
      </c>
      <c r="CB27" s="461">
        <v>0</v>
      </c>
      <c r="CC27" s="461">
        <v>0</v>
      </c>
      <c r="CD27" s="461">
        <v>0</v>
      </c>
      <c r="CE27" s="461">
        <f t="shared" si="86"/>
        <v>0</v>
      </c>
      <c r="CF27" s="461">
        <f>BG27</f>
        <v>0</v>
      </c>
      <c r="CG27" s="461">
        <f t="shared" si="97"/>
        <v>0</v>
      </c>
      <c r="CH27" s="461">
        <f t="shared" si="88"/>
        <v>0</v>
      </c>
      <c r="CI27" s="461">
        <f t="shared" si="89"/>
        <v>0</v>
      </c>
      <c r="CJ27" s="461">
        <v>0</v>
      </c>
      <c r="CK27" s="461">
        <v>0</v>
      </c>
      <c r="CL27" s="461">
        <v>0</v>
      </c>
      <c r="CM27" s="461">
        <v>0</v>
      </c>
      <c r="CN27" s="482">
        <f>CM28-CN28</f>
        <v>0</v>
      </c>
      <c r="CO27" s="473">
        <v>0</v>
      </c>
      <c r="CP27" s="473">
        <v>0</v>
      </c>
      <c r="CQ27" s="461">
        <v>0</v>
      </c>
      <c r="CR27" s="461">
        <v>0</v>
      </c>
      <c r="CS27" s="461">
        <v>0</v>
      </c>
      <c r="CT27" s="461">
        <v>0</v>
      </c>
      <c r="CU27" s="461">
        <v>0</v>
      </c>
      <c r="CV27" s="461">
        <v>0</v>
      </c>
      <c r="CW27" s="461">
        <v>0</v>
      </c>
      <c r="CX27" s="461">
        <v>0</v>
      </c>
      <c r="CY27" s="461">
        <v>0</v>
      </c>
      <c r="CZ27" s="461">
        <v>0</v>
      </c>
      <c r="DA27" s="461">
        <v>0</v>
      </c>
      <c r="DB27" s="461">
        <v>0</v>
      </c>
      <c r="DC27" s="461">
        <v>0</v>
      </c>
      <c r="DD27" s="461">
        <v>0</v>
      </c>
      <c r="DE27" s="461">
        <v>0</v>
      </c>
      <c r="DF27" s="461">
        <v>0</v>
      </c>
      <c r="DG27" s="461">
        <v>0</v>
      </c>
      <c r="DH27" s="461">
        <v>0</v>
      </c>
      <c r="DI27" s="462">
        <f t="shared" si="90"/>
        <v>0</v>
      </c>
      <c r="DJ27" s="468">
        <f t="shared" si="98"/>
        <v>0</v>
      </c>
      <c r="DK27" s="468">
        <f t="shared" si="99"/>
        <v>0</v>
      </c>
      <c r="DL27" s="461">
        <f t="shared" si="95"/>
        <v>0</v>
      </c>
      <c r="DM27" s="461">
        <v>0</v>
      </c>
      <c r="DN27" s="461"/>
      <c r="DO27" s="480">
        <v>0</v>
      </c>
      <c r="DP27" s="480">
        <v>0</v>
      </c>
      <c r="DQ27" s="480">
        <v>0</v>
      </c>
      <c r="DR27" s="480">
        <v>0</v>
      </c>
      <c r="DS27" s="480">
        <v>0</v>
      </c>
      <c r="DT27" s="480">
        <v>0</v>
      </c>
      <c r="DU27" s="480">
        <v>0</v>
      </c>
      <c r="DV27" s="480">
        <v>0</v>
      </c>
      <c r="DW27" s="480">
        <v>0</v>
      </c>
      <c r="DX27" s="480">
        <v>0</v>
      </c>
      <c r="DY27" s="480">
        <v>0</v>
      </c>
      <c r="DZ27" s="480">
        <v>0</v>
      </c>
      <c r="EA27" s="480">
        <v>0</v>
      </c>
      <c r="EB27" s="480">
        <v>0</v>
      </c>
      <c r="EC27" s="480">
        <v>0</v>
      </c>
      <c r="ED27" s="480">
        <v>0</v>
      </c>
      <c r="EE27" s="480">
        <v>0</v>
      </c>
      <c r="EF27" s="480">
        <v>0</v>
      </c>
      <c r="EG27" s="480">
        <v>0</v>
      </c>
      <c r="EH27" s="480">
        <v>0</v>
      </c>
      <c r="EI27" s="480">
        <v>0</v>
      </c>
      <c r="EJ27" s="480">
        <v>0</v>
      </c>
      <c r="EK27" s="480"/>
      <c r="EL27" s="480">
        <v>0</v>
      </c>
      <c r="EM27" s="480"/>
      <c r="EN27" s="480"/>
      <c r="EO27" s="480"/>
      <c r="EP27" s="480"/>
      <c r="EQ27" s="480">
        <v>0</v>
      </c>
      <c r="ER27" s="465">
        <f>IFERROR(CP27/CO27,0)</f>
        <v>0</v>
      </c>
      <c r="ES27" s="466">
        <f>IFERROR(DK27/DJ27,0)</f>
        <v>0</v>
      </c>
      <c r="ET27" s="465">
        <f>IFERROR(DM27/DL27,0)</f>
        <v>0</v>
      </c>
      <c r="EU27" s="465">
        <f>IFERROR((AA27+BE27+CI27+DK27)/(Z27+BD27+CH27+DJ27),0)</f>
        <v>0</v>
      </c>
      <c r="EV27" s="465">
        <f>IFERROR((AA27+BE27+CI27+DM27)/G27,0)</f>
        <v>0</v>
      </c>
      <c r="EW27" s="823"/>
      <c r="EX27" s="758"/>
      <c r="EY27" s="758"/>
      <c r="EZ27" s="758"/>
      <c r="FA27" s="758"/>
    </row>
    <row r="28" spans="1:157" ht="29.25" customHeight="1" x14ac:dyDescent="0.25">
      <c r="A28" s="827"/>
      <c r="B28" s="836"/>
      <c r="C28" s="833"/>
      <c r="D28" s="833"/>
      <c r="E28" s="833"/>
      <c r="F28" s="457" t="s">
        <v>105</v>
      </c>
      <c r="G28" s="612">
        <f>AA28+BE28+CI28+DL28+DN28</f>
        <v>11441769176</v>
      </c>
      <c r="H28" s="467">
        <v>0</v>
      </c>
      <c r="I28" s="467">
        <v>0</v>
      </c>
      <c r="J28" s="467">
        <v>0</v>
      </c>
      <c r="K28" s="467">
        <v>0</v>
      </c>
      <c r="L28" s="467">
        <v>0</v>
      </c>
      <c r="M28" s="467">
        <v>0</v>
      </c>
      <c r="N28" s="467">
        <v>0</v>
      </c>
      <c r="O28" s="467">
        <v>0</v>
      </c>
      <c r="P28" s="467">
        <v>0</v>
      </c>
      <c r="Q28" s="467">
        <v>0</v>
      </c>
      <c r="R28" s="467">
        <v>0</v>
      </c>
      <c r="S28" s="467">
        <v>0</v>
      </c>
      <c r="T28" s="467">
        <v>0</v>
      </c>
      <c r="U28" s="467">
        <v>0</v>
      </c>
      <c r="V28" s="467">
        <v>0</v>
      </c>
      <c r="W28" s="467"/>
      <c r="X28" s="467"/>
      <c r="Y28" s="467"/>
      <c r="Z28" s="467">
        <v>0</v>
      </c>
      <c r="AA28" s="467">
        <v>0</v>
      </c>
      <c r="AB28" s="467">
        <v>482091123</v>
      </c>
      <c r="AC28" s="474">
        <v>56095900</v>
      </c>
      <c r="AD28" s="474">
        <v>56095900</v>
      </c>
      <c r="AE28" s="474">
        <v>47042969</v>
      </c>
      <c r="AF28" s="474">
        <v>47042969</v>
      </c>
      <c r="AG28" s="474">
        <v>16360899</v>
      </c>
      <c r="AH28" s="474">
        <v>16360899</v>
      </c>
      <c r="AI28" s="474">
        <v>2851200</v>
      </c>
      <c r="AJ28" s="474">
        <v>2851200</v>
      </c>
      <c r="AK28" s="474">
        <v>13417635</v>
      </c>
      <c r="AL28" s="474">
        <v>13417635</v>
      </c>
      <c r="AM28" s="467">
        <f>AD28+AF28+AH28+AJ28+AL28</f>
        <v>135768603</v>
      </c>
      <c r="AN28" s="467">
        <v>12833687</v>
      </c>
      <c r="AO28" s="467">
        <v>0</v>
      </c>
      <c r="AP28" s="467">
        <v>75428188</v>
      </c>
      <c r="AQ28" s="467">
        <v>210553917</v>
      </c>
      <c r="AR28" s="467">
        <v>177876396</v>
      </c>
      <c r="AS28" s="467">
        <v>0</v>
      </c>
      <c r="AT28" s="467">
        <v>2372067</v>
      </c>
      <c r="AU28" s="467">
        <v>0</v>
      </c>
      <c r="AV28" s="467">
        <v>25730180</v>
      </c>
      <c r="AW28" s="467">
        <v>0</v>
      </c>
      <c r="AX28" s="467">
        <v>0</v>
      </c>
      <c r="AY28" s="467">
        <v>0</v>
      </c>
      <c r="AZ28" s="467">
        <v>0</v>
      </c>
      <c r="BA28" s="472">
        <f t="shared" si="84"/>
        <v>482091123</v>
      </c>
      <c r="BB28" s="472">
        <f t="shared" ref="BB28:BC28" si="102">AC28+AE28+AG28+AI28+AK28+AM28+AO28+AQ28+AS28+AU28+AW28+AY28</f>
        <v>482091123</v>
      </c>
      <c r="BC28" s="472">
        <f t="shared" si="102"/>
        <v>430009121</v>
      </c>
      <c r="BD28" s="468">
        <f t="shared" si="100"/>
        <v>482091123</v>
      </c>
      <c r="BE28" s="468">
        <f t="shared" si="101"/>
        <v>430009121</v>
      </c>
      <c r="BF28" s="469">
        <v>3397523004</v>
      </c>
      <c r="BG28" s="467">
        <v>1117939591</v>
      </c>
      <c r="BH28" s="467">
        <v>1117939591</v>
      </c>
      <c r="BI28" s="467">
        <v>72765634</v>
      </c>
      <c r="BJ28" s="467">
        <v>32674033</v>
      </c>
      <c r="BK28" s="467">
        <f>1558637470-432140769</f>
        <v>1126496701</v>
      </c>
      <c r="BL28" s="467">
        <v>23579190</v>
      </c>
      <c r="BM28" s="467">
        <f>176874470-756400-40000</f>
        <v>176078070</v>
      </c>
      <c r="BN28" s="467">
        <v>142122791</v>
      </c>
      <c r="BO28" s="467">
        <v>356875217</v>
      </c>
      <c r="BP28" s="467">
        <v>569598983</v>
      </c>
      <c r="BQ28" s="467">
        <f>86874430-47320176</f>
        <v>39554254</v>
      </c>
      <c r="BR28" s="467">
        <v>560898572</v>
      </c>
      <c r="BS28" s="467">
        <f>25289458+2</f>
        <v>25289460</v>
      </c>
      <c r="BT28" s="467">
        <v>104587877</v>
      </c>
      <c r="BU28" s="467">
        <v>0</v>
      </c>
      <c r="BV28" s="467">
        <v>0</v>
      </c>
      <c r="BW28" s="469">
        <v>0</v>
      </c>
      <c r="BX28" s="467">
        <v>0</v>
      </c>
      <c r="BY28" s="469">
        <v>0</v>
      </c>
      <c r="BZ28" s="467">
        <v>0</v>
      </c>
      <c r="CA28" s="469">
        <v>0</v>
      </c>
      <c r="CB28" s="467">
        <v>47608880</v>
      </c>
      <c r="CC28" s="469">
        <v>0</v>
      </c>
      <c r="CD28" s="467">
        <v>283660812</v>
      </c>
      <c r="CE28" s="467">
        <f t="shared" si="86"/>
        <v>2914998927</v>
      </c>
      <c r="CF28" s="467">
        <f t="shared" ref="CF28:CG28" si="103">BG28+BI28+BK28+BM28+BO28+BQ28+BS28+BU28+BW28+BY28+CA28+CC28</f>
        <v>2914998927</v>
      </c>
      <c r="CG28" s="467">
        <f t="shared" si="103"/>
        <v>2882670729</v>
      </c>
      <c r="CH28" s="467">
        <f t="shared" si="88"/>
        <v>2914998927</v>
      </c>
      <c r="CI28" s="467">
        <f t="shared" si="89"/>
        <v>2882670729</v>
      </c>
      <c r="CJ28" s="467">
        <v>8129089326</v>
      </c>
      <c r="CK28" s="467">
        <v>7131483136</v>
      </c>
      <c r="CL28" s="467">
        <v>7131483136</v>
      </c>
      <c r="CM28" s="467">
        <v>57570339</v>
      </c>
      <c r="CN28" s="467">
        <v>57570339</v>
      </c>
      <c r="CO28" s="469">
        <v>18683031</v>
      </c>
      <c r="CP28" s="469">
        <v>18683031</v>
      </c>
      <c r="CQ28" s="467">
        <v>184782204</v>
      </c>
      <c r="CR28" s="467">
        <v>0</v>
      </c>
      <c r="CS28" s="467">
        <v>1628400</v>
      </c>
      <c r="CT28" s="467">
        <v>0</v>
      </c>
      <c r="CU28" s="467">
        <v>407100</v>
      </c>
      <c r="CV28" s="467">
        <v>0</v>
      </c>
      <c r="CW28" s="467">
        <v>734535116</v>
      </c>
      <c r="CX28" s="467">
        <v>0</v>
      </c>
      <c r="CY28" s="467">
        <v>0</v>
      </c>
      <c r="CZ28" s="467">
        <v>0</v>
      </c>
      <c r="DA28" s="467">
        <v>0</v>
      </c>
      <c r="DB28" s="467">
        <v>0</v>
      </c>
      <c r="DC28" s="467">
        <v>0</v>
      </c>
      <c r="DD28" s="467">
        <v>0</v>
      </c>
      <c r="DE28" s="467">
        <v>0</v>
      </c>
      <c r="DF28" s="467">
        <v>0</v>
      </c>
      <c r="DG28" s="467">
        <v>0</v>
      </c>
      <c r="DH28" s="467">
        <v>0</v>
      </c>
      <c r="DI28" s="468">
        <f t="shared" si="90"/>
        <v>8129089326</v>
      </c>
      <c r="DJ28" s="468">
        <f t="shared" si="98"/>
        <v>7207736506</v>
      </c>
      <c r="DK28" s="468">
        <f t="shared" si="99"/>
        <v>7207736506</v>
      </c>
      <c r="DL28" s="467">
        <f t="shared" si="95"/>
        <v>8129089326</v>
      </c>
      <c r="DM28" s="467">
        <f t="shared" ref="DM28" si="104">DK28</f>
        <v>7207736506</v>
      </c>
      <c r="DN28" s="467"/>
      <c r="DO28" s="467">
        <v>0</v>
      </c>
      <c r="DP28" s="467">
        <v>0</v>
      </c>
      <c r="DQ28" s="467">
        <v>0</v>
      </c>
      <c r="DR28" s="467">
        <v>0</v>
      </c>
      <c r="DS28" s="467">
        <v>0</v>
      </c>
      <c r="DT28" s="467">
        <v>0</v>
      </c>
      <c r="DU28" s="467">
        <v>0</v>
      </c>
      <c r="DV28" s="467">
        <v>0</v>
      </c>
      <c r="DW28" s="467">
        <v>0</v>
      </c>
      <c r="DX28" s="467">
        <v>0</v>
      </c>
      <c r="DY28" s="467">
        <v>0</v>
      </c>
      <c r="DZ28" s="467">
        <v>0</v>
      </c>
      <c r="EA28" s="467">
        <v>0</v>
      </c>
      <c r="EB28" s="467">
        <v>0</v>
      </c>
      <c r="EC28" s="467">
        <v>0</v>
      </c>
      <c r="ED28" s="467">
        <v>0</v>
      </c>
      <c r="EE28" s="467">
        <v>0</v>
      </c>
      <c r="EF28" s="467">
        <v>0</v>
      </c>
      <c r="EG28" s="467">
        <v>0</v>
      </c>
      <c r="EH28" s="467">
        <v>0</v>
      </c>
      <c r="EI28" s="467">
        <v>0</v>
      </c>
      <c r="EJ28" s="467">
        <v>0</v>
      </c>
      <c r="EK28" s="467"/>
      <c r="EL28" s="467">
        <v>0</v>
      </c>
      <c r="EM28" s="467"/>
      <c r="EN28" s="467"/>
      <c r="EO28" s="467"/>
      <c r="EP28" s="467"/>
      <c r="EQ28" s="467">
        <v>0</v>
      </c>
      <c r="ER28" s="465">
        <f t="shared" si="62"/>
        <v>1</v>
      </c>
      <c r="ES28" s="466">
        <f t="shared" si="63"/>
        <v>1</v>
      </c>
      <c r="ET28" s="465">
        <f t="shared" si="64"/>
        <v>0.8866597741701332</v>
      </c>
      <c r="EU28" s="465">
        <f t="shared" si="65"/>
        <v>0.99204039787409415</v>
      </c>
      <c r="EV28" s="465">
        <f t="shared" si="66"/>
        <v>0.91947461919327922</v>
      </c>
      <c r="EW28" s="823"/>
      <c r="EX28" s="758"/>
      <c r="EY28" s="758"/>
      <c r="EZ28" s="758"/>
      <c r="FA28" s="758"/>
    </row>
    <row r="29" spans="1:157" ht="29.25" customHeight="1" thickBot="1" x14ac:dyDescent="0.3">
      <c r="A29" s="827"/>
      <c r="B29" s="836"/>
      <c r="C29" s="833"/>
      <c r="D29" s="833"/>
      <c r="E29" s="833"/>
      <c r="F29" s="41" t="s">
        <v>106</v>
      </c>
      <c r="G29" s="616">
        <v>590</v>
      </c>
      <c r="H29" s="517">
        <f t="shared" ref="H29:O29" si="105">H24+H27</f>
        <v>54</v>
      </c>
      <c r="I29" s="517">
        <f t="shared" si="105"/>
        <v>54</v>
      </c>
      <c r="J29" s="517">
        <f t="shared" si="105"/>
        <v>0</v>
      </c>
      <c r="K29" s="517">
        <f t="shared" si="105"/>
        <v>54</v>
      </c>
      <c r="L29" s="517">
        <f t="shared" si="105"/>
        <v>0</v>
      </c>
      <c r="M29" s="517">
        <f t="shared" si="105"/>
        <v>54</v>
      </c>
      <c r="N29" s="517">
        <f t="shared" si="105"/>
        <v>0</v>
      </c>
      <c r="O29" s="517">
        <f t="shared" si="105"/>
        <v>54</v>
      </c>
      <c r="P29" s="518">
        <f>+P24</f>
        <v>4.1100000000000003</v>
      </c>
      <c r="Q29" s="517">
        <f>Q24+Q27</f>
        <v>54</v>
      </c>
      <c r="R29" s="518">
        <f>+R24</f>
        <v>4.24</v>
      </c>
      <c r="S29" s="517">
        <f t="shared" ref="S29:T29" si="106">S24+S27</f>
        <v>54</v>
      </c>
      <c r="T29" s="519">
        <f t="shared" si="106"/>
        <v>4.8070000000000004</v>
      </c>
      <c r="U29" s="517">
        <v>54</v>
      </c>
      <c r="V29" s="517">
        <v>5.24</v>
      </c>
      <c r="W29" s="517"/>
      <c r="X29" s="517"/>
      <c r="Y29" s="517"/>
      <c r="Z29" s="487">
        <v>54</v>
      </c>
      <c r="AA29" s="486">
        <v>5.24</v>
      </c>
      <c r="AB29" s="517">
        <f t="shared" ref="AB29:BB29" si="107">AB24+AB27</f>
        <v>590</v>
      </c>
      <c r="AC29" s="518">
        <f t="shared" si="107"/>
        <v>1.48</v>
      </c>
      <c r="AD29" s="518">
        <f t="shared" si="107"/>
        <v>1.48</v>
      </c>
      <c r="AE29" s="518">
        <f t="shared" si="107"/>
        <v>0</v>
      </c>
      <c r="AF29" s="518">
        <f t="shared" si="107"/>
        <v>0</v>
      </c>
      <c r="AG29" s="518">
        <f t="shared" si="107"/>
        <v>0</v>
      </c>
      <c r="AH29" s="518">
        <f t="shared" si="107"/>
        <v>0</v>
      </c>
      <c r="AI29" s="518">
        <f t="shared" si="107"/>
        <v>1.38</v>
      </c>
      <c r="AJ29" s="518">
        <f t="shared" si="107"/>
        <v>1.38</v>
      </c>
      <c r="AK29" s="518">
        <f t="shared" si="107"/>
        <v>7.84</v>
      </c>
      <c r="AL29" s="518">
        <f t="shared" si="107"/>
        <v>5.85</v>
      </c>
      <c r="AM29" s="518">
        <f t="shared" si="107"/>
        <v>2.5</v>
      </c>
      <c r="AN29" s="518">
        <f t="shared" si="107"/>
        <v>1.3</v>
      </c>
      <c r="AO29" s="518">
        <f t="shared" si="107"/>
        <v>3</v>
      </c>
      <c r="AP29" s="518">
        <f t="shared" si="107"/>
        <v>19.72</v>
      </c>
      <c r="AQ29" s="518">
        <f t="shared" si="107"/>
        <v>2.81</v>
      </c>
      <c r="AR29" s="518">
        <f t="shared" si="107"/>
        <v>5.75</v>
      </c>
      <c r="AS29" s="518">
        <f t="shared" si="107"/>
        <v>2.99</v>
      </c>
      <c r="AT29" s="518">
        <f t="shared" si="107"/>
        <v>5.24</v>
      </c>
      <c r="AU29" s="518">
        <f t="shared" si="107"/>
        <v>188</v>
      </c>
      <c r="AV29" s="518">
        <f t="shared" si="107"/>
        <v>14.3</v>
      </c>
      <c r="AW29" s="518">
        <f t="shared" si="107"/>
        <v>190</v>
      </c>
      <c r="AX29" s="518">
        <f t="shared" si="107"/>
        <v>2.12</v>
      </c>
      <c r="AY29" s="518">
        <f t="shared" si="107"/>
        <v>190</v>
      </c>
      <c r="AZ29" s="518">
        <f t="shared" si="107"/>
        <v>3.42</v>
      </c>
      <c r="BA29" s="518">
        <f t="shared" si="107"/>
        <v>590</v>
      </c>
      <c r="BB29" s="518">
        <f t="shared" si="107"/>
        <v>590</v>
      </c>
      <c r="BC29" s="485">
        <f>BC24</f>
        <v>60.559999999999995</v>
      </c>
      <c r="BD29" s="487">
        <f t="shared" ref="BD29:BE29" si="108">BD24+BD27</f>
        <v>590</v>
      </c>
      <c r="BE29" s="487">
        <f t="shared" si="108"/>
        <v>60.559999999999995</v>
      </c>
      <c r="BF29" s="486">
        <f t="shared" ref="BF29:BQ29" si="109">+BF24</f>
        <v>590</v>
      </c>
      <c r="BG29" s="487">
        <f t="shared" si="109"/>
        <v>0</v>
      </c>
      <c r="BH29" s="487">
        <f t="shared" si="109"/>
        <v>0</v>
      </c>
      <c r="BI29" s="487">
        <f t="shared" si="109"/>
        <v>2.5499999999999998</v>
      </c>
      <c r="BJ29" s="487">
        <f t="shared" si="109"/>
        <v>2.5499999999999998</v>
      </c>
      <c r="BK29" s="487">
        <f t="shared" si="109"/>
        <v>2</v>
      </c>
      <c r="BL29" s="487">
        <f t="shared" si="109"/>
        <v>4.57</v>
      </c>
      <c r="BM29" s="487">
        <f t="shared" si="109"/>
        <v>2</v>
      </c>
      <c r="BN29" s="487">
        <f t="shared" si="109"/>
        <v>6.97</v>
      </c>
      <c r="BO29" s="487">
        <f t="shared" si="109"/>
        <v>2</v>
      </c>
      <c r="BP29" s="487">
        <f t="shared" si="109"/>
        <v>3.46</v>
      </c>
      <c r="BQ29" s="487">
        <f t="shared" si="109"/>
        <v>2</v>
      </c>
      <c r="BR29" s="487">
        <f>BR24+BR27</f>
        <v>6.97</v>
      </c>
      <c r="BS29" s="487">
        <f t="shared" ref="BS29:BX29" si="110">+BS24</f>
        <v>2</v>
      </c>
      <c r="BT29" s="487">
        <f t="shared" si="110"/>
        <v>3.14</v>
      </c>
      <c r="BU29" s="487">
        <f t="shared" si="110"/>
        <v>2</v>
      </c>
      <c r="BV29" s="487">
        <f t="shared" si="110"/>
        <v>7.5</v>
      </c>
      <c r="BW29" s="487">
        <f t="shared" si="110"/>
        <v>148</v>
      </c>
      <c r="BX29" s="487">
        <f t="shared" si="110"/>
        <v>8</v>
      </c>
      <c r="BY29" s="487">
        <f t="shared" ref="BY29:BZ29" si="111">BY24+BY27</f>
        <v>148</v>
      </c>
      <c r="BZ29" s="487">
        <f t="shared" si="111"/>
        <v>25.2</v>
      </c>
      <c r="CA29" s="487">
        <f>+CA24</f>
        <v>148</v>
      </c>
      <c r="CB29" s="486">
        <f>CB24+CB27</f>
        <v>3.03</v>
      </c>
      <c r="CC29" s="487">
        <f t="shared" ref="CC29:CD29" si="112">+CC24</f>
        <v>131.44999999999999</v>
      </c>
      <c r="CD29" s="487">
        <f t="shared" si="112"/>
        <v>4.34</v>
      </c>
      <c r="CE29" s="487">
        <f t="shared" ref="CE29:CI29" si="113">CE24+CE27</f>
        <v>590</v>
      </c>
      <c r="CF29" s="487">
        <f t="shared" si="113"/>
        <v>590</v>
      </c>
      <c r="CG29" s="487">
        <f t="shared" si="113"/>
        <v>75.73</v>
      </c>
      <c r="CH29" s="487">
        <f t="shared" si="113"/>
        <v>590</v>
      </c>
      <c r="CI29" s="487">
        <f t="shared" si="113"/>
        <v>75.73</v>
      </c>
      <c r="CJ29" s="487">
        <f t="shared" ref="CJ29:DG29" si="114">+CJ24</f>
        <v>590</v>
      </c>
      <c r="CK29" s="509">
        <f t="shared" si="114"/>
        <v>0</v>
      </c>
      <c r="CL29" s="509">
        <f t="shared" si="114"/>
        <v>0</v>
      </c>
      <c r="CM29" s="509">
        <f t="shared" si="114"/>
        <v>0</v>
      </c>
      <c r="CN29" s="509">
        <f t="shared" si="114"/>
        <v>0</v>
      </c>
      <c r="CO29" s="489">
        <f t="shared" si="114"/>
        <v>0</v>
      </c>
      <c r="CP29" s="489">
        <f t="shared" si="114"/>
        <v>0</v>
      </c>
      <c r="CQ29" s="509">
        <f t="shared" si="114"/>
        <v>0</v>
      </c>
      <c r="CR29" s="509">
        <f t="shared" si="114"/>
        <v>0</v>
      </c>
      <c r="CS29" s="509">
        <f t="shared" si="114"/>
        <v>0</v>
      </c>
      <c r="CT29" s="509">
        <f t="shared" si="114"/>
        <v>0</v>
      </c>
      <c r="CU29" s="509">
        <f t="shared" si="114"/>
        <v>0</v>
      </c>
      <c r="CV29" s="509">
        <f t="shared" si="114"/>
        <v>0</v>
      </c>
      <c r="CW29" s="509">
        <f t="shared" si="114"/>
        <v>0</v>
      </c>
      <c r="CX29" s="509">
        <f t="shared" si="114"/>
        <v>0</v>
      </c>
      <c r="CY29" s="509">
        <f t="shared" si="114"/>
        <v>0</v>
      </c>
      <c r="CZ29" s="509">
        <f t="shared" si="114"/>
        <v>0</v>
      </c>
      <c r="DA29" s="509">
        <f t="shared" si="114"/>
        <v>148</v>
      </c>
      <c r="DB29" s="509">
        <f t="shared" si="114"/>
        <v>0</v>
      </c>
      <c r="DC29" s="509">
        <f t="shared" si="114"/>
        <v>148</v>
      </c>
      <c r="DD29" s="509">
        <f t="shared" si="114"/>
        <v>0</v>
      </c>
      <c r="DE29" s="509">
        <f t="shared" si="114"/>
        <v>148</v>
      </c>
      <c r="DF29" s="509">
        <f t="shared" si="114"/>
        <v>0</v>
      </c>
      <c r="DG29" s="509">
        <f t="shared" si="114"/>
        <v>146</v>
      </c>
      <c r="DH29" s="509">
        <v>0</v>
      </c>
      <c r="DI29" s="485">
        <f t="shared" si="90"/>
        <v>590</v>
      </c>
      <c r="DJ29" s="490">
        <f>CK29+CM29+CO29</f>
        <v>0</v>
      </c>
      <c r="DK29" s="490">
        <f>CL29+CN29+CP29</f>
        <v>0</v>
      </c>
      <c r="DL29" s="487">
        <f t="shared" ref="DL29" si="115">CM29+CO29+CQ29+CS29+CU29+CW29+CY29+DA29+DC29+DE29+DG29</f>
        <v>590</v>
      </c>
      <c r="DM29" s="518">
        <f t="shared" ref="DM29:EJ29" si="116">+DM24</f>
        <v>0</v>
      </c>
      <c r="DN29" s="487">
        <f t="shared" si="116"/>
        <v>590</v>
      </c>
      <c r="DO29" s="518">
        <f t="shared" si="116"/>
        <v>0</v>
      </c>
      <c r="DP29" s="518">
        <f t="shared" si="116"/>
        <v>0</v>
      </c>
      <c r="DQ29" s="518">
        <f t="shared" si="116"/>
        <v>0</v>
      </c>
      <c r="DR29" s="518">
        <f t="shared" si="116"/>
        <v>0</v>
      </c>
      <c r="DS29" s="518">
        <f t="shared" si="116"/>
        <v>0</v>
      </c>
      <c r="DT29" s="518">
        <f t="shared" si="116"/>
        <v>0</v>
      </c>
      <c r="DU29" s="518">
        <f t="shared" si="116"/>
        <v>0</v>
      </c>
      <c r="DV29" s="518">
        <f t="shared" si="116"/>
        <v>0</v>
      </c>
      <c r="DW29" s="518">
        <f t="shared" si="116"/>
        <v>0</v>
      </c>
      <c r="DX29" s="518">
        <f t="shared" si="116"/>
        <v>0</v>
      </c>
      <c r="DY29" s="518">
        <f t="shared" si="116"/>
        <v>0</v>
      </c>
      <c r="DZ29" s="518">
        <f t="shared" si="116"/>
        <v>0</v>
      </c>
      <c r="EA29" s="518">
        <f t="shared" si="116"/>
        <v>0</v>
      </c>
      <c r="EB29" s="518">
        <f t="shared" si="116"/>
        <v>0</v>
      </c>
      <c r="EC29" s="518">
        <f t="shared" si="116"/>
        <v>0</v>
      </c>
      <c r="ED29" s="518">
        <f t="shared" si="116"/>
        <v>0</v>
      </c>
      <c r="EE29" s="518">
        <f t="shared" si="116"/>
        <v>0</v>
      </c>
      <c r="EF29" s="518">
        <f t="shared" si="116"/>
        <v>0</v>
      </c>
      <c r="EG29" s="518">
        <f t="shared" si="116"/>
        <v>0</v>
      </c>
      <c r="EH29" s="518">
        <f t="shared" si="116"/>
        <v>0</v>
      </c>
      <c r="EI29" s="518">
        <f t="shared" si="116"/>
        <v>0</v>
      </c>
      <c r="EJ29" s="518">
        <f t="shared" si="116"/>
        <v>0</v>
      </c>
      <c r="EK29" s="518"/>
      <c r="EL29" s="518">
        <f t="shared" ref="EL29:EL30" si="117">+EL24</f>
        <v>0</v>
      </c>
      <c r="EM29" s="518"/>
      <c r="EN29" s="518"/>
      <c r="EO29" s="518"/>
      <c r="EP29" s="518"/>
      <c r="EQ29" s="518">
        <f t="shared" ref="EQ29:EQ30" si="118">+EQ24</f>
        <v>0</v>
      </c>
      <c r="ER29" s="465">
        <f>IFERROR(CP29/CO29,0)</f>
        <v>0</v>
      </c>
      <c r="ES29" s="466">
        <f>IFERROR(DK29/DJ29,0)</f>
        <v>0</v>
      </c>
      <c r="ET29" s="491">
        <f t="shared" si="64"/>
        <v>0</v>
      </c>
      <c r="EU29" s="491">
        <f t="shared" si="65"/>
        <v>0.11469205834683954</v>
      </c>
      <c r="EV29" s="491">
        <f>(AA29+BE29+CI29+DM29)/2414</f>
        <v>5.8628831814415909E-2</v>
      </c>
      <c r="EW29" s="823"/>
      <c r="EX29" s="758"/>
      <c r="EY29" s="758"/>
      <c r="EZ29" s="758"/>
      <c r="FA29" s="758"/>
    </row>
    <row r="30" spans="1:157" ht="29.25" customHeight="1" thickBot="1" x14ac:dyDescent="0.3">
      <c r="A30" s="827"/>
      <c r="B30" s="837"/>
      <c r="C30" s="834"/>
      <c r="D30" s="834"/>
      <c r="E30" s="834"/>
      <c r="F30" s="459" t="s">
        <v>107</v>
      </c>
      <c r="G30" s="617">
        <f>G25+G28</f>
        <v>54274967720</v>
      </c>
      <c r="H30" s="503">
        <f t="shared" ref="H30:T30" si="119">+H25+H28</f>
        <v>846820000</v>
      </c>
      <c r="I30" s="503">
        <f t="shared" si="119"/>
        <v>846820000</v>
      </c>
      <c r="J30" s="503">
        <f t="shared" si="119"/>
        <v>0</v>
      </c>
      <c r="K30" s="503">
        <f t="shared" si="119"/>
        <v>846820000</v>
      </c>
      <c r="L30" s="503">
        <f t="shared" si="119"/>
        <v>0</v>
      </c>
      <c r="M30" s="503">
        <f t="shared" si="119"/>
        <v>846820000</v>
      </c>
      <c r="N30" s="503">
        <f t="shared" si="119"/>
        <v>298980000</v>
      </c>
      <c r="O30" s="503">
        <f t="shared" si="119"/>
        <v>846820000</v>
      </c>
      <c r="P30" s="503">
        <f t="shared" si="119"/>
        <v>316529347</v>
      </c>
      <c r="Q30" s="503">
        <f t="shared" si="119"/>
        <v>846820000</v>
      </c>
      <c r="R30" s="503">
        <f t="shared" si="119"/>
        <v>323308102</v>
      </c>
      <c r="S30" s="503">
        <f t="shared" si="119"/>
        <v>846820000</v>
      </c>
      <c r="T30" s="503" t="e">
        <f t="shared" si="119"/>
        <v>#REF!</v>
      </c>
      <c r="U30" s="503">
        <v>817531593</v>
      </c>
      <c r="V30" s="503">
        <v>755491393</v>
      </c>
      <c r="W30" s="503"/>
      <c r="X30" s="503"/>
      <c r="Y30" s="503"/>
      <c r="Z30" s="503">
        <v>817531593</v>
      </c>
      <c r="AA30" s="502">
        <f>+AA25</f>
        <v>755491393</v>
      </c>
      <c r="AB30" s="503">
        <f t="shared" ref="AB30:DN30" si="120">AB25+AB28</f>
        <v>9280958123</v>
      </c>
      <c r="AC30" s="503">
        <f t="shared" si="120"/>
        <v>56095900</v>
      </c>
      <c r="AD30" s="503">
        <f t="shared" si="120"/>
        <v>56095900</v>
      </c>
      <c r="AE30" s="503">
        <f t="shared" si="120"/>
        <v>57737969</v>
      </c>
      <c r="AF30" s="503">
        <f t="shared" si="120"/>
        <v>57737969</v>
      </c>
      <c r="AG30" s="503">
        <f t="shared" si="120"/>
        <v>315448899</v>
      </c>
      <c r="AH30" s="503">
        <f t="shared" si="120"/>
        <v>315448899</v>
      </c>
      <c r="AI30" s="503">
        <f t="shared" si="120"/>
        <v>291804196</v>
      </c>
      <c r="AJ30" s="503">
        <f t="shared" si="120"/>
        <v>291804196</v>
      </c>
      <c r="AK30" s="503">
        <f t="shared" si="120"/>
        <v>14864513</v>
      </c>
      <c r="AL30" s="503">
        <f t="shared" si="120"/>
        <v>14864513</v>
      </c>
      <c r="AM30" s="503">
        <f t="shared" si="120"/>
        <v>313528518</v>
      </c>
      <c r="AN30" s="503">
        <f t="shared" si="120"/>
        <v>188798284</v>
      </c>
      <c r="AO30" s="503">
        <f t="shared" si="120"/>
        <v>0</v>
      </c>
      <c r="AP30" s="503">
        <f t="shared" si="120"/>
        <v>75428188</v>
      </c>
      <c r="AQ30" s="503">
        <f t="shared" si="120"/>
        <v>210553917</v>
      </c>
      <c r="AR30" s="503">
        <f t="shared" si="120"/>
        <v>177876396</v>
      </c>
      <c r="AS30" s="503">
        <f t="shared" si="120"/>
        <v>0</v>
      </c>
      <c r="AT30" s="503">
        <f t="shared" si="120"/>
        <v>5872067</v>
      </c>
      <c r="AU30" s="503">
        <f t="shared" si="120"/>
        <v>5091394000</v>
      </c>
      <c r="AV30" s="503">
        <f t="shared" si="120"/>
        <v>3025730180</v>
      </c>
      <c r="AW30" s="503">
        <f t="shared" si="120"/>
        <v>0</v>
      </c>
      <c r="AX30" s="503">
        <f t="shared" si="120"/>
        <v>3321023814</v>
      </c>
      <c r="AY30" s="503">
        <f t="shared" si="120"/>
        <v>1442443390</v>
      </c>
      <c r="AZ30" s="503">
        <f t="shared" si="120"/>
        <v>81036078</v>
      </c>
      <c r="BA30" s="503">
        <f t="shared" si="120"/>
        <v>7793871302</v>
      </c>
      <c r="BB30" s="503">
        <f t="shared" si="120"/>
        <v>7793871302</v>
      </c>
      <c r="BC30" s="503">
        <f t="shared" si="120"/>
        <v>7611716484</v>
      </c>
      <c r="BD30" s="503">
        <f t="shared" si="120"/>
        <v>7793871302</v>
      </c>
      <c r="BE30" s="503">
        <f t="shared" si="120"/>
        <v>7611716484</v>
      </c>
      <c r="BF30" s="503">
        <f t="shared" si="120"/>
        <v>13117095004</v>
      </c>
      <c r="BG30" s="503">
        <f t="shared" si="120"/>
        <v>2245792591</v>
      </c>
      <c r="BH30" s="503">
        <f t="shared" si="120"/>
        <v>2245792591</v>
      </c>
      <c r="BI30" s="503">
        <f t="shared" si="120"/>
        <v>72765634</v>
      </c>
      <c r="BJ30" s="503">
        <f t="shared" si="120"/>
        <v>32674033</v>
      </c>
      <c r="BK30" s="503">
        <f t="shared" si="120"/>
        <v>1547545072</v>
      </c>
      <c r="BL30" s="503">
        <f t="shared" si="120"/>
        <v>23579190</v>
      </c>
      <c r="BM30" s="503">
        <f t="shared" si="120"/>
        <v>226689672</v>
      </c>
      <c r="BN30" s="503">
        <f t="shared" si="120"/>
        <v>391784630</v>
      </c>
      <c r="BO30" s="503">
        <f t="shared" si="120"/>
        <v>358365217</v>
      </c>
      <c r="BP30" s="503">
        <f t="shared" si="120"/>
        <v>632653683</v>
      </c>
      <c r="BQ30" s="503">
        <f t="shared" si="120"/>
        <v>39554254</v>
      </c>
      <c r="BR30" s="503">
        <f t="shared" si="120"/>
        <v>560898572</v>
      </c>
      <c r="BS30" s="503">
        <f t="shared" si="120"/>
        <v>34360460</v>
      </c>
      <c r="BT30" s="503">
        <f t="shared" si="120"/>
        <v>159879610</v>
      </c>
      <c r="BU30" s="503">
        <f t="shared" si="120"/>
        <v>0</v>
      </c>
      <c r="BV30" s="503">
        <f t="shared" si="120"/>
        <v>0</v>
      </c>
      <c r="BW30" s="503">
        <f t="shared" si="120"/>
        <v>8103849000</v>
      </c>
      <c r="BX30" s="503">
        <f t="shared" si="120"/>
        <v>0</v>
      </c>
      <c r="BY30" s="503">
        <f t="shared" si="120"/>
        <v>0</v>
      </c>
      <c r="BZ30" s="503">
        <f t="shared" si="120"/>
        <v>0</v>
      </c>
      <c r="CA30" s="503">
        <f t="shared" si="120"/>
        <v>5649027</v>
      </c>
      <c r="CB30" s="503">
        <f t="shared" si="120"/>
        <v>91726780</v>
      </c>
      <c r="CC30" s="503">
        <f t="shared" si="120"/>
        <v>144205937</v>
      </c>
      <c r="CD30" s="503">
        <f t="shared" si="120"/>
        <v>8603466725</v>
      </c>
      <c r="CE30" s="503">
        <f t="shared" si="120"/>
        <v>12778776864</v>
      </c>
      <c r="CF30" s="503">
        <f t="shared" si="120"/>
        <v>12778776864</v>
      </c>
      <c r="CG30" s="503">
        <f t="shared" si="120"/>
        <v>12742455814</v>
      </c>
      <c r="CH30" s="503">
        <f t="shared" si="120"/>
        <v>12778776864</v>
      </c>
      <c r="CI30" s="503">
        <f t="shared" si="120"/>
        <v>12742455814</v>
      </c>
      <c r="CJ30" s="503">
        <f t="shared" si="120"/>
        <v>23945898326</v>
      </c>
      <c r="CK30" s="503">
        <f t="shared" si="120"/>
        <v>20616388839</v>
      </c>
      <c r="CL30" s="503">
        <f t="shared" si="120"/>
        <v>20616388839</v>
      </c>
      <c r="CM30" s="503">
        <f t="shared" si="120"/>
        <v>715462339</v>
      </c>
      <c r="CN30" s="503">
        <f t="shared" si="120"/>
        <v>715462339</v>
      </c>
      <c r="CO30" s="504">
        <f t="shared" si="120"/>
        <v>117611031</v>
      </c>
      <c r="CP30" s="504">
        <f t="shared" si="120"/>
        <v>117611031</v>
      </c>
      <c r="CQ30" s="503">
        <f t="shared" si="120"/>
        <v>184782204</v>
      </c>
      <c r="CR30" s="503">
        <f t="shared" si="120"/>
        <v>0</v>
      </c>
      <c r="CS30" s="503">
        <f t="shared" si="120"/>
        <v>81628400</v>
      </c>
      <c r="CT30" s="503">
        <f t="shared" si="120"/>
        <v>0</v>
      </c>
      <c r="CU30" s="503">
        <f t="shared" si="120"/>
        <v>200824100</v>
      </c>
      <c r="CV30" s="503">
        <f t="shared" si="120"/>
        <v>0</v>
      </c>
      <c r="CW30" s="503">
        <f t="shared" si="120"/>
        <v>935607116</v>
      </c>
      <c r="CX30" s="503">
        <f t="shared" si="120"/>
        <v>0</v>
      </c>
      <c r="CY30" s="503">
        <f t="shared" si="120"/>
        <v>0</v>
      </c>
      <c r="CZ30" s="503">
        <f t="shared" si="120"/>
        <v>0</v>
      </c>
      <c r="DA30" s="503">
        <f t="shared" si="120"/>
        <v>0</v>
      </c>
      <c r="DB30" s="503">
        <f t="shared" si="120"/>
        <v>0</v>
      </c>
      <c r="DC30" s="503">
        <f t="shared" si="120"/>
        <v>0</v>
      </c>
      <c r="DD30" s="503">
        <f t="shared" si="120"/>
        <v>0</v>
      </c>
      <c r="DE30" s="503">
        <f t="shared" si="120"/>
        <v>0</v>
      </c>
      <c r="DF30" s="503">
        <f t="shared" si="120"/>
        <v>0</v>
      </c>
      <c r="DG30" s="503">
        <f t="shared" si="120"/>
        <v>0</v>
      </c>
      <c r="DH30" s="503">
        <f t="shared" si="120"/>
        <v>0</v>
      </c>
      <c r="DI30" s="503">
        <f t="shared" si="120"/>
        <v>22852304029</v>
      </c>
      <c r="DJ30" s="503">
        <f t="shared" si="120"/>
        <v>21449462209</v>
      </c>
      <c r="DK30" s="503">
        <f t="shared" si="120"/>
        <v>21449462209</v>
      </c>
      <c r="DL30" s="503">
        <f t="shared" si="120"/>
        <v>22852304029</v>
      </c>
      <c r="DM30" s="503">
        <f t="shared" si="120"/>
        <v>21449462209</v>
      </c>
      <c r="DN30" s="503">
        <f t="shared" si="120"/>
        <v>10313000000</v>
      </c>
      <c r="DO30" s="503">
        <f t="shared" ref="DO30:EJ30" si="121">+DO25</f>
        <v>0</v>
      </c>
      <c r="DP30" s="503">
        <f t="shared" si="121"/>
        <v>0</v>
      </c>
      <c r="DQ30" s="503">
        <f t="shared" si="121"/>
        <v>0</v>
      </c>
      <c r="DR30" s="503">
        <f t="shared" si="121"/>
        <v>0</v>
      </c>
      <c r="DS30" s="503">
        <f t="shared" si="121"/>
        <v>0</v>
      </c>
      <c r="DT30" s="503">
        <f t="shared" si="121"/>
        <v>0</v>
      </c>
      <c r="DU30" s="503">
        <f t="shared" si="121"/>
        <v>0</v>
      </c>
      <c r="DV30" s="503">
        <f t="shared" si="121"/>
        <v>0</v>
      </c>
      <c r="DW30" s="503">
        <f t="shared" si="121"/>
        <v>0</v>
      </c>
      <c r="DX30" s="503">
        <f t="shared" si="121"/>
        <v>0</v>
      </c>
      <c r="DY30" s="503">
        <f t="shared" si="121"/>
        <v>0</v>
      </c>
      <c r="DZ30" s="503">
        <f t="shared" si="121"/>
        <v>0</v>
      </c>
      <c r="EA30" s="503">
        <f t="shared" si="121"/>
        <v>0</v>
      </c>
      <c r="EB30" s="503">
        <f t="shared" si="121"/>
        <v>0</v>
      </c>
      <c r="EC30" s="503">
        <f t="shared" si="121"/>
        <v>0</v>
      </c>
      <c r="ED30" s="503">
        <f t="shared" si="121"/>
        <v>0</v>
      </c>
      <c r="EE30" s="503">
        <f t="shared" si="121"/>
        <v>0</v>
      </c>
      <c r="EF30" s="503">
        <f t="shared" si="121"/>
        <v>0</v>
      </c>
      <c r="EG30" s="503">
        <f t="shared" si="121"/>
        <v>0</v>
      </c>
      <c r="EH30" s="503">
        <f t="shared" si="121"/>
        <v>0</v>
      </c>
      <c r="EI30" s="503">
        <f t="shared" si="121"/>
        <v>0</v>
      </c>
      <c r="EJ30" s="503">
        <f t="shared" si="121"/>
        <v>0</v>
      </c>
      <c r="EK30" s="503"/>
      <c r="EL30" s="503">
        <f t="shared" si="117"/>
        <v>0</v>
      </c>
      <c r="EM30" s="503"/>
      <c r="EN30" s="503"/>
      <c r="EO30" s="503"/>
      <c r="EP30" s="503"/>
      <c r="EQ30" s="503">
        <f t="shared" si="118"/>
        <v>0</v>
      </c>
      <c r="ER30" s="505">
        <f t="shared" si="62"/>
        <v>1</v>
      </c>
      <c r="ES30" s="506">
        <f t="shared" si="63"/>
        <v>1</v>
      </c>
      <c r="ET30" s="505">
        <f t="shared" si="64"/>
        <v>0.93861267475613108</v>
      </c>
      <c r="EU30" s="505">
        <f t="shared" si="65"/>
        <v>0.99345195115753915</v>
      </c>
      <c r="EV30" s="507">
        <f t="shared" si="66"/>
        <v>0.78413912873350666</v>
      </c>
      <c r="EW30" s="824"/>
      <c r="EX30" s="758"/>
      <c r="EY30" s="758"/>
      <c r="EZ30" s="758"/>
      <c r="FA30" s="758"/>
    </row>
    <row r="31" spans="1:157" ht="29.25" customHeight="1" x14ac:dyDescent="0.25">
      <c r="A31" s="827"/>
      <c r="B31" s="844">
        <v>4</v>
      </c>
      <c r="C31" s="838" t="s">
        <v>77</v>
      </c>
      <c r="D31" s="832" t="s">
        <v>69</v>
      </c>
      <c r="E31" s="839">
        <v>211</v>
      </c>
      <c r="F31" s="40" t="s">
        <v>100</v>
      </c>
      <c r="G31" s="618">
        <f>AA31+BE31+CI31+DL31+DN31</f>
        <v>3.99</v>
      </c>
      <c r="H31" s="494">
        <v>0.27</v>
      </c>
      <c r="I31" s="494">
        <v>0.27</v>
      </c>
      <c r="J31" s="511">
        <f t="shared" ref="J31:J32" si="122">J27+J29</f>
        <v>0</v>
      </c>
      <c r="K31" s="494">
        <v>0.27</v>
      </c>
      <c r="L31" s="511">
        <f t="shared" ref="L31:L32" si="123">L27+L29</f>
        <v>0</v>
      </c>
      <c r="M31" s="494">
        <v>0.27</v>
      </c>
      <c r="N31" s="494">
        <v>0.02</v>
      </c>
      <c r="O31" s="494">
        <v>0.27</v>
      </c>
      <c r="P31" s="494">
        <v>7.0000000000000007E-2</v>
      </c>
      <c r="Q31" s="494">
        <v>0.27</v>
      </c>
      <c r="R31" s="494">
        <f>+[1]GESTIÓN!T17</f>
        <v>0.14000000000000001</v>
      </c>
      <c r="S31" s="494">
        <v>0.27</v>
      </c>
      <c r="T31" s="494">
        <f>+[1]GESTIÓN!V17</f>
        <v>0.2</v>
      </c>
      <c r="U31" s="494">
        <v>0.27</v>
      </c>
      <c r="V31" s="494">
        <v>0.26</v>
      </c>
      <c r="W31" s="494"/>
      <c r="X31" s="494"/>
      <c r="Y31" s="494"/>
      <c r="Z31" s="496">
        <v>0.27</v>
      </c>
      <c r="AA31" s="496">
        <v>0.26</v>
      </c>
      <c r="AB31" s="494">
        <v>0.73</v>
      </c>
      <c r="AC31" s="497">
        <v>0.05</v>
      </c>
      <c r="AD31" s="497">
        <v>0.05</v>
      </c>
      <c r="AE31" s="498">
        <v>0.05</v>
      </c>
      <c r="AF31" s="498">
        <v>0.05</v>
      </c>
      <c r="AG31" s="497">
        <v>0.04</v>
      </c>
      <c r="AH31" s="497">
        <v>0.04</v>
      </c>
      <c r="AI31" s="497">
        <v>0.06</v>
      </c>
      <c r="AJ31" s="498">
        <v>0.06</v>
      </c>
      <c r="AK31" s="494">
        <v>0.06</v>
      </c>
      <c r="AL31" s="494">
        <v>0.06</v>
      </c>
      <c r="AM31" s="497">
        <v>0.06</v>
      </c>
      <c r="AN31" s="497">
        <v>0.06</v>
      </c>
      <c r="AO31" s="497">
        <v>0.06</v>
      </c>
      <c r="AP31" s="497">
        <v>0.06</v>
      </c>
      <c r="AQ31" s="497">
        <v>7.0000000000000007E-2</v>
      </c>
      <c r="AR31" s="497">
        <v>7.0000000000000007E-2</v>
      </c>
      <c r="AS31" s="497">
        <v>7.0000000000000007E-2</v>
      </c>
      <c r="AT31" s="497">
        <v>7.0000000000000007E-2</v>
      </c>
      <c r="AU31" s="497">
        <v>7.0000000000000007E-2</v>
      </c>
      <c r="AV31" s="497">
        <v>7.0000000000000007E-2</v>
      </c>
      <c r="AW31" s="497">
        <v>7.0000000000000007E-2</v>
      </c>
      <c r="AX31" s="497">
        <v>7.0000000000000007E-2</v>
      </c>
      <c r="AY31" s="497">
        <v>7.0000000000000007E-2</v>
      </c>
      <c r="AZ31" s="497">
        <v>7.0000000000000007E-2</v>
      </c>
      <c r="BA31" s="494">
        <f t="shared" ref="BA31:BA35" si="124">AC31+AE31+AG31+AI31+AK31+AM31+AO31+AQ31+AS31+AU31+AW31+AY31</f>
        <v>0.7300000000000002</v>
      </c>
      <c r="BB31" s="494">
        <f t="shared" ref="BB31:BC31" si="125">AC31+AE31+AG31+AI31+AK31+AM31+AO31+AQ31+AS31+AU31+AW31+AY31</f>
        <v>0.7300000000000002</v>
      </c>
      <c r="BC31" s="494">
        <f t="shared" si="125"/>
        <v>0.7300000000000002</v>
      </c>
      <c r="BD31" s="496">
        <f>BA31</f>
        <v>0.7300000000000002</v>
      </c>
      <c r="BE31" s="496">
        <f t="shared" ref="BE31:BE32" si="126">BC31</f>
        <v>0.7300000000000002</v>
      </c>
      <c r="BF31" s="496">
        <v>1</v>
      </c>
      <c r="BG31" s="498">
        <v>0</v>
      </c>
      <c r="BH31" s="498">
        <v>0</v>
      </c>
      <c r="BI31" s="498">
        <v>0.09</v>
      </c>
      <c r="BJ31" s="498">
        <v>0.09</v>
      </c>
      <c r="BK31" s="498">
        <v>0.09</v>
      </c>
      <c r="BL31" s="498">
        <v>0.09</v>
      </c>
      <c r="BM31" s="498">
        <v>0.09</v>
      </c>
      <c r="BN31" s="498">
        <v>0.09</v>
      </c>
      <c r="BO31" s="498">
        <v>0.09</v>
      </c>
      <c r="BP31" s="498">
        <v>0.09</v>
      </c>
      <c r="BQ31" s="498">
        <v>0.09</v>
      </c>
      <c r="BR31" s="498">
        <v>0.09</v>
      </c>
      <c r="BS31" s="498">
        <v>0.09</v>
      </c>
      <c r="BT31" s="498">
        <v>0.09</v>
      </c>
      <c r="BU31" s="498">
        <v>0.09</v>
      </c>
      <c r="BV31" s="498">
        <v>0.09</v>
      </c>
      <c r="BW31" s="498">
        <v>0.09</v>
      </c>
      <c r="BX31" s="498">
        <v>0.09</v>
      </c>
      <c r="BY31" s="498">
        <v>0.09</v>
      </c>
      <c r="BZ31" s="498">
        <v>0.09</v>
      </c>
      <c r="CA31" s="498">
        <v>0.09</v>
      </c>
      <c r="CB31" s="498">
        <v>0.09</v>
      </c>
      <c r="CC31" s="498">
        <v>0.1</v>
      </c>
      <c r="CD31" s="496">
        <v>0.1</v>
      </c>
      <c r="CE31" s="498">
        <f t="shared" ref="CE31:CE35" si="127">CC31+CA31+BY31+BW31+BS31+BQ31+BO31+BM31+BK31+BI31+BG31+BU31</f>
        <v>0.99999999999999978</v>
      </c>
      <c r="CF31" s="496">
        <f t="shared" ref="CF31:CG31" si="128">BG31+BI31+BK31+BM31+BO31+BQ31+BS31+BU31+BW31+BY31+CA31+CC31</f>
        <v>0.99999999999999978</v>
      </c>
      <c r="CG31" s="496">
        <f t="shared" si="128"/>
        <v>0.99999999999999978</v>
      </c>
      <c r="CH31" s="496">
        <f t="shared" ref="CH31:CH35" si="129">CE31</f>
        <v>0.99999999999999978</v>
      </c>
      <c r="CI31" s="498">
        <f t="shared" ref="CI31:CI35" si="130">CG31</f>
        <v>0.99999999999999978</v>
      </c>
      <c r="CJ31" s="498">
        <v>1</v>
      </c>
      <c r="CK31" s="498">
        <v>0</v>
      </c>
      <c r="CL31" s="498">
        <v>0</v>
      </c>
      <c r="CM31" s="498">
        <v>0.09</v>
      </c>
      <c r="CN31" s="498">
        <v>0.09</v>
      </c>
      <c r="CO31" s="499">
        <v>0.09</v>
      </c>
      <c r="CP31" s="499">
        <v>0.09</v>
      </c>
      <c r="CQ31" s="498">
        <v>0.09</v>
      </c>
      <c r="CR31" s="498">
        <v>0</v>
      </c>
      <c r="CS31" s="498">
        <v>0.09</v>
      </c>
      <c r="CT31" s="498">
        <v>0</v>
      </c>
      <c r="CU31" s="498">
        <v>0.09</v>
      </c>
      <c r="CV31" s="498">
        <v>0</v>
      </c>
      <c r="CW31" s="498">
        <v>0.09</v>
      </c>
      <c r="CX31" s="498">
        <v>0</v>
      </c>
      <c r="CY31" s="498">
        <v>0.09</v>
      </c>
      <c r="CZ31" s="498">
        <v>0</v>
      </c>
      <c r="DA31" s="498">
        <v>0.09</v>
      </c>
      <c r="DB31" s="498">
        <v>0</v>
      </c>
      <c r="DC31" s="498">
        <v>0.09</v>
      </c>
      <c r="DD31" s="498">
        <v>0</v>
      </c>
      <c r="DE31" s="498">
        <v>0.09</v>
      </c>
      <c r="DF31" s="498">
        <v>0</v>
      </c>
      <c r="DG31" s="498">
        <v>0.1</v>
      </c>
      <c r="DH31" s="498">
        <v>0</v>
      </c>
      <c r="DI31" s="496">
        <f t="shared" ref="DI31:DI36" si="131">DG31+DE31+DC31+DA31+CW31+CU31+CS31+CQ31+CO31+CM31+CK31+CY31</f>
        <v>0.99999999999999978</v>
      </c>
      <c r="DJ31" s="496">
        <f>CK31+CM31+CO31</f>
        <v>0.18</v>
      </c>
      <c r="DK31" s="498">
        <f>CL31+CN31+CP31+CR31+CT31+CV31+CX31+CZ31+DB31+DD31+DF31</f>
        <v>0.18</v>
      </c>
      <c r="DL31" s="498">
        <f>CJ31</f>
        <v>1</v>
      </c>
      <c r="DM31" s="498">
        <f t="shared" ref="DM31:DM33" si="132">DK31</f>
        <v>0.18</v>
      </c>
      <c r="DN31" s="496">
        <v>1</v>
      </c>
      <c r="DO31" s="493"/>
      <c r="DP31" s="493"/>
      <c r="DQ31" s="493"/>
      <c r="DR31" s="493"/>
      <c r="DS31" s="493"/>
      <c r="DT31" s="493"/>
      <c r="DU31" s="493"/>
      <c r="DV31" s="493"/>
      <c r="DW31" s="493"/>
      <c r="DX31" s="493"/>
      <c r="DY31" s="493"/>
      <c r="DZ31" s="493"/>
      <c r="EA31" s="493"/>
      <c r="EB31" s="493"/>
      <c r="EC31" s="493"/>
      <c r="ED31" s="493"/>
      <c r="EE31" s="493"/>
      <c r="EF31" s="493"/>
      <c r="EG31" s="493"/>
      <c r="EH31" s="493"/>
      <c r="EI31" s="493"/>
      <c r="EJ31" s="493"/>
      <c r="EK31" s="493"/>
      <c r="EL31" s="493"/>
      <c r="EM31" s="493"/>
      <c r="EN31" s="493"/>
      <c r="EO31" s="493"/>
      <c r="EP31" s="493"/>
      <c r="EQ31" s="493"/>
      <c r="ER31" s="500">
        <f t="shared" si="62"/>
        <v>1</v>
      </c>
      <c r="ES31" s="501">
        <f t="shared" si="63"/>
        <v>1</v>
      </c>
      <c r="ET31" s="500">
        <f t="shared" si="64"/>
        <v>0.18</v>
      </c>
      <c r="EU31" s="500">
        <f t="shared" si="65"/>
        <v>0.99541284403669716</v>
      </c>
      <c r="EV31" s="500">
        <f t="shared" si="66"/>
        <v>0.54385964912280693</v>
      </c>
      <c r="EW31" s="822" t="s">
        <v>598</v>
      </c>
      <c r="EX31" s="806" t="s">
        <v>63</v>
      </c>
      <c r="EY31" s="806" t="s">
        <v>63</v>
      </c>
      <c r="EZ31" s="806" t="s">
        <v>109</v>
      </c>
      <c r="FA31" s="831" t="s">
        <v>65</v>
      </c>
    </row>
    <row r="32" spans="1:157" ht="29.25" customHeight="1" x14ac:dyDescent="0.25">
      <c r="A32" s="827"/>
      <c r="B32" s="836"/>
      <c r="C32" s="833"/>
      <c r="D32" s="833"/>
      <c r="E32" s="833"/>
      <c r="F32" s="457" t="s">
        <v>102</v>
      </c>
      <c r="G32" s="612">
        <f>AA32+BE32+CI32+DL32+DN32</f>
        <v>2686397256</v>
      </c>
      <c r="H32" s="467">
        <v>201000000</v>
      </c>
      <c r="I32" s="467">
        <v>201000000</v>
      </c>
      <c r="J32" s="467">
        <f t="shared" si="122"/>
        <v>0</v>
      </c>
      <c r="K32" s="467">
        <v>201000000</v>
      </c>
      <c r="L32" s="467">
        <f t="shared" si="123"/>
        <v>0</v>
      </c>
      <c r="M32" s="467">
        <v>201000000</v>
      </c>
      <c r="N32" s="467">
        <v>71564000</v>
      </c>
      <c r="O32" s="467">
        <v>201000000</v>
      </c>
      <c r="P32" s="467">
        <f>+AA32</f>
        <v>143476093</v>
      </c>
      <c r="Q32" s="467">
        <v>201000000</v>
      </c>
      <c r="R32" s="467">
        <f>+P32</f>
        <v>143476093</v>
      </c>
      <c r="S32" s="467">
        <v>201000000</v>
      </c>
      <c r="T32" s="467">
        <v>76021593</v>
      </c>
      <c r="U32" s="467">
        <v>144912593</v>
      </c>
      <c r="V32" s="467">
        <v>143476093</v>
      </c>
      <c r="W32" s="467"/>
      <c r="X32" s="467"/>
      <c r="Y32" s="467"/>
      <c r="Z32" s="467">
        <v>144912593</v>
      </c>
      <c r="AA32" s="468">
        <v>143476093</v>
      </c>
      <c r="AB32" s="483">
        <v>251240000</v>
      </c>
      <c r="AC32" s="467">
        <v>0</v>
      </c>
      <c r="AD32" s="467">
        <v>0</v>
      </c>
      <c r="AE32" s="467">
        <v>0</v>
      </c>
      <c r="AF32" s="467">
        <v>0</v>
      </c>
      <c r="AG32" s="467">
        <v>133938000</v>
      </c>
      <c r="AH32" s="467">
        <v>133938000</v>
      </c>
      <c r="AI32" s="467">
        <v>56286000</v>
      </c>
      <c r="AJ32" s="467">
        <v>56286000</v>
      </c>
      <c r="AK32" s="467">
        <v>0</v>
      </c>
      <c r="AL32" s="467">
        <v>0</v>
      </c>
      <c r="AM32" s="467">
        <f>30980000-14775233</f>
        <v>16204767</v>
      </c>
      <c r="AN32" s="467">
        <v>10500000</v>
      </c>
      <c r="AO32" s="467">
        <v>0</v>
      </c>
      <c r="AP32" s="467">
        <v>0</v>
      </c>
      <c r="AQ32" s="467">
        <v>0</v>
      </c>
      <c r="AR32" s="467">
        <v>0</v>
      </c>
      <c r="AS32" s="467">
        <v>0</v>
      </c>
      <c r="AT32" s="467">
        <v>0</v>
      </c>
      <c r="AU32" s="467">
        <v>0</v>
      </c>
      <c r="AV32" s="467">
        <v>0</v>
      </c>
      <c r="AW32" s="467">
        <v>0</v>
      </c>
      <c r="AX32" s="467">
        <v>0</v>
      </c>
      <c r="AY32" s="467">
        <v>0</v>
      </c>
      <c r="AZ32" s="467">
        <v>5704767</v>
      </c>
      <c r="BA32" s="472">
        <f t="shared" si="124"/>
        <v>206428767</v>
      </c>
      <c r="BB32" s="472">
        <f t="shared" ref="BB32:BC32" si="133">AC32+AE32+AG32+AI32+AK32+AM32+AO32+AQ32+AS32+AU32+AW32+AY32</f>
        <v>206428767</v>
      </c>
      <c r="BC32" s="472">
        <f t="shared" si="133"/>
        <v>206428767</v>
      </c>
      <c r="BD32" s="468">
        <f>AC32+AE32+AG32+AI32+AK32+AM32+AO32+AQ32+AS32+AU32+AW32+AY32</f>
        <v>206428767</v>
      </c>
      <c r="BE32" s="468">
        <f t="shared" si="126"/>
        <v>206428767</v>
      </c>
      <c r="BF32" s="467">
        <v>409912000</v>
      </c>
      <c r="BG32" s="467">
        <v>372045000</v>
      </c>
      <c r="BH32" s="467">
        <v>372045000</v>
      </c>
      <c r="BI32" s="467">
        <v>0</v>
      </c>
      <c r="BJ32" s="467">
        <v>0</v>
      </c>
      <c r="BK32" s="467">
        <v>0</v>
      </c>
      <c r="BL32" s="467">
        <v>0</v>
      </c>
      <c r="BM32" s="467">
        <v>0</v>
      </c>
      <c r="BN32" s="467">
        <v>0</v>
      </c>
      <c r="BO32" s="467">
        <v>0</v>
      </c>
      <c r="BP32" s="467">
        <v>0</v>
      </c>
      <c r="BQ32" s="467">
        <f>20000000-6663079</f>
        <v>13336921</v>
      </c>
      <c r="BR32" s="467">
        <v>20000000</v>
      </c>
      <c r="BS32" s="467">
        <v>5000000</v>
      </c>
      <c r="BT32" s="467">
        <v>0</v>
      </c>
      <c r="BU32" s="467">
        <v>0</v>
      </c>
      <c r="BV32" s="467">
        <v>0</v>
      </c>
      <c r="BW32" s="467">
        <v>0</v>
      </c>
      <c r="BX32" s="467">
        <v>0</v>
      </c>
      <c r="BY32" s="467">
        <v>59778100</v>
      </c>
      <c r="BZ32" s="467">
        <v>58929000</v>
      </c>
      <c r="CA32" s="467">
        <f>12867000+250000000</f>
        <v>262867000</v>
      </c>
      <c r="CB32" s="467">
        <v>22617000</v>
      </c>
      <c r="CC32" s="467">
        <f>200000000-11682885</f>
        <v>188317115</v>
      </c>
      <c r="CD32" s="467">
        <v>409818396</v>
      </c>
      <c r="CE32" s="467">
        <f t="shared" si="127"/>
        <v>901344136</v>
      </c>
      <c r="CF32" s="467">
        <f t="shared" ref="CF32:CG32" si="134">BG32+BI32+BK32+BM32+BO32+BQ32+BS32+BU32+BW32+BY32+CA32+CC32</f>
        <v>901344136</v>
      </c>
      <c r="CG32" s="467">
        <f t="shared" si="134"/>
        <v>883409396</v>
      </c>
      <c r="CH32" s="467">
        <f t="shared" si="129"/>
        <v>901344136</v>
      </c>
      <c r="CI32" s="467">
        <f t="shared" si="130"/>
        <v>883409396</v>
      </c>
      <c r="CJ32" s="468">
        <v>708083000</v>
      </c>
      <c r="CK32" s="469">
        <v>22681000</v>
      </c>
      <c r="CL32" s="469">
        <v>22681000</v>
      </c>
      <c r="CM32" s="469">
        <v>292820000</v>
      </c>
      <c r="CN32" s="469">
        <v>292820000</v>
      </c>
      <c r="CO32" s="469">
        <v>239573000</v>
      </c>
      <c r="CP32" s="469">
        <v>239573000</v>
      </c>
      <c r="CQ32" s="469">
        <v>0</v>
      </c>
      <c r="CR32" s="467">
        <v>0</v>
      </c>
      <c r="CS32" s="469">
        <v>2500000</v>
      </c>
      <c r="CT32" s="467">
        <v>0</v>
      </c>
      <c r="CU32" s="467">
        <v>0</v>
      </c>
      <c r="CV32" s="467">
        <v>0</v>
      </c>
      <c r="CW32" s="467">
        <v>150509000</v>
      </c>
      <c r="CX32" s="467">
        <v>0</v>
      </c>
      <c r="CY32" s="467">
        <v>0</v>
      </c>
      <c r="CZ32" s="467">
        <v>0</v>
      </c>
      <c r="DA32" s="467">
        <v>0</v>
      </c>
      <c r="DB32" s="467">
        <v>0</v>
      </c>
      <c r="DC32" s="467">
        <v>0</v>
      </c>
      <c r="DD32" s="467">
        <v>0</v>
      </c>
      <c r="DE32" s="467">
        <v>0</v>
      </c>
      <c r="DF32" s="467">
        <v>0</v>
      </c>
      <c r="DG32" s="467">
        <v>0</v>
      </c>
      <c r="DH32" s="467">
        <v>0</v>
      </c>
      <c r="DI32" s="468">
        <f t="shared" si="131"/>
        <v>708083000</v>
      </c>
      <c r="DJ32" s="468">
        <f>CK32+CM32+CO32</f>
        <v>555074000</v>
      </c>
      <c r="DK32" s="468">
        <f>CL32+CN32+CP32</f>
        <v>555074000</v>
      </c>
      <c r="DL32" s="467">
        <f t="shared" ref="DL32:DL33" si="135">DI32</f>
        <v>708083000</v>
      </c>
      <c r="DM32" s="467">
        <f t="shared" si="132"/>
        <v>555074000</v>
      </c>
      <c r="DN32" s="467">
        <v>745000000</v>
      </c>
      <c r="DO32" s="467"/>
      <c r="DP32" s="467"/>
      <c r="DQ32" s="467"/>
      <c r="DR32" s="467"/>
      <c r="DS32" s="467"/>
      <c r="DT32" s="467"/>
      <c r="DU32" s="467"/>
      <c r="DV32" s="467"/>
      <c r="DW32" s="467"/>
      <c r="DX32" s="467"/>
      <c r="DY32" s="467"/>
      <c r="DZ32" s="467"/>
      <c r="EA32" s="467"/>
      <c r="EB32" s="467"/>
      <c r="EC32" s="467"/>
      <c r="ED32" s="467"/>
      <c r="EE32" s="467"/>
      <c r="EF32" s="467"/>
      <c r="EG32" s="467"/>
      <c r="EH32" s="467"/>
      <c r="EI32" s="467"/>
      <c r="EJ32" s="467"/>
      <c r="EK32" s="467"/>
      <c r="EL32" s="467"/>
      <c r="EM32" s="467"/>
      <c r="EN32" s="467"/>
      <c r="EO32" s="467"/>
      <c r="EP32" s="467"/>
      <c r="EQ32" s="467"/>
      <c r="ER32" s="465">
        <f t="shared" si="62"/>
        <v>1</v>
      </c>
      <c r="ES32" s="466">
        <f t="shared" si="63"/>
        <v>1</v>
      </c>
      <c r="ET32" s="465">
        <f t="shared" si="64"/>
        <v>0.78391092569656384</v>
      </c>
      <c r="EU32" s="465">
        <f t="shared" si="65"/>
        <v>0.98928439317129158</v>
      </c>
      <c r="EV32" s="465">
        <f t="shared" si="66"/>
        <v>0.66571995337088741</v>
      </c>
      <c r="EW32" s="823"/>
      <c r="EX32" s="758"/>
      <c r="EY32" s="758"/>
      <c r="EZ32" s="758"/>
      <c r="FA32" s="758"/>
    </row>
    <row r="33" spans="1:157" ht="29.25" customHeight="1" x14ac:dyDescent="0.25">
      <c r="A33" s="827"/>
      <c r="B33" s="836"/>
      <c r="C33" s="833"/>
      <c r="D33" s="833"/>
      <c r="E33" s="833"/>
      <c r="F33" s="458" t="s">
        <v>103</v>
      </c>
      <c r="G33" s="612"/>
      <c r="H33" s="467"/>
      <c r="I33" s="467"/>
      <c r="J33" s="467"/>
      <c r="K33" s="467"/>
      <c r="L33" s="467"/>
      <c r="M33" s="467"/>
      <c r="N33" s="467"/>
      <c r="O33" s="467"/>
      <c r="P33" s="467"/>
      <c r="Q33" s="467"/>
      <c r="R33" s="467"/>
      <c r="S33" s="467"/>
      <c r="T33" s="467"/>
      <c r="U33" s="467"/>
      <c r="V33" s="467"/>
      <c r="W33" s="467"/>
      <c r="X33" s="467"/>
      <c r="Y33" s="467"/>
      <c r="Z33" s="467"/>
      <c r="AA33" s="468"/>
      <c r="AB33" s="483"/>
      <c r="AC33" s="467">
        <v>0</v>
      </c>
      <c r="AD33" s="467">
        <v>0</v>
      </c>
      <c r="AE33" s="467">
        <v>0</v>
      </c>
      <c r="AF33" s="467">
        <v>0</v>
      </c>
      <c r="AG33" s="467">
        <v>0</v>
      </c>
      <c r="AH33" s="467">
        <v>0</v>
      </c>
      <c r="AI33" s="467">
        <v>1736233</v>
      </c>
      <c r="AJ33" s="467">
        <v>1736233</v>
      </c>
      <c r="AK33" s="467">
        <v>19597833</v>
      </c>
      <c r="AL33" s="467">
        <v>19597833</v>
      </c>
      <c r="AM33" s="467">
        <v>23072000</v>
      </c>
      <c r="AN33" s="467">
        <v>19270400</v>
      </c>
      <c r="AO33" s="467">
        <v>21488000</v>
      </c>
      <c r="AP33" s="467">
        <v>14047000</v>
      </c>
      <c r="AQ33" s="467">
        <v>21488000</v>
      </c>
      <c r="AR33" s="467">
        <v>17215000</v>
      </c>
      <c r="AS33" s="467">
        <v>21488000</v>
      </c>
      <c r="AT33" s="467">
        <v>16279300</v>
      </c>
      <c r="AU33" s="467">
        <f>21488000+30000000</f>
        <v>51488000</v>
      </c>
      <c r="AV33" s="467">
        <v>34137700</v>
      </c>
      <c r="AW33" s="467">
        <v>21488000</v>
      </c>
      <c r="AX33" s="467">
        <v>36221747</v>
      </c>
      <c r="AY33" s="467">
        <f>69357934-44775233</f>
        <v>24582701</v>
      </c>
      <c r="AZ33" s="467">
        <v>24694115</v>
      </c>
      <c r="BA33" s="472">
        <f t="shared" si="124"/>
        <v>206428767</v>
      </c>
      <c r="BB33" s="472">
        <f t="shared" ref="BB33:BC33" si="136">AC33+AE33+AG33+AI33+AK33+AM33+AO33+AQ33+AS33+AU33+AW33+AY33</f>
        <v>206428767</v>
      </c>
      <c r="BC33" s="472">
        <f t="shared" si="136"/>
        <v>183199328</v>
      </c>
      <c r="BD33" s="468">
        <f t="shared" ref="BD33:BD35" si="137">BA33+AA33</f>
        <v>206428767</v>
      </c>
      <c r="BE33" s="468">
        <f t="shared" ref="BE33:BE35" si="138">BC33+AA33</f>
        <v>183199328</v>
      </c>
      <c r="BF33" s="467">
        <v>409912000</v>
      </c>
      <c r="BG33" s="467">
        <v>0</v>
      </c>
      <c r="BH33" s="467">
        <v>0</v>
      </c>
      <c r="BI33" s="467">
        <v>2060000</v>
      </c>
      <c r="BJ33" s="467">
        <v>0</v>
      </c>
      <c r="BK33" s="467">
        <v>34806000</v>
      </c>
      <c r="BL33" s="467">
        <v>28042186</v>
      </c>
      <c r="BM33" s="467">
        <v>34806000</v>
      </c>
      <c r="BN33" s="467">
        <v>30803095</v>
      </c>
      <c r="BO33" s="467">
        <f>34806000-6663079</f>
        <v>28142921</v>
      </c>
      <c r="BP33" s="467">
        <v>47081000</v>
      </c>
      <c r="BQ33" s="467">
        <v>44806000</v>
      </c>
      <c r="BR33" s="467">
        <v>32746000</v>
      </c>
      <c r="BS33" s="467">
        <v>47306000</v>
      </c>
      <c r="BT33" s="467">
        <v>33617615</v>
      </c>
      <c r="BU33" s="467">
        <v>37306000</v>
      </c>
      <c r="BV33" s="467">
        <v>33924670</v>
      </c>
      <c r="BW33" s="467">
        <v>34806000</v>
      </c>
      <c r="BX33" s="467">
        <v>27792097</v>
      </c>
      <c r="BY33" s="467">
        <f>34806000</f>
        <v>34806000</v>
      </c>
      <c r="BZ33" s="467">
        <v>33859227</v>
      </c>
      <c r="CA33" s="467">
        <f>47673000+500000000-290221900</f>
        <v>257451100</v>
      </c>
      <c r="CB33" s="467">
        <v>41245271</v>
      </c>
      <c r="CC33" s="467">
        <f>56731000+300000000-11683885</f>
        <v>345047115</v>
      </c>
      <c r="CD33" s="467">
        <v>73542184</v>
      </c>
      <c r="CE33" s="467">
        <f t="shared" si="127"/>
        <v>901343136</v>
      </c>
      <c r="CF33" s="467">
        <f>BG33+BI33+BK33+BM33+BO33+BQ33+BS33+BU33+BW33+BY33+CA33</f>
        <v>556296021</v>
      </c>
      <c r="CG33" s="467">
        <f t="shared" ref="CG33:CG34" si="139">BH33+BJ33+BL33+BN33+BP33+BR33+BT33+BV33+BX33+BZ33+CB33+CD33</f>
        <v>382653345</v>
      </c>
      <c r="CH33" s="467">
        <f t="shared" si="129"/>
        <v>901343136</v>
      </c>
      <c r="CI33" s="467">
        <f t="shared" si="130"/>
        <v>382653345</v>
      </c>
      <c r="CJ33" s="468">
        <v>708083000</v>
      </c>
      <c r="CK33" s="467">
        <v>0</v>
      </c>
      <c r="CL33" s="467">
        <v>0</v>
      </c>
      <c r="CM33" s="469">
        <v>0</v>
      </c>
      <c r="CN33" s="467">
        <v>0</v>
      </c>
      <c r="CO33" s="469">
        <v>1012000</v>
      </c>
      <c r="CP33" s="469">
        <v>1012000</v>
      </c>
      <c r="CQ33" s="469">
        <v>38775000</v>
      </c>
      <c r="CR33" s="467">
        <v>0</v>
      </c>
      <c r="CS33" s="469">
        <v>38775000</v>
      </c>
      <c r="CT33" s="467">
        <v>0</v>
      </c>
      <c r="CU33" s="469">
        <v>38775000</v>
      </c>
      <c r="CV33" s="467">
        <v>0</v>
      </c>
      <c r="CW33" s="469">
        <v>64143909</v>
      </c>
      <c r="CX33" s="467">
        <v>0</v>
      </c>
      <c r="CY33" s="469">
        <v>164143909</v>
      </c>
      <c r="CZ33" s="467">
        <v>0</v>
      </c>
      <c r="DA33" s="469">
        <v>64143909</v>
      </c>
      <c r="DB33" s="467">
        <v>0</v>
      </c>
      <c r="DC33" s="469">
        <f>64143909+39238636</f>
        <v>103382545</v>
      </c>
      <c r="DD33" s="467">
        <v>0</v>
      </c>
      <c r="DE33" s="469">
        <v>64143909</v>
      </c>
      <c r="DF33" s="467">
        <v>0</v>
      </c>
      <c r="DG33" s="469">
        <f>86299910+44487909</f>
        <v>130787819</v>
      </c>
      <c r="DH33" s="467">
        <v>0</v>
      </c>
      <c r="DI33" s="468">
        <f t="shared" si="131"/>
        <v>708083000</v>
      </c>
      <c r="DJ33" s="468">
        <f t="shared" ref="DJ33:DJ35" si="140">CK33+CM33+CO33</f>
        <v>1012000</v>
      </c>
      <c r="DK33" s="468">
        <f t="shared" ref="DK33:DK35" si="141">CL33+CN33+CP33</f>
        <v>1012000</v>
      </c>
      <c r="DL33" s="467">
        <f t="shared" si="135"/>
        <v>708083000</v>
      </c>
      <c r="DM33" s="467">
        <f t="shared" si="132"/>
        <v>1012000</v>
      </c>
      <c r="DN33" s="467">
        <v>0</v>
      </c>
      <c r="DO33" s="467"/>
      <c r="DP33" s="467"/>
      <c r="DQ33" s="467"/>
      <c r="DR33" s="467"/>
      <c r="DS33" s="467"/>
      <c r="DT33" s="467"/>
      <c r="DU33" s="467"/>
      <c r="DV33" s="467"/>
      <c r="DW33" s="467"/>
      <c r="DX33" s="467"/>
      <c r="DY33" s="467"/>
      <c r="DZ33" s="467"/>
      <c r="EA33" s="467"/>
      <c r="EB33" s="467"/>
      <c r="EC33" s="467"/>
      <c r="ED33" s="467"/>
      <c r="EE33" s="467"/>
      <c r="EF33" s="467"/>
      <c r="EG33" s="467"/>
      <c r="EH33" s="467"/>
      <c r="EI33" s="467"/>
      <c r="EJ33" s="467"/>
      <c r="EK33" s="467"/>
      <c r="EL33" s="467"/>
      <c r="EM33" s="467"/>
      <c r="EN33" s="467"/>
      <c r="EO33" s="467"/>
      <c r="EP33" s="467"/>
      <c r="EQ33" s="467"/>
      <c r="ER33" s="465">
        <f t="shared" si="62"/>
        <v>1</v>
      </c>
      <c r="ES33" s="466">
        <f t="shared" si="63"/>
        <v>1</v>
      </c>
      <c r="ET33" s="465">
        <f t="shared" si="64"/>
        <v>1.4292109823283428E-3</v>
      </c>
      <c r="EU33" s="465">
        <f t="shared" si="65"/>
        <v>0.51124901025912528</v>
      </c>
      <c r="EV33" s="465">
        <f>IFERROR((AA33+BE33+CI33+DM33)/G33,0)</f>
        <v>0</v>
      </c>
      <c r="EW33" s="823"/>
      <c r="EX33" s="758"/>
      <c r="EY33" s="758"/>
      <c r="EZ33" s="758"/>
      <c r="FA33" s="758"/>
    </row>
    <row r="34" spans="1:157" ht="29.25" customHeight="1" x14ac:dyDescent="0.25">
      <c r="A34" s="827"/>
      <c r="B34" s="836"/>
      <c r="C34" s="833"/>
      <c r="D34" s="833"/>
      <c r="E34" s="833"/>
      <c r="F34" s="41" t="s">
        <v>104</v>
      </c>
      <c r="G34" s="613">
        <f>AA34+BE34+CI34+DL34+DN34</f>
        <v>0.01</v>
      </c>
      <c r="H34" s="461">
        <v>0</v>
      </c>
      <c r="I34" s="461">
        <v>0</v>
      </c>
      <c r="J34" s="461">
        <v>0</v>
      </c>
      <c r="K34" s="461">
        <v>0</v>
      </c>
      <c r="L34" s="461">
        <v>0</v>
      </c>
      <c r="M34" s="461">
        <v>0</v>
      </c>
      <c r="N34" s="461">
        <v>0</v>
      </c>
      <c r="O34" s="461">
        <v>0</v>
      </c>
      <c r="P34" s="461">
        <v>0</v>
      </c>
      <c r="Q34" s="461">
        <v>0</v>
      </c>
      <c r="R34" s="461">
        <v>0</v>
      </c>
      <c r="S34" s="461">
        <v>0</v>
      </c>
      <c r="T34" s="461">
        <v>0</v>
      </c>
      <c r="U34" s="461">
        <v>0</v>
      </c>
      <c r="V34" s="461">
        <v>0</v>
      </c>
      <c r="W34" s="461"/>
      <c r="X34" s="461"/>
      <c r="Y34" s="461"/>
      <c r="Z34" s="461">
        <v>0</v>
      </c>
      <c r="AA34" s="461">
        <v>0</v>
      </c>
      <c r="AB34" s="461">
        <v>0.01</v>
      </c>
      <c r="AC34" s="461">
        <v>0</v>
      </c>
      <c r="AD34" s="461">
        <v>0</v>
      </c>
      <c r="AE34" s="461">
        <v>0</v>
      </c>
      <c r="AF34" s="461">
        <v>0</v>
      </c>
      <c r="AG34" s="461">
        <v>0</v>
      </c>
      <c r="AH34" s="461">
        <v>0</v>
      </c>
      <c r="AI34" s="461">
        <v>0</v>
      </c>
      <c r="AJ34" s="461">
        <v>0</v>
      </c>
      <c r="AK34" s="461">
        <v>0.01</v>
      </c>
      <c r="AL34" s="461">
        <v>0.01</v>
      </c>
      <c r="AM34" s="461">
        <v>0</v>
      </c>
      <c r="AN34" s="461">
        <v>0</v>
      </c>
      <c r="AO34" s="461">
        <v>0</v>
      </c>
      <c r="AP34" s="461">
        <v>0</v>
      </c>
      <c r="AQ34" s="461">
        <v>0</v>
      </c>
      <c r="AR34" s="461">
        <v>0</v>
      </c>
      <c r="AS34" s="461">
        <v>0</v>
      </c>
      <c r="AT34" s="461">
        <v>0</v>
      </c>
      <c r="AU34" s="461">
        <v>0</v>
      </c>
      <c r="AV34" s="461">
        <v>0</v>
      </c>
      <c r="AW34" s="461">
        <v>0</v>
      </c>
      <c r="AX34" s="480">
        <v>0</v>
      </c>
      <c r="AY34" s="461">
        <v>0</v>
      </c>
      <c r="AZ34" s="480">
        <v>0</v>
      </c>
      <c r="BA34" s="472">
        <f t="shared" si="124"/>
        <v>0.01</v>
      </c>
      <c r="BB34" s="472">
        <f>AC34+AE34+AG34+AI34+AK34</f>
        <v>0.01</v>
      </c>
      <c r="BC34" s="472">
        <f>AD34+AF34+AH34+AJ34+AL34+AN34+AP34+AR34</f>
        <v>0.01</v>
      </c>
      <c r="BD34" s="462">
        <f t="shared" si="137"/>
        <v>0.01</v>
      </c>
      <c r="BE34" s="462">
        <f t="shared" si="138"/>
        <v>0.01</v>
      </c>
      <c r="BF34" s="461">
        <v>0</v>
      </c>
      <c r="BG34" s="473">
        <v>0</v>
      </c>
      <c r="BH34" s="473">
        <v>0</v>
      </c>
      <c r="BI34" s="473">
        <v>0</v>
      </c>
      <c r="BJ34" s="461">
        <v>0</v>
      </c>
      <c r="BK34" s="473">
        <v>0</v>
      </c>
      <c r="BL34" s="461">
        <v>0</v>
      </c>
      <c r="BM34" s="473">
        <v>0</v>
      </c>
      <c r="BN34" s="461">
        <v>0</v>
      </c>
      <c r="BO34" s="473">
        <v>0</v>
      </c>
      <c r="BP34" s="461">
        <v>0</v>
      </c>
      <c r="BQ34" s="473">
        <v>0</v>
      </c>
      <c r="BR34" s="461">
        <v>0</v>
      </c>
      <c r="BS34" s="473">
        <v>0</v>
      </c>
      <c r="BT34" s="461">
        <v>0</v>
      </c>
      <c r="BU34" s="461">
        <v>0</v>
      </c>
      <c r="BV34" s="461">
        <v>0</v>
      </c>
      <c r="BW34" s="461">
        <v>0</v>
      </c>
      <c r="BX34" s="461">
        <v>0</v>
      </c>
      <c r="BY34" s="461">
        <v>0</v>
      </c>
      <c r="BZ34" s="461">
        <v>0</v>
      </c>
      <c r="CA34" s="461">
        <v>0</v>
      </c>
      <c r="CB34" s="461">
        <v>0</v>
      </c>
      <c r="CC34" s="461">
        <v>0</v>
      </c>
      <c r="CD34" s="461">
        <v>0</v>
      </c>
      <c r="CE34" s="461">
        <f t="shared" si="127"/>
        <v>0</v>
      </c>
      <c r="CF34" s="461">
        <f>BG34</f>
        <v>0</v>
      </c>
      <c r="CG34" s="461">
        <f t="shared" si="139"/>
        <v>0</v>
      </c>
      <c r="CH34" s="461">
        <f t="shared" si="129"/>
        <v>0</v>
      </c>
      <c r="CI34" s="461">
        <f t="shared" si="130"/>
        <v>0</v>
      </c>
      <c r="CJ34" s="461">
        <v>0</v>
      </c>
      <c r="CK34" s="461">
        <v>0</v>
      </c>
      <c r="CL34" s="461">
        <v>0</v>
      </c>
      <c r="CM34" s="461">
        <v>0</v>
      </c>
      <c r="CN34" s="461">
        <v>0</v>
      </c>
      <c r="CO34" s="461">
        <v>0</v>
      </c>
      <c r="CP34" s="461">
        <v>0</v>
      </c>
      <c r="CQ34" s="461">
        <v>0</v>
      </c>
      <c r="CR34" s="461">
        <v>0</v>
      </c>
      <c r="CS34" s="461">
        <v>0</v>
      </c>
      <c r="CT34" s="461">
        <v>0</v>
      </c>
      <c r="CU34" s="461">
        <v>0</v>
      </c>
      <c r="CV34" s="461">
        <v>0</v>
      </c>
      <c r="CW34" s="461">
        <v>0</v>
      </c>
      <c r="CX34" s="461">
        <v>0</v>
      </c>
      <c r="CY34" s="461">
        <v>0</v>
      </c>
      <c r="CZ34" s="461">
        <v>0</v>
      </c>
      <c r="DA34" s="461">
        <v>0</v>
      </c>
      <c r="DB34" s="461">
        <v>0</v>
      </c>
      <c r="DC34" s="461">
        <v>0</v>
      </c>
      <c r="DD34" s="461">
        <v>0</v>
      </c>
      <c r="DE34" s="461">
        <v>0</v>
      </c>
      <c r="DF34" s="461">
        <v>0</v>
      </c>
      <c r="DG34" s="461">
        <v>0</v>
      </c>
      <c r="DH34" s="461">
        <v>0</v>
      </c>
      <c r="DI34" s="462">
        <f t="shared" si="131"/>
        <v>0</v>
      </c>
      <c r="DJ34" s="468">
        <f t="shared" si="140"/>
        <v>0</v>
      </c>
      <c r="DK34" s="468">
        <f t="shared" si="141"/>
        <v>0</v>
      </c>
      <c r="DL34" s="461">
        <f>CI34+DI34</f>
        <v>0</v>
      </c>
      <c r="DM34" s="461">
        <v>0</v>
      </c>
      <c r="DN34" s="461">
        <v>0</v>
      </c>
      <c r="DO34" s="461">
        <v>0</v>
      </c>
      <c r="DP34" s="461">
        <v>0</v>
      </c>
      <c r="DQ34" s="461">
        <v>0</v>
      </c>
      <c r="DR34" s="461">
        <v>0</v>
      </c>
      <c r="DS34" s="461">
        <v>0</v>
      </c>
      <c r="DT34" s="461">
        <v>0</v>
      </c>
      <c r="DU34" s="461">
        <v>0</v>
      </c>
      <c r="DV34" s="461">
        <v>0</v>
      </c>
      <c r="DW34" s="461">
        <v>0</v>
      </c>
      <c r="DX34" s="461">
        <v>0</v>
      </c>
      <c r="DY34" s="461">
        <v>0</v>
      </c>
      <c r="DZ34" s="461">
        <v>0</v>
      </c>
      <c r="EA34" s="461">
        <v>0</v>
      </c>
      <c r="EB34" s="461">
        <v>0</v>
      </c>
      <c r="EC34" s="461">
        <v>0</v>
      </c>
      <c r="ED34" s="461">
        <v>0</v>
      </c>
      <c r="EE34" s="461">
        <v>0</v>
      </c>
      <c r="EF34" s="461">
        <v>0</v>
      </c>
      <c r="EG34" s="461">
        <v>0</v>
      </c>
      <c r="EH34" s="461">
        <v>0</v>
      </c>
      <c r="EI34" s="461">
        <v>0</v>
      </c>
      <c r="EJ34" s="461">
        <v>0</v>
      </c>
      <c r="EK34" s="461"/>
      <c r="EL34" s="461">
        <v>0</v>
      </c>
      <c r="EM34" s="461"/>
      <c r="EN34" s="461"/>
      <c r="EO34" s="461"/>
      <c r="EP34" s="461"/>
      <c r="EQ34" s="461">
        <v>0</v>
      </c>
      <c r="ER34" s="465">
        <f>IFERROR(CP34/CO34,0)</f>
        <v>0</v>
      </c>
      <c r="ES34" s="466">
        <f>IFERROR(DK34/DJ34,0)</f>
        <v>0</v>
      </c>
      <c r="ET34" s="465">
        <f>IFERROR(DM34/DL34,0)</f>
        <v>0</v>
      </c>
      <c r="EU34" s="465">
        <f t="shared" si="65"/>
        <v>1</v>
      </c>
      <c r="EV34" s="465">
        <f t="shared" si="66"/>
        <v>1</v>
      </c>
      <c r="EW34" s="823"/>
      <c r="EX34" s="758"/>
      <c r="EY34" s="758"/>
      <c r="EZ34" s="758"/>
      <c r="FA34" s="758"/>
    </row>
    <row r="35" spans="1:157" ht="29.25" customHeight="1" x14ac:dyDescent="0.25">
      <c r="A35" s="827"/>
      <c r="B35" s="836"/>
      <c r="C35" s="833"/>
      <c r="D35" s="833"/>
      <c r="E35" s="833"/>
      <c r="F35" s="457" t="s">
        <v>105</v>
      </c>
      <c r="G35" s="612">
        <f>AA35+BE35+CI35+DL35+DN35</f>
        <v>598754122</v>
      </c>
      <c r="H35" s="467">
        <v>0</v>
      </c>
      <c r="I35" s="467">
        <v>0</v>
      </c>
      <c r="J35" s="467">
        <v>0</v>
      </c>
      <c r="K35" s="467">
        <v>0</v>
      </c>
      <c r="L35" s="467">
        <v>0</v>
      </c>
      <c r="M35" s="467">
        <v>0</v>
      </c>
      <c r="N35" s="467">
        <v>0</v>
      </c>
      <c r="O35" s="467">
        <v>0</v>
      </c>
      <c r="P35" s="467">
        <v>0</v>
      </c>
      <c r="Q35" s="467">
        <v>0</v>
      </c>
      <c r="R35" s="467">
        <v>0</v>
      </c>
      <c r="S35" s="467">
        <v>0</v>
      </c>
      <c r="T35" s="467">
        <v>0</v>
      </c>
      <c r="U35" s="467">
        <v>0</v>
      </c>
      <c r="V35" s="467">
        <v>0</v>
      </c>
      <c r="W35" s="467"/>
      <c r="X35" s="467"/>
      <c r="Y35" s="467"/>
      <c r="Z35" s="467">
        <v>0</v>
      </c>
      <c r="AA35" s="467">
        <v>0</v>
      </c>
      <c r="AB35" s="467">
        <v>89761033</v>
      </c>
      <c r="AC35" s="467">
        <v>0</v>
      </c>
      <c r="AD35" s="467">
        <v>0</v>
      </c>
      <c r="AE35" s="474">
        <v>27209750</v>
      </c>
      <c r="AF35" s="474">
        <v>27209750</v>
      </c>
      <c r="AG35" s="474">
        <v>13322833</v>
      </c>
      <c r="AH35" s="474">
        <v>13322833</v>
      </c>
      <c r="AI35" s="474">
        <v>0</v>
      </c>
      <c r="AJ35" s="474">
        <v>0</v>
      </c>
      <c r="AK35" s="474">
        <v>29738100</v>
      </c>
      <c r="AL35" s="474">
        <v>29738100</v>
      </c>
      <c r="AM35" s="467">
        <f>19490350-14534000</f>
        <v>4956350</v>
      </c>
      <c r="AN35" s="467">
        <v>0</v>
      </c>
      <c r="AO35" s="467">
        <v>0</v>
      </c>
      <c r="AP35" s="467">
        <v>0</v>
      </c>
      <c r="AQ35" s="467">
        <v>0</v>
      </c>
      <c r="AR35" s="467">
        <v>4956350</v>
      </c>
      <c r="AS35" s="467">
        <v>0</v>
      </c>
      <c r="AT35" s="467">
        <v>0</v>
      </c>
      <c r="AU35" s="467">
        <v>0</v>
      </c>
      <c r="AV35" s="467">
        <v>0</v>
      </c>
      <c r="AW35" s="467">
        <v>0</v>
      </c>
      <c r="AX35" s="467">
        <v>0</v>
      </c>
      <c r="AY35" s="467">
        <v>0</v>
      </c>
      <c r="AZ35" s="467">
        <v>0</v>
      </c>
      <c r="BA35" s="472">
        <f t="shared" si="124"/>
        <v>75227033</v>
      </c>
      <c r="BB35" s="472">
        <f t="shared" ref="BB35:BC35" si="142">AC35+AE35+AG35+AI35+AK35+AM35+AO35+AQ35+AS35+AU35+AW35</f>
        <v>75227033</v>
      </c>
      <c r="BC35" s="472">
        <f t="shared" si="142"/>
        <v>75227033</v>
      </c>
      <c r="BD35" s="468">
        <f t="shared" si="137"/>
        <v>75227033</v>
      </c>
      <c r="BE35" s="468">
        <f t="shared" si="138"/>
        <v>75227033</v>
      </c>
      <c r="BF35" s="469">
        <v>23229439</v>
      </c>
      <c r="BG35" s="469">
        <v>16583767</v>
      </c>
      <c r="BH35" s="469">
        <f>16583767</f>
        <v>16583767</v>
      </c>
      <c r="BI35" s="469">
        <f>6186134+1138</f>
        <v>6187272</v>
      </c>
      <c r="BJ35" s="467">
        <v>0</v>
      </c>
      <c r="BK35" s="469">
        <v>0</v>
      </c>
      <c r="BL35" s="467">
        <v>6187271</v>
      </c>
      <c r="BM35" s="469">
        <v>0</v>
      </c>
      <c r="BN35" s="467">
        <v>0</v>
      </c>
      <c r="BO35" s="469">
        <v>0</v>
      </c>
      <c r="BP35" s="469">
        <v>0</v>
      </c>
      <c r="BQ35" s="469">
        <v>0</v>
      </c>
      <c r="BR35" s="467">
        <v>0</v>
      </c>
      <c r="BS35" s="469">
        <v>0</v>
      </c>
      <c r="BT35" s="467">
        <v>0</v>
      </c>
      <c r="BU35" s="469">
        <v>0</v>
      </c>
      <c r="BV35" s="467">
        <v>0</v>
      </c>
      <c r="BW35" s="469">
        <v>0</v>
      </c>
      <c r="BX35" s="469">
        <v>0</v>
      </c>
      <c r="BY35" s="469">
        <v>0</v>
      </c>
      <c r="BZ35" s="467">
        <v>0</v>
      </c>
      <c r="CA35" s="469">
        <v>0</v>
      </c>
      <c r="CB35" s="467">
        <v>0</v>
      </c>
      <c r="CC35" s="469">
        <v>0</v>
      </c>
      <c r="CD35" s="467">
        <v>0</v>
      </c>
      <c r="CE35" s="467">
        <f t="shared" si="127"/>
        <v>22771039</v>
      </c>
      <c r="CF35" s="467">
        <f t="shared" ref="CF35:CG35" si="143">BG35+BI35+BK35+BM35+BO35+BQ35+BS35+BU35+BW35+BY35+CA35+CC35</f>
        <v>22771039</v>
      </c>
      <c r="CG35" s="467">
        <f t="shared" si="143"/>
        <v>22771038</v>
      </c>
      <c r="CH35" s="467">
        <f t="shared" si="129"/>
        <v>22771039</v>
      </c>
      <c r="CI35" s="467">
        <f t="shared" si="130"/>
        <v>22771038</v>
      </c>
      <c r="CJ35" s="467">
        <v>500756051</v>
      </c>
      <c r="CK35" s="467">
        <v>181541404</v>
      </c>
      <c r="CL35" s="467">
        <v>181541404</v>
      </c>
      <c r="CM35" s="467">
        <v>31975300</v>
      </c>
      <c r="CN35" s="467">
        <v>31975300</v>
      </c>
      <c r="CO35" s="467">
        <v>15946455</v>
      </c>
      <c r="CP35" s="467">
        <v>15946455</v>
      </c>
      <c r="CQ35" s="467">
        <v>14124533</v>
      </c>
      <c r="CR35" s="467">
        <v>0</v>
      </c>
      <c r="CS35" s="467">
        <v>120449819</v>
      </c>
      <c r="CT35" s="467">
        <v>0</v>
      </c>
      <c r="CU35" s="467">
        <v>80299879</v>
      </c>
      <c r="CV35" s="467">
        <v>0</v>
      </c>
      <c r="CW35" s="467">
        <v>56418661</v>
      </c>
      <c r="CX35" s="467">
        <v>0</v>
      </c>
      <c r="CY35" s="467">
        <v>0</v>
      </c>
      <c r="CZ35" s="467">
        <v>0</v>
      </c>
      <c r="DA35" s="467">
        <v>0</v>
      </c>
      <c r="DB35" s="467">
        <v>0</v>
      </c>
      <c r="DC35" s="467">
        <v>0</v>
      </c>
      <c r="DD35" s="467">
        <v>0</v>
      </c>
      <c r="DE35" s="467">
        <v>0</v>
      </c>
      <c r="DF35" s="467">
        <v>0</v>
      </c>
      <c r="DG35" s="467">
        <v>0</v>
      </c>
      <c r="DH35" s="467">
        <v>0</v>
      </c>
      <c r="DI35" s="468">
        <f t="shared" si="131"/>
        <v>500756051</v>
      </c>
      <c r="DJ35" s="468">
        <f t="shared" si="140"/>
        <v>229463159</v>
      </c>
      <c r="DK35" s="468">
        <f t="shared" si="141"/>
        <v>229463159</v>
      </c>
      <c r="DL35" s="467">
        <f t="shared" ref="DL35" si="144">DI35</f>
        <v>500756051</v>
      </c>
      <c r="DM35" s="467">
        <f>DK35</f>
        <v>229463159</v>
      </c>
      <c r="DN35" s="467">
        <v>0</v>
      </c>
      <c r="DO35" s="467">
        <v>0</v>
      </c>
      <c r="DP35" s="467">
        <v>0</v>
      </c>
      <c r="DQ35" s="467">
        <v>0</v>
      </c>
      <c r="DR35" s="467">
        <v>0</v>
      </c>
      <c r="DS35" s="467">
        <v>0</v>
      </c>
      <c r="DT35" s="467">
        <v>0</v>
      </c>
      <c r="DU35" s="467">
        <v>0</v>
      </c>
      <c r="DV35" s="467">
        <v>0</v>
      </c>
      <c r="DW35" s="467">
        <v>0</v>
      </c>
      <c r="DX35" s="467">
        <v>0</v>
      </c>
      <c r="DY35" s="467">
        <v>0</v>
      </c>
      <c r="DZ35" s="467">
        <v>0</v>
      </c>
      <c r="EA35" s="467">
        <v>0</v>
      </c>
      <c r="EB35" s="467">
        <v>0</v>
      </c>
      <c r="EC35" s="467">
        <v>0</v>
      </c>
      <c r="ED35" s="467">
        <v>0</v>
      </c>
      <c r="EE35" s="467">
        <v>0</v>
      </c>
      <c r="EF35" s="467">
        <v>0</v>
      </c>
      <c r="EG35" s="467">
        <v>0</v>
      </c>
      <c r="EH35" s="467">
        <v>0</v>
      </c>
      <c r="EI35" s="467">
        <v>0</v>
      </c>
      <c r="EJ35" s="467">
        <v>0</v>
      </c>
      <c r="EK35" s="467"/>
      <c r="EL35" s="467">
        <v>0</v>
      </c>
      <c r="EM35" s="467"/>
      <c r="EN35" s="467"/>
      <c r="EO35" s="467"/>
      <c r="EP35" s="467"/>
      <c r="EQ35" s="467">
        <v>0</v>
      </c>
      <c r="ER35" s="465">
        <f t="shared" si="62"/>
        <v>1</v>
      </c>
      <c r="ES35" s="466">
        <f t="shared" si="63"/>
        <v>1</v>
      </c>
      <c r="ET35" s="465">
        <f t="shared" si="64"/>
        <v>0.45823342232563458</v>
      </c>
      <c r="EU35" s="465">
        <f t="shared" si="65"/>
        <v>0.99999999694620334</v>
      </c>
      <c r="EV35" s="465">
        <f t="shared" si="66"/>
        <v>0.5469043434827493</v>
      </c>
      <c r="EW35" s="823"/>
      <c r="EX35" s="758"/>
      <c r="EY35" s="758"/>
      <c r="EZ35" s="758"/>
      <c r="FA35" s="758"/>
    </row>
    <row r="36" spans="1:157" ht="29.25" customHeight="1" thickBot="1" x14ac:dyDescent="0.3">
      <c r="A36" s="827"/>
      <c r="B36" s="836"/>
      <c r="C36" s="833"/>
      <c r="D36" s="833"/>
      <c r="E36" s="833"/>
      <c r="F36" s="41" t="s">
        <v>106</v>
      </c>
      <c r="G36" s="615">
        <f>G31+G34</f>
        <v>4</v>
      </c>
      <c r="H36" s="485">
        <f t="shared" ref="H36:I36" si="145">+H31</f>
        <v>0.27</v>
      </c>
      <c r="I36" s="485">
        <f t="shared" si="145"/>
        <v>0.27</v>
      </c>
      <c r="J36" s="484">
        <f>J31+J34</f>
        <v>0</v>
      </c>
      <c r="K36" s="485">
        <f>+K31</f>
        <v>0.27</v>
      </c>
      <c r="L36" s="484">
        <f>L31+L34</f>
        <v>0</v>
      </c>
      <c r="M36" s="485">
        <f>+M31</f>
        <v>0.27</v>
      </c>
      <c r="N36" s="485">
        <f>N31+N34</f>
        <v>0.02</v>
      </c>
      <c r="O36" s="485">
        <f t="shared" ref="O36:S36" si="146">+O31</f>
        <v>0.27</v>
      </c>
      <c r="P36" s="485">
        <f t="shared" si="146"/>
        <v>7.0000000000000007E-2</v>
      </c>
      <c r="Q36" s="485">
        <f t="shared" si="146"/>
        <v>0.27</v>
      </c>
      <c r="R36" s="485">
        <f t="shared" si="146"/>
        <v>0.14000000000000001</v>
      </c>
      <c r="S36" s="485">
        <f t="shared" si="146"/>
        <v>0.27</v>
      </c>
      <c r="T36" s="485">
        <f>T31+T34</f>
        <v>0.2</v>
      </c>
      <c r="U36" s="485">
        <v>0.27</v>
      </c>
      <c r="V36" s="485">
        <v>0.26</v>
      </c>
      <c r="W36" s="484"/>
      <c r="X36" s="484"/>
      <c r="Y36" s="484"/>
      <c r="Z36" s="486">
        <v>0.27</v>
      </c>
      <c r="AA36" s="486">
        <v>0.26</v>
      </c>
      <c r="AB36" s="485">
        <f t="shared" ref="AB36:DG36" si="147">AB31+AB34</f>
        <v>0.74</v>
      </c>
      <c r="AC36" s="485">
        <f t="shared" si="147"/>
        <v>0.05</v>
      </c>
      <c r="AD36" s="485">
        <f t="shared" si="147"/>
        <v>0.05</v>
      </c>
      <c r="AE36" s="485">
        <f t="shared" si="147"/>
        <v>0.05</v>
      </c>
      <c r="AF36" s="485">
        <f t="shared" si="147"/>
        <v>0.05</v>
      </c>
      <c r="AG36" s="485">
        <f t="shared" si="147"/>
        <v>0.04</v>
      </c>
      <c r="AH36" s="485">
        <f t="shared" si="147"/>
        <v>0.04</v>
      </c>
      <c r="AI36" s="485">
        <f t="shared" si="147"/>
        <v>0.06</v>
      </c>
      <c r="AJ36" s="485">
        <f t="shared" si="147"/>
        <v>0.06</v>
      </c>
      <c r="AK36" s="485">
        <f t="shared" si="147"/>
        <v>6.9999999999999993E-2</v>
      </c>
      <c r="AL36" s="485">
        <f t="shared" si="147"/>
        <v>6.9999999999999993E-2</v>
      </c>
      <c r="AM36" s="485">
        <f t="shared" si="147"/>
        <v>0.06</v>
      </c>
      <c r="AN36" s="485">
        <f t="shared" si="147"/>
        <v>0.06</v>
      </c>
      <c r="AO36" s="485">
        <f t="shared" si="147"/>
        <v>0.06</v>
      </c>
      <c r="AP36" s="485">
        <f t="shared" si="147"/>
        <v>0.06</v>
      </c>
      <c r="AQ36" s="485">
        <f t="shared" si="147"/>
        <v>7.0000000000000007E-2</v>
      </c>
      <c r="AR36" s="485">
        <f t="shared" si="147"/>
        <v>7.0000000000000007E-2</v>
      </c>
      <c r="AS36" s="485">
        <f t="shared" si="147"/>
        <v>7.0000000000000007E-2</v>
      </c>
      <c r="AT36" s="485">
        <f t="shared" si="147"/>
        <v>7.0000000000000007E-2</v>
      </c>
      <c r="AU36" s="485">
        <f t="shared" si="147"/>
        <v>7.0000000000000007E-2</v>
      </c>
      <c r="AV36" s="485">
        <f t="shared" si="147"/>
        <v>7.0000000000000007E-2</v>
      </c>
      <c r="AW36" s="485">
        <f t="shared" si="147"/>
        <v>7.0000000000000007E-2</v>
      </c>
      <c r="AX36" s="485">
        <f t="shared" si="147"/>
        <v>7.0000000000000007E-2</v>
      </c>
      <c r="AY36" s="485">
        <f t="shared" si="147"/>
        <v>7.0000000000000007E-2</v>
      </c>
      <c r="AZ36" s="485">
        <f t="shared" si="147"/>
        <v>7.0000000000000007E-2</v>
      </c>
      <c r="BA36" s="485">
        <f t="shared" si="147"/>
        <v>0.74000000000000021</v>
      </c>
      <c r="BB36" s="485">
        <f t="shared" si="147"/>
        <v>0.74000000000000021</v>
      </c>
      <c r="BC36" s="485">
        <f t="shared" si="147"/>
        <v>0.74000000000000021</v>
      </c>
      <c r="BD36" s="486">
        <f t="shared" si="147"/>
        <v>0.74000000000000021</v>
      </c>
      <c r="BE36" s="486">
        <f t="shared" si="147"/>
        <v>0.74000000000000021</v>
      </c>
      <c r="BF36" s="486">
        <f t="shared" si="147"/>
        <v>1</v>
      </c>
      <c r="BG36" s="486">
        <f t="shared" si="147"/>
        <v>0</v>
      </c>
      <c r="BH36" s="486">
        <f t="shared" si="147"/>
        <v>0</v>
      </c>
      <c r="BI36" s="486">
        <f t="shared" si="147"/>
        <v>0.09</v>
      </c>
      <c r="BJ36" s="486">
        <f t="shared" si="147"/>
        <v>0.09</v>
      </c>
      <c r="BK36" s="486">
        <f t="shared" si="147"/>
        <v>0.09</v>
      </c>
      <c r="BL36" s="486">
        <f t="shared" si="147"/>
        <v>0.09</v>
      </c>
      <c r="BM36" s="486">
        <f t="shared" si="147"/>
        <v>0.09</v>
      </c>
      <c r="BN36" s="486">
        <f t="shared" si="147"/>
        <v>0.09</v>
      </c>
      <c r="BO36" s="486">
        <f t="shared" si="147"/>
        <v>0.09</v>
      </c>
      <c r="BP36" s="486">
        <f t="shared" si="147"/>
        <v>0.09</v>
      </c>
      <c r="BQ36" s="486">
        <f t="shared" si="147"/>
        <v>0.09</v>
      </c>
      <c r="BR36" s="486">
        <f t="shared" si="147"/>
        <v>0.09</v>
      </c>
      <c r="BS36" s="486">
        <f t="shared" si="147"/>
        <v>0.09</v>
      </c>
      <c r="BT36" s="486">
        <f t="shared" si="147"/>
        <v>0.09</v>
      </c>
      <c r="BU36" s="486">
        <f t="shared" si="147"/>
        <v>0.09</v>
      </c>
      <c r="BV36" s="486">
        <f t="shared" si="147"/>
        <v>0.09</v>
      </c>
      <c r="BW36" s="486">
        <f t="shared" si="147"/>
        <v>0.09</v>
      </c>
      <c r="BX36" s="486">
        <f t="shared" si="147"/>
        <v>0.09</v>
      </c>
      <c r="BY36" s="486">
        <f t="shared" si="147"/>
        <v>0.09</v>
      </c>
      <c r="BZ36" s="486">
        <f t="shared" si="147"/>
        <v>0.09</v>
      </c>
      <c r="CA36" s="486">
        <f t="shared" si="147"/>
        <v>0.09</v>
      </c>
      <c r="CB36" s="486">
        <f t="shared" si="147"/>
        <v>0.09</v>
      </c>
      <c r="CC36" s="486">
        <f t="shared" si="147"/>
        <v>0.1</v>
      </c>
      <c r="CD36" s="486">
        <f t="shared" si="147"/>
        <v>0.1</v>
      </c>
      <c r="CE36" s="486">
        <f t="shared" si="147"/>
        <v>0.99999999999999978</v>
      </c>
      <c r="CF36" s="486">
        <f t="shared" si="147"/>
        <v>0.99999999999999978</v>
      </c>
      <c r="CG36" s="486">
        <f t="shared" si="147"/>
        <v>0.99999999999999978</v>
      </c>
      <c r="CH36" s="486">
        <f t="shared" si="147"/>
        <v>0.99999999999999978</v>
      </c>
      <c r="CI36" s="486">
        <f t="shared" si="147"/>
        <v>0.99999999999999978</v>
      </c>
      <c r="CJ36" s="486">
        <f t="shared" si="147"/>
        <v>1</v>
      </c>
      <c r="CK36" s="485">
        <f t="shared" si="147"/>
        <v>0</v>
      </c>
      <c r="CL36" s="485">
        <f t="shared" si="147"/>
        <v>0</v>
      </c>
      <c r="CM36" s="485">
        <f t="shared" si="147"/>
        <v>0.09</v>
      </c>
      <c r="CN36" s="485">
        <f t="shared" si="147"/>
        <v>0.09</v>
      </c>
      <c r="CO36" s="485">
        <f t="shared" si="147"/>
        <v>0.09</v>
      </c>
      <c r="CP36" s="485">
        <f t="shared" si="147"/>
        <v>0.09</v>
      </c>
      <c r="CQ36" s="485">
        <f t="shared" si="147"/>
        <v>0.09</v>
      </c>
      <c r="CR36" s="485">
        <f t="shared" si="147"/>
        <v>0</v>
      </c>
      <c r="CS36" s="485">
        <f t="shared" si="147"/>
        <v>0.09</v>
      </c>
      <c r="CT36" s="485">
        <f t="shared" si="147"/>
        <v>0</v>
      </c>
      <c r="CU36" s="485">
        <f t="shared" si="147"/>
        <v>0.09</v>
      </c>
      <c r="CV36" s="485">
        <f t="shared" si="147"/>
        <v>0</v>
      </c>
      <c r="CW36" s="485">
        <f t="shared" si="147"/>
        <v>0.09</v>
      </c>
      <c r="CX36" s="485">
        <f t="shared" si="147"/>
        <v>0</v>
      </c>
      <c r="CY36" s="485">
        <f t="shared" si="147"/>
        <v>0.09</v>
      </c>
      <c r="CZ36" s="485">
        <f t="shared" si="147"/>
        <v>0</v>
      </c>
      <c r="DA36" s="485">
        <f t="shared" si="147"/>
        <v>0.09</v>
      </c>
      <c r="DB36" s="485">
        <f t="shared" si="147"/>
        <v>0</v>
      </c>
      <c r="DC36" s="485">
        <f t="shared" si="147"/>
        <v>0.09</v>
      </c>
      <c r="DD36" s="485">
        <f t="shared" si="147"/>
        <v>0</v>
      </c>
      <c r="DE36" s="485">
        <f t="shared" si="147"/>
        <v>0.09</v>
      </c>
      <c r="DF36" s="485">
        <f t="shared" si="147"/>
        <v>0</v>
      </c>
      <c r="DG36" s="485">
        <f t="shared" si="147"/>
        <v>0.1</v>
      </c>
      <c r="DH36" s="485">
        <v>0</v>
      </c>
      <c r="DI36" s="485">
        <f t="shared" si="131"/>
        <v>0.99999999999999978</v>
      </c>
      <c r="DJ36" s="490">
        <f>CK36+CM36+CO36</f>
        <v>0.18</v>
      </c>
      <c r="DK36" s="490">
        <f>CL36+CN36+CP36</f>
        <v>0.18</v>
      </c>
      <c r="DL36" s="487">
        <f t="shared" ref="DL36" si="148">CM36+CO36+CQ36+CS36+CU36+CW36+CY36+DA36+DC36+DE36+DG36</f>
        <v>0.99999999999999978</v>
      </c>
      <c r="DM36" s="485">
        <f t="shared" ref="DM36:DN36" si="149">DM31+DM34</f>
        <v>0.18</v>
      </c>
      <c r="DN36" s="486">
        <f t="shared" si="149"/>
        <v>1</v>
      </c>
      <c r="DO36" s="485"/>
      <c r="DP36" s="485"/>
      <c r="DQ36" s="485"/>
      <c r="DR36" s="485"/>
      <c r="DS36" s="485"/>
      <c r="DT36" s="485"/>
      <c r="DU36" s="485"/>
      <c r="DV36" s="485"/>
      <c r="DW36" s="485"/>
      <c r="DX36" s="485"/>
      <c r="DY36" s="485"/>
      <c r="DZ36" s="485"/>
      <c r="EA36" s="485"/>
      <c r="EB36" s="485"/>
      <c r="EC36" s="485"/>
      <c r="ED36" s="485"/>
      <c r="EE36" s="485"/>
      <c r="EF36" s="485"/>
      <c r="EG36" s="485"/>
      <c r="EH36" s="485"/>
      <c r="EI36" s="485"/>
      <c r="EJ36" s="485"/>
      <c r="EK36" s="485"/>
      <c r="EL36" s="485"/>
      <c r="EM36" s="485"/>
      <c r="EN36" s="485"/>
      <c r="EO36" s="485"/>
      <c r="EP36" s="485"/>
      <c r="EQ36" s="485"/>
      <c r="ER36" s="491">
        <f t="shared" si="62"/>
        <v>1</v>
      </c>
      <c r="ES36" s="492">
        <f t="shared" si="63"/>
        <v>1</v>
      </c>
      <c r="ET36" s="491">
        <f t="shared" si="64"/>
        <v>0.18000000000000002</v>
      </c>
      <c r="EU36" s="491">
        <f t="shared" si="65"/>
        <v>0.99543378995433796</v>
      </c>
      <c r="EV36" s="491">
        <f t="shared" si="66"/>
        <v>0.54500000000000004</v>
      </c>
      <c r="EW36" s="823"/>
      <c r="EX36" s="758"/>
      <c r="EY36" s="758"/>
      <c r="EZ36" s="758"/>
      <c r="FA36" s="758"/>
    </row>
    <row r="37" spans="1:157" ht="29.25" customHeight="1" thickBot="1" x14ac:dyDescent="0.3">
      <c r="A37" s="830"/>
      <c r="B37" s="837"/>
      <c r="C37" s="834"/>
      <c r="D37" s="834"/>
      <c r="E37" s="834"/>
      <c r="F37" s="459" t="s">
        <v>107</v>
      </c>
      <c r="G37" s="617">
        <f>G32+G35</f>
        <v>3285151378</v>
      </c>
      <c r="H37" s="503">
        <f t="shared" ref="H37:T37" si="150">+H32</f>
        <v>201000000</v>
      </c>
      <c r="I37" s="503">
        <f t="shared" si="150"/>
        <v>201000000</v>
      </c>
      <c r="J37" s="503">
        <f t="shared" si="150"/>
        <v>0</v>
      </c>
      <c r="K37" s="503">
        <f t="shared" si="150"/>
        <v>201000000</v>
      </c>
      <c r="L37" s="503">
        <f t="shared" si="150"/>
        <v>0</v>
      </c>
      <c r="M37" s="503">
        <f t="shared" si="150"/>
        <v>201000000</v>
      </c>
      <c r="N37" s="503">
        <f t="shared" si="150"/>
        <v>71564000</v>
      </c>
      <c r="O37" s="503">
        <f t="shared" si="150"/>
        <v>201000000</v>
      </c>
      <c r="P37" s="503">
        <f t="shared" si="150"/>
        <v>143476093</v>
      </c>
      <c r="Q37" s="503">
        <f t="shared" si="150"/>
        <v>201000000</v>
      </c>
      <c r="R37" s="503">
        <f t="shared" si="150"/>
        <v>143476093</v>
      </c>
      <c r="S37" s="503">
        <f t="shared" si="150"/>
        <v>201000000</v>
      </c>
      <c r="T37" s="503">
        <f t="shared" si="150"/>
        <v>76021593</v>
      </c>
      <c r="U37" s="503">
        <v>144912593</v>
      </c>
      <c r="V37" s="503">
        <v>143476093</v>
      </c>
      <c r="W37" s="503"/>
      <c r="X37" s="503"/>
      <c r="Y37" s="503"/>
      <c r="Z37" s="503">
        <v>144912593</v>
      </c>
      <c r="AA37" s="502">
        <v>143476093</v>
      </c>
      <c r="AB37" s="503">
        <f t="shared" ref="AB37:DN37" si="151">AB32+AB35</f>
        <v>341001033</v>
      </c>
      <c r="AC37" s="503">
        <f t="shared" si="151"/>
        <v>0</v>
      </c>
      <c r="AD37" s="503">
        <f t="shared" si="151"/>
        <v>0</v>
      </c>
      <c r="AE37" s="503">
        <f t="shared" si="151"/>
        <v>27209750</v>
      </c>
      <c r="AF37" s="503">
        <f t="shared" si="151"/>
        <v>27209750</v>
      </c>
      <c r="AG37" s="503">
        <f t="shared" si="151"/>
        <v>147260833</v>
      </c>
      <c r="AH37" s="503">
        <f t="shared" si="151"/>
        <v>147260833</v>
      </c>
      <c r="AI37" s="503">
        <f t="shared" si="151"/>
        <v>56286000</v>
      </c>
      <c r="AJ37" s="503">
        <f t="shared" si="151"/>
        <v>56286000</v>
      </c>
      <c r="AK37" s="503">
        <f t="shared" si="151"/>
        <v>29738100</v>
      </c>
      <c r="AL37" s="503">
        <f t="shared" si="151"/>
        <v>29738100</v>
      </c>
      <c r="AM37" s="503">
        <f t="shared" si="151"/>
        <v>21161117</v>
      </c>
      <c r="AN37" s="503">
        <f t="shared" si="151"/>
        <v>10500000</v>
      </c>
      <c r="AO37" s="503">
        <f t="shared" si="151"/>
        <v>0</v>
      </c>
      <c r="AP37" s="503">
        <f t="shared" si="151"/>
        <v>0</v>
      </c>
      <c r="AQ37" s="503">
        <f t="shared" si="151"/>
        <v>0</v>
      </c>
      <c r="AR37" s="503">
        <f t="shared" si="151"/>
        <v>4956350</v>
      </c>
      <c r="AS37" s="503">
        <f t="shared" si="151"/>
        <v>0</v>
      </c>
      <c r="AT37" s="503">
        <f t="shared" si="151"/>
        <v>0</v>
      </c>
      <c r="AU37" s="503">
        <f t="shared" si="151"/>
        <v>0</v>
      </c>
      <c r="AV37" s="503">
        <f t="shared" si="151"/>
        <v>0</v>
      </c>
      <c r="AW37" s="503">
        <f t="shared" si="151"/>
        <v>0</v>
      </c>
      <c r="AX37" s="503">
        <f t="shared" si="151"/>
        <v>0</v>
      </c>
      <c r="AY37" s="503">
        <f t="shared" si="151"/>
        <v>0</v>
      </c>
      <c r="AZ37" s="503">
        <f t="shared" si="151"/>
        <v>5704767</v>
      </c>
      <c r="BA37" s="503">
        <f t="shared" si="151"/>
        <v>281655800</v>
      </c>
      <c r="BB37" s="503">
        <f t="shared" si="151"/>
        <v>281655800</v>
      </c>
      <c r="BC37" s="503">
        <f t="shared" si="151"/>
        <v>281655800</v>
      </c>
      <c r="BD37" s="503">
        <f t="shared" si="151"/>
        <v>281655800</v>
      </c>
      <c r="BE37" s="503">
        <f t="shared" si="151"/>
        <v>281655800</v>
      </c>
      <c r="BF37" s="503">
        <f t="shared" si="151"/>
        <v>433141439</v>
      </c>
      <c r="BG37" s="503">
        <f t="shared" si="151"/>
        <v>388628767</v>
      </c>
      <c r="BH37" s="503">
        <f t="shared" si="151"/>
        <v>388628767</v>
      </c>
      <c r="BI37" s="503">
        <f t="shared" si="151"/>
        <v>6187272</v>
      </c>
      <c r="BJ37" s="503">
        <f t="shared" si="151"/>
        <v>0</v>
      </c>
      <c r="BK37" s="503">
        <f t="shared" si="151"/>
        <v>0</v>
      </c>
      <c r="BL37" s="503">
        <f t="shared" si="151"/>
        <v>6187271</v>
      </c>
      <c r="BM37" s="503">
        <f t="shared" si="151"/>
        <v>0</v>
      </c>
      <c r="BN37" s="503">
        <f t="shared" si="151"/>
        <v>0</v>
      </c>
      <c r="BO37" s="503">
        <f t="shared" si="151"/>
        <v>0</v>
      </c>
      <c r="BP37" s="503">
        <f t="shared" si="151"/>
        <v>0</v>
      </c>
      <c r="BQ37" s="503">
        <f t="shared" si="151"/>
        <v>13336921</v>
      </c>
      <c r="BR37" s="503">
        <f t="shared" si="151"/>
        <v>20000000</v>
      </c>
      <c r="BS37" s="503">
        <f t="shared" si="151"/>
        <v>5000000</v>
      </c>
      <c r="BT37" s="503">
        <f t="shared" si="151"/>
        <v>0</v>
      </c>
      <c r="BU37" s="503">
        <f t="shared" si="151"/>
        <v>0</v>
      </c>
      <c r="BV37" s="503">
        <f t="shared" si="151"/>
        <v>0</v>
      </c>
      <c r="BW37" s="503">
        <f t="shared" si="151"/>
        <v>0</v>
      </c>
      <c r="BX37" s="503">
        <f t="shared" si="151"/>
        <v>0</v>
      </c>
      <c r="BY37" s="503">
        <f t="shared" si="151"/>
        <v>59778100</v>
      </c>
      <c r="BZ37" s="503">
        <f t="shared" si="151"/>
        <v>58929000</v>
      </c>
      <c r="CA37" s="503">
        <f t="shared" si="151"/>
        <v>262867000</v>
      </c>
      <c r="CB37" s="503">
        <f t="shared" si="151"/>
        <v>22617000</v>
      </c>
      <c r="CC37" s="503">
        <f t="shared" si="151"/>
        <v>188317115</v>
      </c>
      <c r="CD37" s="503">
        <f t="shared" si="151"/>
        <v>409818396</v>
      </c>
      <c r="CE37" s="503">
        <f t="shared" si="151"/>
        <v>924115175</v>
      </c>
      <c r="CF37" s="503">
        <f t="shared" si="151"/>
        <v>924115175</v>
      </c>
      <c r="CG37" s="503">
        <f t="shared" si="151"/>
        <v>906180434</v>
      </c>
      <c r="CH37" s="503">
        <f t="shared" si="151"/>
        <v>924115175</v>
      </c>
      <c r="CI37" s="503">
        <f t="shared" si="151"/>
        <v>906180434</v>
      </c>
      <c r="CJ37" s="503">
        <f t="shared" si="151"/>
        <v>1208839051</v>
      </c>
      <c r="CK37" s="503">
        <f t="shared" si="151"/>
        <v>204222404</v>
      </c>
      <c r="CL37" s="503">
        <f t="shared" si="151"/>
        <v>204222404</v>
      </c>
      <c r="CM37" s="503">
        <f t="shared" si="151"/>
        <v>324795300</v>
      </c>
      <c r="CN37" s="503">
        <f t="shared" si="151"/>
        <v>324795300</v>
      </c>
      <c r="CO37" s="503">
        <f t="shared" si="151"/>
        <v>255519455</v>
      </c>
      <c r="CP37" s="503">
        <f t="shared" si="151"/>
        <v>255519455</v>
      </c>
      <c r="CQ37" s="503">
        <f t="shared" si="151"/>
        <v>14124533</v>
      </c>
      <c r="CR37" s="503">
        <f t="shared" si="151"/>
        <v>0</v>
      </c>
      <c r="CS37" s="503">
        <f t="shared" si="151"/>
        <v>122949819</v>
      </c>
      <c r="CT37" s="503">
        <f t="shared" si="151"/>
        <v>0</v>
      </c>
      <c r="CU37" s="503">
        <f t="shared" si="151"/>
        <v>80299879</v>
      </c>
      <c r="CV37" s="503">
        <f t="shared" si="151"/>
        <v>0</v>
      </c>
      <c r="CW37" s="503">
        <f t="shared" si="151"/>
        <v>206927661</v>
      </c>
      <c r="CX37" s="503">
        <f t="shared" si="151"/>
        <v>0</v>
      </c>
      <c r="CY37" s="503">
        <f t="shared" si="151"/>
        <v>0</v>
      </c>
      <c r="CZ37" s="503">
        <f t="shared" si="151"/>
        <v>0</v>
      </c>
      <c r="DA37" s="503">
        <f t="shared" si="151"/>
        <v>0</v>
      </c>
      <c r="DB37" s="503">
        <f t="shared" si="151"/>
        <v>0</v>
      </c>
      <c r="DC37" s="503">
        <f t="shared" si="151"/>
        <v>0</v>
      </c>
      <c r="DD37" s="503">
        <f t="shared" si="151"/>
        <v>0</v>
      </c>
      <c r="DE37" s="503">
        <f t="shared" si="151"/>
        <v>0</v>
      </c>
      <c r="DF37" s="503">
        <f t="shared" si="151"/>
        <v>0</v>
      </c>
      <c r="DG37" s="503">
        <f t="shared" si="151"/>
        <v>0</v>
      </c>
      <c r="DH37" s="503">
        <f t="shared" si="151"/>
        <v>0</v>
      </c>
      <c r="DI37" s="503">
        <f t="shared" si="151"/>
        <v>1208839051</v>
      </c>
      <c r="DJ37" s="503">
        <f t="shared" si="151"/>
        <v>784537159</v>
      </c>
      <c r="DK37" s="503">
        <f t="shared" si="151"/>
        <v>784537159</v>
      </c>
      <c r="DL37" s="503">
        <f t="shared" si="151"/>
        <v>1208839051</v>
      </c>
      <c r="DM37" s="503">
        <f t="shared" si="151"/>
        <v>784537159</v>
      </c>
      <c r="DN37" s="503">
        <f t="shared" si="151"/>
        <v>745000000</v>
      </c>
      <c r="DO37" s="521"/>
      <c r="DP37" s="521"/>
      <c r="DQ37" s="521"/>
      <c r="DR37" s="521"/>
      <c r="DS37" s="521"/>
      <c r="DT37" s="521"/>
      <c r="DU37" s="521"/>
      <c r="DV37" s="521"/>
      <c r="DW37" s="521"/>
      <c r="DX37" s="521"/>
      <c r="DY37" s="521"/>
      <c r="DZ37" s="521"/>
      <c r="EA37" s="521"/>
      <c r="EB37" s="521"/>
      <c r="EC37" s="521"/>
      <c r="ED37" s="521"/>
      <c r="EE37" s="521"/>
      <c r="EF37" s="521"/>
      <c r="EG37" s="521"/>
      <c r="EH37" s="521"/>
      <c r="EI37" s="521"/>
      <c r="EJ37" s="521"/>
      <c r="EK37" s="521"/>
      <c r="EL37" s="521"/>
      <c r="EM37" s="521"/>
      <c r="EN37" s="521"/>
      <c r="EO37" s="521"/>
      <c r="EP37" s="521"/>
      <c r="EQ37" s="521"/>
      <c r="ER37" s="505">
        <f t="shared" si="62"/>
        <v>1</v>
      </c>
      <c r="ES37" s="506">
        <f t="shared" si="63"/>
        <v>1</v>
      </c>
      <c r="ET37" s="505">
        <f t="shared" si="64"/>
        <v>0.64900050867069481</v>
      </c>
      <c r="EU37" s="505">
        <f t="shared" si="65"/>
        <v>0.99092775713768166</v>
      </c>
      <c r="EV37" s="507">
        <f t="shared" si="66"/>
        <v>0.64406453235897121</v>
      </c>
      <c r="EW37" s="824"/>
      <c r="EX37" s="758"/>
      <c r="EY37" s="758"/>
      <c r="EZ37" s="758"/>
      <c r="FA37" s="758"/>
    </row>
    <row r="38" spans="1:157" ht="29.25" customHeight="1" x14ac:dyDescent="0.25">
      <c r="A38" s="840" t="s">
        <v>110</v>
      </c>
      <c r="B38" s="749"/>
      <c r="C38" s="749"/>
      <c r="D38" s="749"/>
      <c r="E38" s="812"/>
      <c r="F38" s="42" t="s">
        <v>111</v>
      </c>
      <c r="G38" s="523">
        <f>G11+G18+G25+G32</f>
        <v>100309117567</v>
      </c>
      <c r="H38" s="524">
        <f t="shared" ref="H38:AB38" si="152">H11+H18+H25+H32</f>
        <v>3919274028</v>
      </c>
      <c r="I38" s="524">
        <f t="shared" si="152"/>
        <v>3919274028</v>
      </c>
      <c r="J38" s="524">
        <f t="shared" si="152"/>
        <v>15250000</v>
      </c>
      <c r="K38" s="524">
        <f t="shared" si="152"/>
        <v>3919274028</v>
      </c>
      <c r="L38" s="524">
        <f t="shared" si="152"/>
        <v>15250000</v>
      </c>
      <c r="M38" s="524">
        <f t="shared" si="152"/>
        <v>3919274028</v>
      </c>
      <c r="N38" s="524">
        <f t="shared" si="152"/>
        <v>741070000</v>
      </c>
      <c r="O38" s="524">
        <f t="shared" si="152"/>
        <v>3919274028</v>
      </c>
      <c r="P38" s="524">
        <f t="shared" si="152"/>
        <v>858602440</v>
      </c>
      <c r="Q38" s="524">
        <f t="shared" si="152"/>
        <v>3919274028</v>
      </c>
      <c r="R38" s="524">
        <f t="shared" si="152"/>
        <v>865381195</v>
      </c>
      <c r="S38" s="524">
        <f t="shared" si="152"/>
        <v>3919274028</v>
      </c>
      <c r="T38" s="524" t="e">
        <f t="shared" si="152"/>
        <v>#REF!</v>
      </c>
      <c r="U38" s="524">
        <f t="shared" si="152"/>
        <v>3537127981</v>
      </c>
      <c r="V38" s="524">
        <f t="shared" si="152"/>
        <v>2277977002</v>
      </c>
      <c r="W38" s="524">
        <f t="shared" si="152"/>
        <v>0</v>
      </c>
      <c r="X38" s="524">
        <f t="shared" si="152"/>
        <v>0</v>
      </c>
      <c r="Y38" s="524">
        <f t="shared" si="152"/>
        <v>0</v>
      </c>
      <c r="Z38" s="524">
        <f t="shared" si="152"/>
        <v>3537127981</v>
      </c>
      <c r="AA38" s="524">
        <f t="shared" si="152"/>
        <v>2277977002</v>
      </c>
      <c r="AB38" s="524">
        <f t="shared" si="152"/>
        <v>25357104000</v>
      </c>
      <c r="AC38" s="524">
        <f t="shared" ref="AC38:CN38" si="153">AC11+AC18+AC25+AC32</f>
        <v>0</v>
      </c>
      <c r="AD38" s="524">
        <f t="shared" si="153"/>
        <v>0</v>
      </c>
      <c r="AE38" s="524">
        <f t="shared" si="153"/>
        <v>263020000</v>
      </c>
      <c r="AF38" s="524">
        <f t="shared" si="153"/>
        <v>263020000</v>
      </c>
      <c r="AG38" s="524">
        <f t="shared" si="153"/>
        <v>981618000</v>
      </c>
      <c r="AH38" s="524">
        <f t="shared" si="153"/>
        <v>981618000</v>
      </c>
      <c r="AI38" s="524">
        <f t="shared" si="153"/>
        <v>558870996</v>
      </c>
      <c r="AJ38" s="524">
        <f t="shared" si="153"/>
        <v>558870996</v>
      </c>
      <c r="AK38" s="524">
        <f t="shared" si="153"/>
        <v>1446878</v>
      </c>
      <c r="AL38" s="524">
        <f t="shared" si="153"/>
        <v>1446878</v>
      </c>
      <c r="AM38" s="524">
        <f t="shared" si="153"/>
        <v>193964682</v>
      </c>
      <c r="AN38" s="524">
        <f t="shared" si="153"/>
        <v>432433597</v>
      </c>
      <c r="AO38" s="524">
        <f t="shared" si="153"/>
        <v>1038823000</v>
      </c>
      <c r="AP38" s="524">
        <f t="shared" si="153"/>
        <v>0</v>
      </c>
      <c r="AQ38" s="524">
        <f t="shared" si="153"/>
        <v>223940000</v>
      </c>
      <c r="AR38" s="524">
        <f t="shared" si="153"/>
        <v>0</v>
      </c>
      <c r="AS38" s="524">
        <f t="shared" si="153"/>
        <v>713082613</v>
      </c>
      <c r="AT38" s="524">
        <f t="shared" si="153"/>
        <v>25089500</v>
      </c>
      <c r="AU38" s="524">
        <f t="shared" si="153"/>
        <v>13825859942</v>
      </c>
      <c r="AV38" s="524">
        <f t="shared" si="153"/>
        <v>3654225862</v>
      </c>
      <c r="AW38" s="524">
        <f t="shared" si="153"/>
        <v>502548000</v>
      </c>
      <c r="AX38" s="524">
        <f t="shared" si="153"/>
        <v>3599999814</v>
      </c>
      <c r="AY38" s="524">
        <f t="shared" si="153"/>
        <v>3192759847</v>
      </c>
      <c r="AZ38" s="524">
        <f t="shared" si="153"/>
        <v>5376443502</v>
      </c>
      <c r="BA38" s="524">
        <f t="shared" si="153"/>
        <v>21495933958</v>
      </c>
      <c r="BB38" s="524">
        <f t="shared" si="153"/>
        <v>21495933958</v>
      </c>
      <c r="BC38" s="524">
        <f t="shared" si="153"/>
        <v>14893148149</v>
      </c>
      <c r="BD38" s="524">
        <f t="shared" si="153"/>
        <v>21495933958</v>
      </c>
      <c r="BE38" s="524">
        <f t="shared" si="153"/>
        <v>14893148149</v>
      </c>
      <c r="BF38" s="524">
        <f t="shared" si="153"/>
        <v>26671425000</v>
      </c>
      <c r="BG38" s="524">
        <f t="shared" si="153"/>
        <v>3363224000</v>
      </c>
      <c r="BH38" s="524">
        <f t="shared" si="153"/>
        <v>3363224000</v>
      </c>
      <c r="BI38" s="524">
        <f t="shared" si="153"/>
        <v>0</v>
      </c>
      <c r="BJ38" s="524">
        <f t="shared" si="153"/>
        <v>0</v>
      </c>
      <c r="BK38" s="524">
        <f t="shared" si="153"/>
        <v>421048371</v>
      </c>
      <c r="BL38" s="524">
        <f t="shared" si="153"/>
        <v>0</v>
      </c>
      <c r="BM38" s="524">
        <f t="shared" si="153"/>
        <v>374611602</v>
      </c>
      <c r="BN38" s="524">
        <f t="shared" si="153"/>
        <v>570260589</v>
      </c>
      <c r="BO38" s="524">
        <f t="shared" si="153"/>
        <v>17139000</v>
      </c>
      <c r="BP38" s="524">
        <f t="shared" si="153"/>
        <v>63054700</v>
      </c>
      <c r="BQ38" s="524">
        <f t="shared" si="153"/>
        <v>13336921</v>
      </c>
      <c r="BR38" s="524">
        <f t="shared" si="153"/>
        <v>50000000</v>
      </c>
      <c r="BS38" s="524">
        <f t="shared" si="153"/>
        <v>476808000</v>
      </c>
      <c r="BT38" s="524">
        <f t="shared" si="153"/>
        <v>60378633</v>
      </c>
      <c r="BU38" s="524">
        <f t="shared" si="153"/>
        <v>0</v>
      </c>
      <c r="BV38" s="524">
        <f t="shared" si="153"/>
        <v>20114014</v>
      </c>
      <c r="BW38" s="524">
        <f t="shared" si="153"/>
        <v>8103849000</v>
      </c>
      <c r="BX38" s="524">
        <f t="shared" si="153"/>
        <v>16029937</v>
      </c>
      <c r="BY38" s="524">
        <f t="shared" si="153"/>
        <v>13780127100</v>
      </c>
      <c r="BZ38" s="524">
        <f t="shared" si="153"/>
        <v>58929000</v>
      </c>
      <c r="CA38" s="524">
        <f t="shared" si="153"/>
        <v>375164054</v>
      </c>
      <c r="CB38" s="524">
        <f t="shared" si="153"/>
        <v>5916852433</v>
      </c>
      <c r="CC38" s="524">
        <f t="shared" si="153"/>
        <v>704004839</v>
      </c>
      <c r="CD38" s="524">
        <f t="shared" si="153"/>
        <v>16958336110</v>
      </c>
      <c r="CE38" s="524">
        <f t="shared" si="153"/>
        <v>27629312887</v>
      </c>
      <c r="CF38" s="524">
        <f t="shared" si="153"/>
        <v>27629312887</v>
      </c>
      <c r="CG38" s="524">
        <f t="shared" si="153"/>
        <v>27077179416</v>
      </c>
      <c r="CH38" s="524">
        <f t="shared" si="153"/>
        <v>27629312887</v>
      </c>
      <c r="CI38" s="524">
        <f t="shared" si="153"/>
        <v>27077179416</v>
      </c>
      <c r="CJ38" s="524">
        <f t="shared" si="153"/>
        <v>39475813000</v>
      </c>
      <c r="CK38" s="524">
        <f t="shared" si="153"/>
        <v>32089737544</v>
      </c>
      <c r="CL38" s="524">
        <f t="shared" si="153"/>
        <v>32089737544</v>
      </c>
      <c r="CM38" s="524">
        <f t="shared" si="153"/>
        <v>2169350000</v>
      </c>
      <c r="CN38" s="524">
        <f t="shared" si="153"/>
        <v>2169350000</v>
      </c>
      <c r="CO38" s="524">
        <f t="shared" ref="CO38:DK38" si="154">CO11+CO18+CO25+CO32</f>
        <v>602515000</v>
      </c>
      <c r="CP38" s="524">
        <f t="shared" si="154"/>
        <v>602515000</v>
      </c>
      <c r="CQ38" s="524">
        <f t="shared" si="154"/>
        <v>306885000</v>
      </c>
      <c r="CR38" s="524">
        <f t="shared" si="154"/>
        <v>0</v>
      </c>
      <c r="CS38" s="524">
        <f t="shared" si="154"/>
        <v>190660984</v>
      </c>
      <c r="CT38" s="524">
        <f t="shared" si="154"/>
        <v>0</v>
      </c>
      <c r="CU38" s="524">
        <f t="shared" si="154"/>
        <v>3765083472</v>
      </c>
      <c r="CV38" s="524">
        <f t="shared" si="154"/>
        <v>0</v>
      </c>
      <c r="CW38" s="524">
        <f t="shared" si="154"/>
        <v>351581000</v>
      </c>
      <c r="CX38" s="524">
        <f t="shared" si="154"/>
        <v>0</v>
      </c>
      <c r="CY38" s="524">
        <f t="shared" si="154"/>
        <v>0</v>
      </c>
      <c r="CZ38" s="524">
        <f t="shared" si="154"/>
        <v>0</v>
      </c>
      <c r="DA38" s="524">
        <f t="shared" si="154"/>
        <v>0</v>
      </c>
      <c r="DB38" s="524">
        <f t="shared" si="154"/>
        <v>0</v>
      </c>
      <c r="DC38" s="524">
        <f t="shared" si="154"/>
        <v>0</v>
      </c>
      <c r="DD38" s="524">
        <f t="shared" si="154"/>
        <v>0</v>
      </c>
      <c r="DE38" s="524">
        <f t="shared" si="154"/>
        <v>0</v>
      </c>
      <c r="DF38" s="524">
        <f t="shared" si="154"/>
        <v>0</v>
      </c>
      <c r="DG38" s="524">
        <f t="shared" si="154"/>
        <v>0</v>
      </c>
      <c r="DH38" s="524">
        <f t="shared" si="154"/>
        <v>0</v>
      </c>
      <c r="DI38" s="524">
        <f t="shared" si="154"/>
        <v>39475813000</v>
      </c>
      <c r="DJ38" s="524">
        <f t="shared" si="154"/>
        <v>34861602544</v>
      </c>
      <c r="DK38" s="524">
        <f t="shared" si="154"/>
        <v>34861602544</v>
      </c>
      <c r="DL38" s="524">
        <f>DL11+DL18+DL25+DL32</f>
        <v>39475813000</v>
      </c>
      <c r="DM38" s="524">
        <f>DM11+DM18+DM25+DM32</f>
        <v>34861602544</v>
      </c>
      <c r="DN38" s="525">
        <f>DN11+DN18+DN25+DN32</f>
        <v>16585000000</v>
      </c>
      <c r="DO38" s="522">
        <f t="shared" ref="DO38:EJ38" si="155">DO11+DO18+DO25+DO32</f>
        <v>0</v>
      </c>
      <c r="DP38" s="520">
        <f t="shared" si="155"/>
        <v>0</v>
      </c>
      <c r="DQ38" s="520">
        <f t="shared" si="155"/>
        <v>0</v>
      </c>
      <c r="DR38" s="520">
        <f t="shared" si="155"/>
        <v>0</v>
      </c>
      <c r="DS38" s="520">
        <f t="shared" si="155"/>
        <v>0</v>
      </c>
      <c r="DT38" s="520">
        <f t="shared" si="155"/>
        <v>0</v>
      </c>
      <c r="DU38" s="520">
        <f t="shared" si="155"/>
        <v>0</v>
      </c>
      <c r="DV38" s="520">
        <f t="shared" si="155"/>
        <v>0</v>
      </c>
      <c r="DW38" s="520">
        <f t="shared" si="155"/>
        <v>0</v>
      </c>
      <c r="DX38" s="520">
        <f t="shared" si="155"/>
        <v>0</v>
      </c>
      <c r="DY38" s="520">
        <f t="shared" si="155"/>
        <v>0</v>
      </c>
      <c r="DZ38" s="520">
        <f t="shared" si="155"/>
        <v>0</v>
      </c>
      <c r="EA38" s="520">
        <f t="shared" si="155"/>
        <v>0</v>
      </c>
      <c r="EB38" s="520">
        <f t="shared" si="155"/>
        <v>0</v>
      </c>
      <c r="EC38" s="520">
        <f t="shared" si="155"/>
        <v>0</v>
      </c>
      <c r="ED38" s="520">
        <f t="shared" si="155"/>
        <v>0</v>
      </c>
      <c r="EE38" s="520">
        <f t="shared" si="155"/>
        <v>0</v>
      </c>
      <c r="EF38" s="520">
        <f t="shared" si="155"/>
        <v>0</v>
      </c>
      <c r="EG38" s="520">
        <f t="shared" si="155"/>
        <v>0</v>
      </c>
      <c r="EH38" s="520">
        <f t="shared" si="155"/>
        <v>0</v>
      </c>
      <c r="EI38" s="520">
        <f t="shared" si="155"/>
        <v>0</v>
      </c>
      <c r="EJ38" s="520">
        <f t="shared" si="155"/>
        <v>0</v>
      </c>
      <c r="EK38" s="520"/>
      <c r="EL38" s="520">
        <f>EL11+EL18+EL25+EL32</f>
        <v>0</v>
      </c>
      <c r="EM38" s="520"/>
      <c r="EN38" s="520"/>
      <c r="EO38" s="520"/>
      <c r="EP38" s="520"/>
      <c r="EQ38" s="520">
        <f>EQ11+EQ18+EQ25+EQ32</f>
        <v>0</v>
      </c>
      <c r="ER38" s="776"/>
      <c r="ES38" s="777"/>
      <c r="ET38" s="777"/>
      <c r="EU38" s="777"/>
      <c r="EV38" s="777"/>
      <c r="EW38" s="777"/>
      <c r="EX38" s="777"/>
      <c r="EY38" s="777"/>
      <c r="EZ38" s="777"/>
      <c r="FA38" s="778"/>
    </row>
    <row r="39" spans="1:157" ht="29.25" customHeight="1" x14ac:dyDescent="0.25">
      <c r="A39" s="750"/>
      <c r="B39" s="751"/>
      <c r="C39" s="751"/>
      <c r="D39" s="751"/>
      <c r="E39" s="813"/>
      <c r="F39" s="43" t="s">
        <v>112</v>
      </c>
      <c r="G39" s="526">
        <f>G14+G21+G28+G35</f>
        <v>27007973806</v>
      </c>
      <c r="H39" s="527">
        <f t="shared" ref="H39:AB39" si="156">H14+H21+H28+H35</f>
        <v>0</v>
      </c>
      <c r="I39" s="527">
        <f t="shared" si="156"/>
        <v>0</v>
      </c>
      <c r="J39" s="527">
        <f t="shared" si="156"/>
        <v>0</v>
      </c>
      <c r="K39" s="527">
        <f t="shared" si="156"/>
        <v>0</v>
      </c>
      <c r="L39" s="527">
        <f t="shared" si="156"/>
        <v>0</v>
      </c>
      <c r="M39" s="527">
        <f t="shared" si="156"/>
        <v>0</v>
      </c>
      <c r="N39" s="527">
        <f t="shared" si="156"/>
        <v>0</v>
      </c>
      <c r="O39" s="527">
        <f t="shared" si="156"/>
        <v>0</v>
      </c>
      <c r="P39" s="527">
        <f t="shared" si="156"/>
        <v>0</v>
      </c>
      <c r="Q39" s="527">
        <f t="shared" si="156"/>
        <v>0</v>
      </c>
      <c r="R39" s="527">
        <f t="shared" si="156"/>
        <v>0</v>
      </c>
      <c r="S39" s="527">
        <f t="shared" si="156"/>
        <v>0</v>
      </c>
      <c r="T39" s="527">
        <f t="shared" si="156"/>
        <v>0</v>
      </c>
      <c r="U39" s="527">
        <f t="shared" si="156"/>
        <v>0</v>
      </c>
      <c r="V39" s="527">
        <f t="shared" si="156"/>
        <v>0</v>
      </c>
      <c r="W39" s="527">
        <f t="shared" si="156"/>
        <v>0</v>
      </c>
      <c r="X39" s="527">
        <f t="shared" si="156"/>
        <v>0</v>
      </c>
      <c r="Y39" s="527">
        <f t="shared" si="156"/>
        <v>0</v>
      </c>
      <c r="Z39" s="527">
        <f t="shared" si="156"/>
        <v>0</v>
      </c>
      <c r="AA39" s="527">
        <f t="shared" si="156"/>
        <v>0</v>
      </c>
      <c r="AB39" s="527">
        <f t="shared" si="156"/>
        <v>1602274659</v>
      </c>
      <c r="AC39" s="527">
        <f t="shared" ref="AC39:CN39" si="157">AC14+AC21+AC28+AC35</f>
        <v>109143900</v>
      </c>
      <c r="AD39" s="527">
        <f t="shared" si="157"/>
        <v>109143900</v>
      </c>
      <c r="AE39" s="527">
        <f t="shared" si="157"/>
        <v>153059773</v>
      </c>
      <c r="AF39" s="527">
        <f t="shared" si="157"/>
        <v>153059773</v>
      </c>
      <c r="AG39" s="527">
        <f t="shared" si="157"/>
        <v>133961735</v>
      </c>
      <c r="AH39" s="527">
        <f t="shared" si="157"/>
        <v>133961735</v>
      </c>
      <c r="AI39" s="527">
        <f t="shared" si="157"/>
        <v>463722465</v>
      </c>
      <c r="AJ39" s="527">
        <f t="shared" si="157"/>
        <v>463722465</v>
      </c>
      <c r="AK39" s="527">
        <f t="shared" si="157"/>
        <v>81307355</v>
      </c>
      <c r="AL39" s="527">
        <f t="shared" si="157"/>
        <v>81307355</v>
      </c>
      <c r="AM39" s="527">
        <f t="shared" si="157"/>
        <v>140724953</v>
      </c>
      <c r="AN39" s="527">
        <f t="shared" si="157"/>
        <v>19373987</v>
      </c>
      <c r="AO39" s="527">
        <f t="shared" si="157"/>
        <v>31268253</v>
      </c>
      <c r="AP39" s="527">
        <f t="shared" si="157"/>
        <v>79828188</v>
      </c>
      <c r="AQ39" s="527">
        <f t="shared" si="157"/>
        <v>474552225</v>
      </c>
      <c r="AR39" s="527">
        <f t="shared" si="157"/>
        <v>208850754</v>
      </c>
      <c r="AS39" s="527">
        <f t="shared" si="157"/>
        <v>0</v>
      </c>
      <c r="AT39" s="527">
        <f t="shared" si="157"/>
        <v>2372067</v>
      </c>
      <c r="AU39" s="527">
        <f t="shared" si="157"/>
        <v>-163345</v>
      </c>
      <c r="AV39" s="527">
        <f t="shared" si="157"/>
        <v>25730180</v>
      </c>
      <c r="AW39" s="527">
        <f t="shared" si="157"/>
        <v>0</v>
      </c>
      <c r="AX39" s="527">
        <f t="shared" si="157"/>
        <v>0</v>
      </c>
      <c r="AY39" s="527">
        <f t="shared" si="157"/>
        <v>0</v>
      </c>
      <c r="AZ39" s="527">
        <f t="shared" si="157"/>
        <v>202446406</v>
      </c>
      <c r="BA39" s="527">
        <f t="shared" si="157"/>
        <v>1587577314</v>
      </c>
      <c r="BB39" s="527">
        <f t="shared" si="157"/>
        <v>1587577314</v>
      </c>
      <c r="BC39" s="527">
        <f t="shared" si="157"/>
        <v>1479796810</v>
      </c>
      <c r="BD39" s="527">
        <f t="shared" si="157"/>
        <v>1587577314</v>
      </c>
      <c r="BE39" s="527">
        <f t="shared" si="157"/>
        <v>1479796810</v>
      </c>
      <c r="BF39" s="527">
        <f t="shared" si="157"/>
        <v>7477815895</v>
      </c>
      <c r="BG39" s="527">
        <f t="shared" si="157"/>
        <v>1466782159</v>
      </c>
      <c r="BH39" s="527">
        <f t="shared" si="157"/>
        <v>1466782159</v>
      </c>
      <c r="BI39" s="527">
        <f t="shared" si="157"/>
        <v>185133562</v>
      </c>
      <c r="BJ39" s="527">
        <f t="shared" si="157"/>
        <v>70298833</v>
      </c>
      <c r="BK39" s="527">
        <f t="shared" si="157"/>
        <v>2458385894</v>
      </c>
      <c r="BL39" s="527">
        <f t="shared" si="157"/>
        <v>168913266</v>
      </c>
      <c r="BM39" s="527">
        <f t="shared" si="157"/>
        <v>488645833</v>
      </c>
      <c r="BN39" s="527">
        <f t="shared" si="157"/>
        <v>144424391</v>
      </c>
      <c r="BO39" s="527">
        <f t="shared" si="157"/>
        <v>1976711411</v>
      </c>
      <c r="BP39" s="527">
        <f t="shared" si="157"/>
        <v>1865467938</v>
      </c>
      <c r="BQ39" s="527">
        <f t="shared" si="157"/>
        <v>67630169</v>
      </c>
      <c r="BR39" s="527">
        <f t="shared" si="157"/>
        <v>711086955</v>
      </c>
      <c r="BS39" s="527">
        <f t="shared" si="157"/>
        <v>254488987</v>
      </c>
      <c r="BT39" s="527">
        <f t="shared" si="157"/>
        <v>718359544</v>
      </c>
      <c r="BU39" s="527">
        <f t="shared" si="157"/>
        <v>0</v>
      </c>
      <c r="BV39" s="527">
        <f t="shared" si="157"/>
        <v>340987443</v>
      </c>
      <c r="BW39" s="527">
        <f t="shared" si="157"/>
        <v>0</v>
      </c>
      <c r="BX39" s="527">
        <f t="shared" si="157"/>
        <v>279599995</v>
      </c>
      <c r="BY39" s="527">
        <f t="shared" si="157"/>
        <v>0</v>
      </c>
      <c r="BZ39" s="527">
        <f t="shared" si="157"/>
        <v>175609762</v>
      </c>
      <c r="CA39" s="527">
        <f t="shared" si="157"/>
        <v>0</v>
      </c>
      <c r="CB39" s="527">
        <f t="shared" si="157"/>
        <v>47608880</v>
      </c>
      <c r="CC39" s="527">
        <f t="shared" si="157"/>
        <v>94640352</v>
      </c>
      <c r="CD39" s="527">
        <f t="shared" si="157"/>
        <v>942734667</v>
      </c>
      <c r="CE39" s="527">
        <f t="shared" si="157"/>
        <v>6992418367</v>
      </c>
      <c r="CF39" s="527">
        <f t="shared" si="157"/>
        <v>6992418367</v>
      </c>
      <c r="CG39" s="527">
        <f t="shared" si="157"/>
        <v>6931873833</v>
      </c>
      <c r="CH39" s="527">
        <f t="shared" si="157"/>
        <v>6992418367</v>
      </c>
      <c r="CI39" s="527">
        <f t="shared" si="157"/>
        <v>6931873833</v>
      </c>
      <c r="CJ39" s="527">
        <f t="shared" si="157"/>
        <v>18596303163</v>
      </c>
      <c r="CK39" s="527">
        <f t="shared" si="157"/>
        <v>7381246363</v>
      </c>
      <c r="CL39" s="527">
        <f t="shared" si="157"/>
        <v>7381246363</v>
      </c>
      <c r="CM39" s="527">
        <f t="shared" si="157"/>
        <v>2073846108</v>
      </c>
      <c r="CN39" s="527">
        <f t="shared" si="157"/>
        <v>2073846108</v>
      </c>
      <c r="CO39" s="527">
        <f t="shared" ref="CO39:DK39" si="158">CO14+CO21+CO28+CO35</f>
        <v>130391300</v>
      </c>
      <c r="CP39" s="527">
        <f t="shared" si="158"/>
        <v>130391300</v>
      </c>
      <c r="CQ39" s="527">
        <f t="shared" si="158"/>
        <v>1947418691</v>
      </c>
      <c r="CR39" s="527">
        <f t="shared" si="158"/>
        <v>0</v>
      </c>
      <c r="CS39" s="527">
        <f t="shared" si="158"/>
        <v>1883901419</v>
      </c>
      <c r="CT39" s="527">
        <f t="shared" si="158"/>
        <v>0</v>
      </c>
      <c r="CU39" s="527">
        <f t="shared" si="158"/>
        <v>3280153675</v>
      </c>
      <c r="CV39" s="527">
        <f t="shared" si="158"/>
        <v>0</v>
      </c>
      <c r="CW39" s="527">
        <f t="shared" si="158"/>
        <v>1899345607</v>
      </c>
      <c r="CX39" s="527">
        <f t="shared" si="158"/>
        <v>0</v>
      </c>
      <c r="CY39" s="527">
        <f t="shared" si="158"/>
        <v>0</v>
      </c>
      <c r="CZ39" s="527">
        <f t="shared" si="158"/>
        <v>0</v>
      </c>
      <c r="DA39" s="527">
        <f t="shared" si="158"/>
        <v>0</v>
      </c>
      <c r="DB39" s="527">
        <f t="shared" si="158"/>
        <v>0</v>
      </c>
      <c r="DC39" s="527">
        <f t="shared" si="158"/>
        <v>0</v>
      </c>
      <c r="DD39" s="527">
        <f t="shared" si="158"/>
        <v>0</v>
      </c>
      <c r="DE39" s="527">
        <f t="shared" si="158"/>
        <v>0</v>
      </c>
      <c r="DF39" s="527">
        <f t="shared" si="158"/>
        <v>0</v>
      </c>
      <c r="DG39" s="527">
        <f t="shared" si="158"/>
        <v>0</v>
      </c>
      <c r="DH39" s="527">
        <f t="shared" si="158"/>
        <v>0</v>
      </c>
      <c r="DI39" s="527">
        <f t="shared" si="158"/>
        <v>18596303163</v>
      </c>
      <c r="DJ39" s="527">
        <f t="shared" si="158"/>
        <v>9585483771</v>
      </c>
      <c r="DK39" s="527">
        <f t="shared" si="158"/>
        <v>9585483771</v>
      </c>
      <c r="DL39" s="527">
        <f>DL14+DL21+DL28+DL35</f>
        <v>18596303163</v>
      </c>
      <c r="DM39" s="527">
        <f>DM14+DM21+DM28+DM35</f>
        <v>9585483771</v>
      </c>
      <c r="DN39" s="528">
        <f>DN14+DN21+DN28+DN35</f>
        <v>0</v>
      </c>
      <c r="DO39" s="451">
        <f t="shared" ref="DO39:EQ39" si="159">DO14+DO21+DO28+DO35</f>
        <v>0</v>
      </c>
      <c r="DP39" s="476">
        <f t="shared" si="159"/>
        <v>0</v>
      </c>
      <c r="DQ39" s="476">
        <f t="shared" si="159"/>
        <v>0</v>
      </c>
      <c r="DR39" s="476">
        <f t="shared" si="159"/>
        <v>0</v>
      </c>
      <c r="DS39" s="476">
        <f t="shared" si="159"/>
        <v>0</v>
      </c>
      <c r="DT39" s="476">
        <f t="shared" si="159"/>
        <v>0</v>
      </c>
      <c r="DU39" s="476">
        <f t="shared" si="159"/>
        <v>0</v>
      </c>
      <c r="DV39" s="476">
        <f t="shared" si="159"/>
        <v>0</v>
      </c>
      <c r="DW39" s="476">
        <f t="shared" si="159"/>
        <v>0</v>
      </c>
      <c r="DX39" s="476">
        <f t="shared" si="159"/>
        <v>0</v>
      </c>
      <c r="DY39" s="476">
        <f t="shared" si="159"/>
        <v>0</v>
      </c>
      <c r="DZ39" s="476">
        <f t="shared" si="159"/>
        <v>0</v>
      </c>
      <c r="EA39" s="476">
        <f t="shared" si="159"/>
        <v>0</v>
      </c>
      <c r="EB39" s="476">
        <f t="shared" si="159"/>
        <v>0</v>
      </c>
      <c r="EC39" s="476">
        <f t="shared" si="159"/>
        <v>0</v>
      </c>
      <c r="ED39" s="476">
        <f t="shared" si="159"/>
        <v>0</v>
      </c>
      <c r="EE39" s="476">
        <f t="shared" si="159"/>
        <v>0</v>
      </c>
      <c r="EF39" s="476">
        <f t="shared" si="159"/>
        <v>0</v>
      </c>
      <c r="EG39" s="476">
        <f t="shared" si="159"/>
        <v>0</v>
      </c>
      <c r="EH39" s="476">
        <f t="shared" si="159"/>
        <v>0</v>
      </c>
      <c r="EI39" s="476">
        <f t="shared" si="159"/>
        <v>0</v>
      </c>
      <c r="EJ39" s="476">
        <f t="shared" si="159"/>
        <v>0</v>
      </c>
      <c r="EK39" s="476">
        <f t="shared" si="159"/>
        <v>0</v>
      </c>
      <c r="EL39" s="476">
        <f t="shared" si="159"/>
        <v>0</v>
      </c>
      <c r="EM39" s="476">
        <f t="shared" si="159"/>
        <v>0</v>
      </c>
      <c r="EN39" s="476">
        <f t="shared" si="159"/>
        <v>0</v>
      </c>
      <c r="EO39" s="476">
        <f t="shared" si="159"/>
        <v>0</v>
      </c>
      <c r="EP39" s="476">
        <f t="shared" si="159"/>
        <v>0</v>
      </c>
      <c r="EQ39" s="476">
        <f t="shared" si="159"/>
        <v>0</v>
      </c>
      <c r="ER39" s="776"/>
      <c r="ES39" s="777"/>
      <c r="ET39" s="777"/>
      <c r="EU39" s="777"/>
      <c r="EV39" s="777"/>
      <c r="EW39" s="777"/>
      <c r="EX39" s="777"/>
      <c r="EY39" s="777"/>
      <c r="EZ39" s="777"/>
      <c r="FA39" s="778"/>
    </row>
    <row r="40" spans="1:157" ht="29.25" customHeight="1" thickBot="1" x14ac:dyDescent="0.3">
      <c r="A40" s="752"/>
      <c r="B40" s="753"/>
      <c r="C40" s="753"/>
      <c r="D40" s="753"/>
      <c r="E40" s="763"/>
      <c r="F40" s="460" t="s">
        <v>113</v>
      </c>
      <c r="G40" s="529">
        <f>G38+G39</f>
        <v>127317091373</v>
      </c>
      <c r="H40" s="530">
        <f t="shared" ref="H40:AB40" si="160">H38+H39</f>
        <v>3919274028</v>
      </c>
      <c r="I40" s="530">
        <f t="shared" si="160"/>
        <v>3919274028</v>
      </c>
      <c r="J40" s="530">
        <f t="shared" si="160"/>
        <v>15250000</v>
      </c>
      <c r="K40" s="530">
        <f t="shared" si="160"/>
        <v>3919274028</v>
      </c>
      <c r="L40" s="530">
        <f t="shared" si="160"/>
        <v>15250000</v>
      </c>
      <c r="M40" s="530">
        <f t="shared" si="160"/>
        <v>3919274028</v>
      </c>
      <c r="N40" s="530">
        <f t="shared" si="160"/>
        <v>741070000</v>
      </c>
      <c r="O40" s="530">
        <f t="shared" si="160"/>
        <v>3919274028</v>
      </c>
      <c r="P40" s="530">
        <f t="shared" si="160"/>
        <v>858602440</v>
      </c>
      <c r="Q40" s="530">
        <f t="shared" si="160"/>
        <v>3919274028</v>
      </c>
      <c r="R40" s="530">
        <f t="shared" si="160"/>
        <v>865381195</v>
      </c>
      <c r="S40" s="530">
        <f t="shared" si="160"/>
        <v>3919274028</v>
      </c>
      <c r="T40" s="530" t="e">
        <f t="shared" si="160"/>
        <v>#REF!</v>
      </c>
      <c r="U40" s="530">
        <f t="shared" si="160"/>
        <v>3537127981</v>
      </c>
      <c r="V40" s="530">
        <f t="shared" si="160"/>
        <v>2277977002</v>
      </c>
      <c r="W40" s="530">
        <f t="shared" si="160"/>
        <v>0</v>
      </c>
      <c r="X40" s="530">
        <f t="shared" si="160"/>
        <v>0</v>
      </c>
      <c r="Y40" s="530">
        <f t="shared" si="160"/>
        <v>0</v>
      </c>
      <c r="Z40" s="530">
        <f t="shared" si="160"/>
        <v>3537127981</v>
      </c>
      <c r="AA40" s="530">
        <f t="shared" si="160"/>
        <v>2277977002</v>
      </c>
      <c r="AB40" s="530">
        <f t="shared" si="160"/>
        <v>26959378659</v>
      </c>
      <c r="AC40" s="530">
        <f t="shared" ref="AC40" si="161">AC38+AC39</f>
        <v>109143900</v>
      </c>
      <c r="AD40" s="530">
        <f t="shared" ref="AD40" si="162">AD38+AD39</f>
        <v>109143900</v>
      </c>
      <c r="AE40" s="530">
        <f t="shared" ref="AE40" si="163">AE38+AE39</f>
        <v>416079773</v>
      </c>
      <c r="AF40" s="530">
        <f t="shared" ref="AF40" si="164">AF38+AF39</f>
        <v>416079773</v>
      </c>
      <c r="AG40" s="530">
        <f t="shared" ref="AG40" si="165">AG38+AG39</f>
        <v>1115579735</v>
      </c>
      <c r="AH40" s="530">
        <f t="shared" ref="AH40" si="166">AH38+AH39</f>
        <v>1115579735</v>
      </c>
      <c r="AI40" s="530">
        <f t="shared" ref="AI40" si="167">AI38+AI39</f>
        <v>1022593461</v>
      </c>
      <c r="AJ40" s="530">
        <f t="shared" ref="AJ40" si="168">AJ38+AJ39</f>
        <v>1022593461</v>
      </c>
      <c r="AK40" s="530">
        <f t="shared" ref="AK40" si="169">AK38+AK39</f>
        <v>82754233</v>
      </c>
      <c r="AL40" s="530">
        <f t="shared" ref="AL40" si="170">AL38+AL39</f>
        <v>82754233</v>
      </c>
      <c r="AM40" s="530">
        <f t="shared" ref="AM40" si="171">AM38+AM39</f>
        <v>334689635</v>
      </c>
      <c r="AN40" s="530">
        <f t="shared" ref="AN40" si="172">AN38+AN39</f>
        <v>451807584</v>
      </c>
      <c r="AO40" s="530">
        <f t="shared" ref="AO40" si="173">AO38+AO39</f>
        <v>1070091253</v>
      </c>
      <c r="AP40" s="530">
        <f t="shared" ref="AP40" si="174">AP38+AP39</f>
        <v>79828188</v>
      </c>
      <c r="AQ40" s="530">
        <f t="shared" ref="AQ40" si="175">AQ38+AQ39</f>
        <v>698492225</v>
      </c>
      <c r="AR40" s="530">
        <f t="shared" ref="AR40" si="176">AR38+AR39</f>
        <v>208850754</v>
      </c>
      <c r="AS40" s="530">
        <f t="shared" ref="AS40" si="177">AS38+AS39</f>
        <v>713082613</v>
      </c>
      <c r="AT40" s="530">
        <f t="shared" ref="AT40" si="178">AT38+AT39</f>
        <v>27461567</v>
      </c>
      <c r="AU40" s="530">
        <f t="shared" ref="AU40" si="179">AU38+AU39</f>
        <v>13825696597</v>
      </c>
      <c r="AV40" s="530">
        <f t="shared" ref="AV40:AW40" si="180">AV38+AV39</f>
        <v>3679956042</v>
      </c>
      <c r="AW40" s="530">
        <f t="shared" si="180"/>
        <v>502548000</v>
      </c>
      <c r="AX40" s="530">
        <f t="shared" ref="AX40" si="181">AX38+AX39</f>
        <v>3599999814</v>
      </c>
      <c r="AY40" s="530">
        <f t="shared" ref="AY40" si="182">AY38+AY39</f>
        <v>3192759847</v>
      </c>
      <c r="AZ40" s="530">
        <f t="shared" ref="AZ40" si="183">AZ38+AZ39</f>
        <v>5578889908</v>
      </c>
      <c r="BA40" s="530">
        <f t="shared" ref="BA40" si="184">BA38+BA39</f>
        <v>23083511272</v>
      </c>
      <c r="BB40" s="530">
        <f t="shared" ref="BB40" si="185">BB38+BB39</f>
        <v>23083511272</v>
      </c>
      <c r="BC40" s="530">
        <f t="shared" ref="BC40" si="186">BC38+BC39</f>
        <v>16372944959</v>
      </c>
      <c r="BD40" s="530">
        <f t="shared" ref="BD40" si="187">BD38+BD39</f>
        <v>23083511272</v>
      </c>
      <c r="BE40" s="530">
        <f t="shared" ref="BE40" si="188">BE38+BE39</f>
        <v>16372944959</v>
      </c>
      <c r="BF40" s="530">
        <f t="shared" ref="BF40" si="189">BF38+BF39</f>
        <v>34149240895</v>
      </c>
      <c r="BG40" s="530">
        <f t="shared" ref="BG40" si="190">BG38+BG39</f>
        <v>4830006159</v>
      </c>
      <c r="BH40" s="530">
        <f t="shared" ref="BH40" si="191">BH38+BH39</f>
        <v>4830006159</v>
      </c>
      <c r="BI40" s="530">
        <f t="shared" ref="BI40" si="192">BI38+BI39</f>
        <v>185133562</v>
      </c>
      <c r="BJ40" s="530">
        <f t="shared" ref="BJ40" si="193">BJ38+BJ39</f>
        <v>70298833</v>
      </c>
      <c r="BK40" s="530">
        <f t="shared" ref="BK40" si="194">BK38+BK39</f>
        <v>2879434265</v>
      </c>
      <c r="BL40" s="530">
        <f t="shared" ref="BL40" si="195">BL38+BL39</f>
        <v>168913266</v>
      </c>
      <c r="BM40" s="530">
        <f t="shared" ref="BM40" si="196">BM38+BM39</f>
        <v>863257435</v>
      </c>
      <c r="BN40" s="530">
        <f t="shared" ref="BN40" si="197">BN38+BN39</f>
        <v>714684980</v>
      </c>
      <c r="BO40" s="530">
        <f t="shared" ref="BO40" si="198">BO38+BO39</f>
        <v>1993850411</v>
      </c>
      <c r="BP40" s="530">
        <f t="shared" ref="BP40" si="199">BP38+BP39</f>
        <v>1928522638</v>
      </c>
      <c r="BQ40" s="530">
        <f t="shared" ref="BQ40:BR40" si="200">BQ38+BQ39</f>
        <v>80967090</v>
      </c>
      <c r="BR40" s="530">
        <f t="shared" si="200"/>
        <v>761086955</v>
      </c>
      <c r="BS40" s="530">
        <f t="shared" ref="BS40" si="201">BS38+BS39</f>
        <v>731296987</v>
      </c>
      <c r="BT40" s="530">
        <f t="shared" ref="BT40" si="202">BT38+BT39</f>
        <v>778738177</v>
      </c>
      <c r="BU40" s="530">
        <f t="shared" ref="BU40" si="203">BU38+BU39</f>
        <v>0</v>
      </c>
      <c r="BV40" s="530">
        <f t="shared" ref="BV40" si="204">BV38+BV39</f>
        <v>361101457</v>
      </c>
      <c r="BW40" s="530">
        <f t="shared" ref="BW40" si="205">BW38+BW39</f>
        <v>8103849000</v>
      </c>
      <c r="BX40" s="530">
        <f t="shared" ref="BX40" si="206">BX38+BX39</f>
        <v>295629932</v>
      </c>
      <c r="BY40" s="530">
        <f t="shared" ref="BY40" si="207">BY38+BY39</f>
        <v>13780127100</v>
      </c>
      <c r="BZ40" s="530">
        <f t="shared" ref="BZ40" si="208">BZ38+BZ39</f>
        <v>234538762</v>
      </c>
      <c r="CA40" s="530">
        <f t="shared" ref="CA40" si="209">CA38+CA39</f>
        <v>375164054</v>
      </c>
      <c r="CB40" s="530">
        <f t="shared" ref="CB40" si="210">CB38+CB39</f>
        <v>5964461313</v>
      </c>
      <c r="CC40" s="530">
        <f t="shared" ref="CC40" si="211">CC38+CC39</f>
        <v>798645191</v>
      </c>
      <c r="CD40" s="530">
        <f t="shared" ref="CD40" si="212">CD38+CD39</f>
        <v>17901070777</v>
      </c>
      <c r="CE40" s="530">
        <f t="shared" ref="CE40" si="213">CE38+CE39</f>
        <v>34621731254</v>
      </c>
      <c r="CF40" s="530">
        <f t="shared" ref="CF40" si="214">CF38+CF39</f>
        <v>34621731254</v>
      </c>
      <c r="CG40" s="530">
        <f t="shared" ref="CG40" si="215">CG38+CG39</f>
        <v>34009053249</v>
      </c>
      <c r="CH40" s="530">
        <f t="shared" ref="CH40" si="216">CH38+CH39</f>
        <v>34621731254</v>
      </c>
      <c r="CI40" s="530">
        <f t="shared" ref="CI40" si="217">CI38+CI39</f>
        <v>34009053249</v>
      </c>
      <c r="CJ40" s="530">
        <f t="shared" ref="CJ40" si="218">CJ38+CJ39</f>
        <v>58072116163</v>
      </c>
      <c r="CK40" s="530">
        <f t="shared" ref="CK40" si="219">CK38+CK39</f>
        <v>39470983907</v>
      </c>
      <c r="CL40" s="530">
        <f t="shared" ref="CL40:CM40" si="220">CL38+CL39</f>
        <v>39470983907</v>
      </c>
      <c r="CM40" s="530">
        <f t="shared" si="220"/>
        <v>4243196108</v>
      </c>
      <c r="CN40" s="530">
        <f t="shared" ref="CN40" si="221">CN38+CN39</f>
        <v>4243196108</v>
      </c>
      <c r="CO40" s="530">
        <f t="shared" ref="CO40" si="222">CO38+CO39</f>
        <v>732906300</v>
      </c>
      <c r="CP40" s="530">
        <f t="shared" ref="CP40" si="223">CP38+CP39</f>
        <v>732906300</v>
      </c>
      <c r="CQ40" s="530">
        <f t="shared" ref="CQ40" si="224">CQ38+CQ39</f>
        <v>2254303691</v>
      </c>
      <c r="CR40" s="530">
        <f t="shared" ref="CR40" si="225">CR38+CR39</f>
        <v>0</v>
      </c>
      <c r="CS40" s="530">
        <f t="shared" ref="CS40" si="226">CS38+CS39</f>
        <v>2074562403</v>
      </c>
      <c r="CT40" s="530">
        <f t="shared" ref="CT40" si="227">CT38+CT39</f>
        <v>0</v>
      </c>
      <c r="CU40" s="530">
        <f t="shared" ref="CU40" si="228">CU38+CU39</f>
        <v>7045237147</v>
      </c>
      <c r="CV40" s="530">
        <f t="shared" ref="CV40" si="229">CV38+CV39</f>
        <v>0</v>
      </c>
      <c r="CW40" s="530">
        <f t="shared" ref="CW40" si="230">CW38+CW39</f>
        <v>2250926607</v>
      </c>
      <c r="CX40" s="530">
        <f t="shared" ref="CX40" si="231">CX38+CX39</f>
        <v>0</v>
      </c>
      <c r="CY40" s="530">
        <f t="shared" ref="CY40" si="232">CY38+CY39</f>
        <v>0</v>
      </c>
      <c r="CZ40" s="530">
        <f t="shared" ref="CZ40" si="233">CZ38+CZ39</f>
        <v>0</v>
      </c>
      <c r="DA40" s="530">
        <f t="shared" ref="DA40" si="234">DA38+DA39</f>
        <v>0</v>
      </c>
      <c r="DB40" s="530">
        <f t="shared" ref="DB40" si="235">DB38+DB39</f>
        <v>0</v>
      </c>
      <c r="DC40" s="530">
        <f t="shared" ref="DC40" si="236">DC38+DC39</f>
        <v>0</v>
      </c>
      <c r="DD40" s="530">
        <f t="shared" ref="DD40" si="237">DD38+DD39</f>
        <v>0</v>
      </c>
      <c r="DE40" s="530">
        <f t="shared" ref="DE40" si="238">DE38+DE39</f>
        <v>0</v>
      </c>
      <c r="DF40" s="530">
        <f t="shared" ref="DF40" si="239">DF38+DF39</f>
        <v>0</v>
      </c>
      <c r="DG40" s="530">
        <f t="shared" ref="DG40:DH40" si="240">DG38+DG39</f>
        <v>0</v>
      </c>
      <c r="DH40" s="530">
        <f t="shared" si="240"/>
        <v>0</v>
      </c>
      <c r="DI40" s="530">
        <f t="shared" ref="DI40" si="241">DI38+DI39</f>
        <v>58072116163</v>
      </c>
      <c r="DJ40" s="530">
        <f t="shared" ref="DJ40" si="242">DJ38+DJ39</f>
        <v>44447086315</v>
      </c>
      <c r="DK40" s="530">
        <f t="shared" ref="DK40" si="243">DK38+DK39</f>
        <v>44447086315</v>
      </c>
      <c r="DL40" s="530">
        <f>DL38+DL39</f>
        <v>58072116163</v>
      </c>
      <c r="DM40" s="530">
        <f>DM38+DM39</f>
        <v>44447086315</v>
      </c>
      <c r="DN40" s="531">
        <f>DN38+DN39</f>
        <v>16585000000</v>
      </c>
      <c r="DO40" s="450">
        <f t="shared" ref="DO40:EQ40" si="244">DO38+DO39</f>
        <v>0</v>
      </c>
      <c r="DP40" s="475">
        <f t="shared" si="244"/>
        <v>0</v>
      </c>
      <c r="DQ40" s="475">
        <f t="shared" si="244"/>
        <v>0</v>
      </c>
      <c r="DR40" s="475">
        <f t="shared" si="244"/>
        <v>0</v>
      </c>
      <c r="DS40" s="475">
        <f t="shared" si="244"/>
        <v>0</v>
      </c>
      <c r="DT40" s="475">
        <f t="shared" si="244"/>
        <v>0</v>
      </c>
      <c r="DU40" s="475">
        <f t="shared" si="244"/>
        <v>0</v>
      </c>
      <c r="DV40" s="475">
        <f t="shared" si="244"/>
        <v>0</v>
      </c>
      <c r="DW40" s="475">
        <f t="shared" si="244"/>
        <v>0</v>
      </c>
      <c r="DX40" s="475">
        <f t="shared" si="244"/>
        <v>0</v>
      </c>
      <c r="DY40" s="475">
        <f t="shared" si="244"/>
        <v>0</v>
      </c>
      <c r="DZ40" s="475">
        <f t="shared" si="244"/>
        <v>0</v>
      </c>
      <c r="EA40" s="475">
        <f t="shared" si="244"/>
        <v>0</v>
      </c>
      <c r="EB40" s="475">
        <f t="shared" si="244"/>
        <v>0</v>
      </c>
      <c r="EC40" s="475">
        <f t="shared" si="244"/>
        <v>0</v>
      </c>
      <c r="ED40" s="475">
        <f t="shared" si="244"/>
        <v>0</v>
      </c>
      <c r="EE40" s="475">
        <f t="shared" si="244"/>
        <v>0</v>
      </c>
      <c r="EF40" s="475">
        <f t="shared" si="244"/>
        <v>0</v>
      </c>
      <c r="EG40" s="475">
        <f t="shared" si="244"/>
        <v>0</v>
      </c>
      <c r="EH40" s="475">
        <f t="shared" si="244"/>
        <v>0</v>
      </c>
      <c r="EI40" s="475">
        <f t="shared" si="244"/>
        <v>0</v>
      </c>
      <c r="EJ40" s="475">
        <f t="shared" si="244"/>
        <v>0</v>
      </c>
      <c r="EK40" s="475">
        <f t="shared" si="244"/>
        <v>0</v>
      </c>
      <c r="EL40" s="475">
        <f t="shared" si="244"/>
        <v>0</v>
      </c>
      <c r="EM40" s="475">
        <f t="shared" si="244"/>
        <v>0</v>
      </c>
      <c r="EN40" s="475">
        <f t="shared" si="244"/>
        <v>0</v>
      </c>
      <c r="EO40" s="475">
        <f t="shared" si="244"/>
        <v>0</v>
      </c>
      <c r="EP40" s="475">
        <f t="shared" si="244"/>
        <v>0</v>
      </c>
      <c r="EQ40" s="475">
        <f t="shared" si="244"/>
        <v>0</v>
      </c>
      <c r="ER40" s="779"/>
      <c r="ES40" s="780"/>
      <c r="ET40" s="780"/>
      <c r="EU40" s="780"/>
      <c r="EV40" s="780"/>
      <c r="EW40" s="780"/>
      <c r="EX40" s="780"/>
      <c r="EY40" s="780"/>
      <c r="EZ40" s="780"/>
      <c r="FA40" s="781"/>
    </row>
    <row r="41" spans="1:157" ht="15.75" customHeight="1" x14ac:dyDescent="0.25">
      <c r="D41" s="44"/>
      <c r="E41" s="44"/>
      <c r="F41" s="45"/>
      <c r="G41" s="46"/>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6"/>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6"/>
      <c r="DP41" s="46"/>
      <c r="DQ41" s="46"/>
      <c r="DR41" s="46"/>
      <c r="DS41" s="46"/>
      <c r="DT41" s="46"/>
      <c r="DU41" s="46"/>
      <c r="DV41" s="46"/>
      <c r="DW41" s="46"/>
      <c r="DX41" s="46"/>
      <c r="DY41" s="46"/>
      <c r="DZ41" s="46"/>
      <c r="EA41" s="46"/>
      <c r="EB41" s="46"/>
      <c r="EC41" s="46"/>
      <c r="ED41" s="46"/>
      <c r="EE41" s="46"/>
      <c r="EF41" s="46"/>
      <c r="EG41" s="46"/>
      <c r="EH41" s="46"/>
      <c r="EI41" s="46"/>
      <c r="EJ41" s="46"/>
      <c r="EK41" s="46"/>
      <c r="EL41" s="46"/>
      <c r="EM41" s="46"/>
      <c r="EN41" s="46"/>
      <c r="EO41" s="46"/>
      <c r="EP41" s="46"/>
      <c r="EQ41" s="46"/>
      <c r="ER41" s="3"/>
      <c r="ES41" s="3"/>
      <c r="ET41" s="3"/>
    </row>
    <row r="42" spans="1:157" ht="15.75" customHeight="1" x14ac:dyDescent="0.25">
      <c r="D42" s="48"/>
      <c r="E42" s="841" t="s">
        <v>80</v>
      </c>
      <c r="F42" s="842"/>
      <c r="G42" s="842"/>
      <c r="H42" s="842"/>
      <c r="I42" s="842"/>
      <c r="J42" s="842"/>
      <c r="K42" s="842"/>
      <c r="L42" s="842"/>
      <c r="M42" s="842"/>
      <c r="N42" s="842"/>
      <c r="O42" s="842"/>
      <c r="P42" s="842"/>
      <c r="Q42" s="842"/>
      <c r="R42" s="842"/>
      <c r="S42" s="842"/>
      <c r="T42" s="842"/>
      <c r="U42" s="843"/>
      <c r="V42" s="46"/>
      <c r="W42" s="46"/>
      <c r="X42" s="46"/>
      <c r="Y42" s="46"/>
      <c r="Z42" s="46"/>
      <c r="AA42" s="46"/>
      <c r="AB42" s="46"/>
      <c r="AC42" s="46"/>
      <c r="AD42" s="46"/>
      <c r="AE42" s="46"/>
      <c r="AF42" s="46"/>
      <c r="AG42" s="46"/>
      <c r="AH42" s="46"/>
      <c r="AI42" s="46"/>
      <c r="AJ42" s="46"/>
      <c r="AK42" s="46"/>
      <c r="AL42" s="46"/>
      <c r="AM42" s="46"/>
      <c r="AN42" s="46"/>
      <c r="AO42" s="46"/>
      <c r="AP42" s="46"/>
      <c r="AQ42" s="49"/>
      <c r="AR42" s="46"/>
      <c r="AS42" s="46"/>
      <c r="AT42" s="46"/>
      <c r="AU42" s="46"/>
      <c r="AV42" s="46"/>
      <c r="AW42" s="46"/>
      <c r="AX42" s="46"/>
      <c r="AY42" s="46"/>
      <c r="AZ42" s="46"/>
      <c r="BA42" s="46"/>
      <c r="BB42" s="50"/>
      <c r="BC42" s="51"/>
      <c r="BD42" s="46"/>
      <c r="BE42" s="372"/>
      <c r="BF42" s="52"/>
      <c r="BG42" s="53"/>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54"/>
      <c r="CF42" s="55"/>
      <c r="CG42" s="55"/>
      <c r="CH42" s="56"/>
      <c r="CI42" s="55"/>
      <c r="CJ42" s="57"/>
      <c r="CK42" s="46"/>
      <c r="CL42" s="46"/>
      <c r="CM42" s="46"/>
      <c r="CN42" s="46"/>
      <c r="CO42" s="46"/>
      <c r="CP42" s="46"/>
      <c r="CQ42" s="58"/>
      <c r="CR42" s="46"/>
      <c r="CS42" s="46"/>
      <c r="CT42" s="46"/>
      <c r="CU42" s="46"/>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6"/>
      <c r="EI42" s="46"/>
      <c r="EJ42" s="46"/>
      <c r="EK42" s="46"/>
      <c r="EL42" s="46"/>
      <c r="EM42" s="46"/>
      <c r="EN42" s="46"/>
      <c r="EO42" s="46"/>
      <c r="EP42" s="46"/>
      <c r="EQ42" s="46"/>
      <c r="ER42" s="3"/>
      <c r="ES42" s="3"/>
      <c r="ET42" s="3"/>
    </row>
    <row r="43" spans="1:157" ht="15.75" customHeight="1" x14ac:dyDescent="0.25">
      <c r="D43" s="32" t="s">
        <v>81</v>
      </c>
      <c r="E43" s="770" t="s">
        <v>82</v>
      </c>
      <c r="F43" s="771"/>
      <c r="G43" s="771"/>
      <c r="H43" s="771"/>
      <c r="I43" s="771"/>
      <c r="J43" s="771"/>
      <c r="K43" s="772"/>
      <c r="L43" s="773" t="s">
        <v>83</v>
      </c>
      <c r="M43" s="771"/>
      <c r="N43" s="771"/>
      <c r="O43" s="771"/>
      <c r="P43" s="771"/>
      <c r="Q43" s="771"/>
      <c r="R43" s="772"/>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46"/>
      <c r="CE43" s="61"/>
      <c r="CF43" s="46"/>
      <c r="CG43" s="46"/>
      <c r="CH43" s="46"/>
      <c r="CI43" s="61"/>
      <c r="CJ43" s="50"/>
      <c r="CK43" s="50"/>
      <c r="CL43" s="50"/>
      <c r="CM43" s="60"/>
      <c r="CN43" s="46"/>
      <c r="CO43" s="378"/>
      <c r="CP43" s="50"/>
      <c r="CQ43" s="61"/>
      <c r="CR43" s="46"/>
      <c r="CS43" s="46"/>
      <c r="CT43" s="46"/>
      <c r="CU43" s="46"/>
      <c r="CV43" s="46"/>
      <c r="CW43" s="46"/>
      <c r="CX43" s="46"/>
      <c r="CY43" s="46"/>
      <c r="CZ43" s="46"/>
      <c r="DA43" s="46"/>
      <c r="DB43" s="46"/>
      <c r="DC43" s="46"/>
      <c r="DD43" s="46"/>
      <c r="DE43" s="375">
        <v>500756050.73346668</v>
      </c>
      <c r="DF43" s="374">
        <v>315501000</v>
      </c>
      <c r="DG43" s="375"/>
      <c r="DH43" s="46"/>
      <c r="DI43" s="376"/>
      <c r="DJ43" s="46"/>
      <c r="DK43" s="46"/>
      <c r="DL43" s="46"/>
      <c r="DM43" s="46"/>
      <c r="DN43" s="46"/>
      <c r="DO43" s="46"/>
      <c r="DP43" s="46"/>
      <c r="DQ43" s="46"/>
      <c r="DR43" s="46"/>
      <c r="DS43" s="46"/>
      <c r="DT43" s="46"/>
      <c r="DU43" s="46"/>
      <c r="DV43" s="46"/>
      <c r="DW43" s="46"/>
      <c r="DX43" s="46"/>
      <c r="DY43" s="46"/>
      <c r="DZ43" s="46"/>
      <c r="EA43" s="46"/>
      <c r="EB43" s="46"/>
      <c r="EC43" s="46"/>
      <c r="ED43" s="46"/>
      <c r="EE43" s="46"/>
      <c r="EF43" s="46"/>
      <c r="EG43" s="46"/>
      <c r="EH43" s="46"/>
      <c r="EI43" s="46"/>
      <c r="EJ43" s="46"/>
      <c r="EK43" s="46"/>
      <c r="EL43" s="46"/>
      <c r="EM43" s="46"/>
      <c r="EN43" s="46"/>
      <c r="EO43" s="46"/>
      <c r="EP43" s="46"/>
      <c r="EQ43" s="46"/>
      <c r="ER43" s="3"/>
      <c r="ES43" s="3"/>
      <c r="ET43" s="3"/>
    </row>
    <row r="44" spans="1:157" ht="15.75" customHeight="1" x14ac:dyDescent="0.25">
      <c r="D44" s="34">
        <v>13</v>
      </c>
      <c r="E44" s="774" t="s">
        <v>161</v>
      </c>
      <c r="F44" s="771"/>
      <c r="G44" s="771"/>
      <c r="H44" s="771"/>
      <c r="I44" s="771"/>
      <c r="J44" s="771"/>
      <c r="K44" s="772"/>
      <c r="L44" s="774" t="s">
        <v>84</v>
      </c>
      <c r="M44" s="771"/>
      <c r="N44" s="771"/>
      <c r="O44" s="771"/>
      <c r="P44" s="771"/>
      <c r="Q44" s="771"/>
      <c r="R44" s="772"/>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61"/>
      <c r="CF44" s="46"/>
      <c r="CG44" s="46"/>
      <c r="CH44" s="46"/>
      <c r="CI44" s="373"/>
      <c r="CJ44" s="46"/>
      <c r="CK44" s="50"/>
      <c r="CL44" s="46"/>
      <c r="CM44" s="50"/>
      <c r="CN44" s="46"/>
      <c r="CO44" s="378"/>
      <c r="CP44" s="46"/>
      <c r="CQ44" s="46"/>
      <c r="CR44" s="46"/>
      <c r="CS44" s="46"/>
      <c r="CT44" s="46"/>
      <c r="CU44" s="46"/>
      <c r="CV44" s="46"/>
      <c r="CW44" s="46"/>
      <c r="CX44" s="46"/>
      <c r="CY44" s="46"/>
      <c r="CZ44" s="46"/>
      <c r="DA44" s="46"/>
      <c r="DB44" s="46"/>
      <c r="DC44" s="46"/>
      <c r="DD44" s="46"/>
      <c r="DE44" s="46"/>
      <c r="DF44" s="46"/>
      <c r="DG44" s="46"/>
      <c r="DH44" s="46"/>
      <c r="DI44" s="377"/>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46"/>
      <c r="EI44" s="46"/>
      <c r="EJ44" s="46"/>
      <c r="EK44" s="46"/>
      <c r="EL44" s="46"/>
      <c r="EM44" s="46"/>
      <c r="EN44" s="46"/>
      <c r="EO44" s="46"/>
      <c r="EP44" s="46"/>
      <c r="EQ44" s="46"/>
      <c r="ER44" s="3"/>
      <c r="ES44" s="3"/>
      <c r="ET44" s="3"/>
    </row>
    <row r="45" spans="1:157" ht="15.75" customHeight="1" x14ac:dyDescent="0.25">
      <c r="D45" s="34">
        <v>14</v>
      </c>
      <c r="E45" s="774" t="s">
        <v>85</v>
      </c>
      <c r="F45" s="771"/>
      <c r="G45" s="771"/>
      <c r="H45" s="771"/>
      <c r="I45" s="771"/>
      <c r="J45" s="771"/>
      <c r="K45" s="772"/>
      <c r="L45" s="775" t="s">
        <v>162</v>
      </c>
      <c r="M45" s="771"/>
      <c r="N45" s="771"/>
      <c r="O45" s="771"/>
      <c r="P45" s="771"/>
      <c r="Q45" s="771"/>
      <c r="R45" s="772"/>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61"/>
      <c r="CF45" s="46"/>
      <c r="CG45" s="46"/>
      <c r="CH45" s="46"/>
      <c r="CI45" s="46"/>
      <c r="CJ45" s="46"/>
      <c r="CK45" s="46"/>
      <c r="CL45" s="46"/>
      <c r="CM45" s="50"/>
      <c r="CN45" s="46"/>
      <c r="CO45" s="378"/>
      <c r="CP45" s="50"/>
      <c r="CQ45" s="62"/>
      <c r="CR45" s="46"/>
      <c r="CS45" s="46"/>
      <c r="CT45" s="46"/>
      <c r="CU45" s="46"/>
      <c r="CV45" s="46"/>
      <c r="CW45" s="46"/>
      <c r="CX45" s="46"/>
      <c r="CY45" s="46"/>
      <c r="CZ45" s="46"/>
      <c r="DA45" s="46"/>
      <c r="DB45" s="46"/>
      <c r="DC45" s="46"/>
      <c r="DD45" s="46"/>
      <c r="DE45" s="46"/>
      <c r="DF45" s="46"/>
      <c r="DG45" s="46"/>
      <c r="DH45" s="46"/>
      <c r="DI45" s="46"/>
      <c r="DJ45" s="46"/>
      <c r="DK45" s="46"/>
      <c r="DL45" s="46"/>
      <c r="DM45" s="46"/>
      <c r="DN45" s="46"/>
      <c r="DO45" s="46"/>
      <c r="DP45" s="46"/>
      <c r="DQ45" s="46"/>
      <c r="DR45" s="46"/>
      <c r="DS45" s="46"/>
      <c r="DT45" s="46"/>
      <c r="DU45" s="46"/>
      <c r="DV45" s="46"/>
      <c r="DW45" s="46"/>
      <c r="DX45" s="46"/>
      <c r="DY45" s="46"/>
      <c r="DZ45" s="46"/>
      <c r="EA45" s="46"/>
      <c r="EB45" s="46"/>
      <c r="EC45" s="46"/>
      <c r="ED45" s="46"/>
      <c r="EE45" s="46"/>
      <c r="EF45" s="46"/>
      <c r="EG45" s="46"/>
      <c r="EH45" s="46"/>
      <c r="EI45" s="46"/>
      <c r="EJ45" s="46"/>
      <c r="EK45" s="46"/>
      <c r="EL45" s="46"/>
      <c r="EM45" s="46"/>
      <c r="EN45" s="46"/>
      <c r="EO45" s="46"/>
      <c r="EP45" s="46"/>
      <c r="EQ45" s="46"/>
      <c r="ER45" s="3"/>
      <c r="ES45" s="3"/>
      <c r="ET45" s="3"/>
    </row>
    <row r="46" spans="1:157" ht="15.75" customHeight="1" x14ac:dyDescent="0.25">
      <c r="D46" s="44"/>
      <c r="E46" s="44"/>
      <c r="F46" s="45"/>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46"/>
      <c r="CI46" s="46"/>
      <c r="CJ46" s="46"/>
      <c r="CK46" s="46"/>
      <c r="CL46" s="46"/>
      <c r="CM46" s="46"/>
      <c r="CN46" s="46"/>
      <c r="CO46" s="378"/>
      <c r="CP46" s="46"/>
      <c r="CQ46" s="46"/>
      <c r="CR46" s="46"/>
      <c r="CS46" s="46"/>
      <c r="CT46" s="46"/>
      <c r="CU46" s="46"/>
      <c r="CV46" s="46"/>
      <c r="CW46" s="46"/>
      <c r="CX46" s="46"/>
      <c r="CY46" s="46"/>
      <c r="CZ46" s="46"/>
      <c r="DA46" s="46"/>
      <c r="DB46" s="46"/>
      <c r="DC46" s="46"/>
      <c r="DD46" s="46"/>
      <c r="DE46" s="46"/>
      <c r="DF46" s="46"/>
      <c r="DG46" s="46"/>
      <c r="DH46" s="46"/>
      <c r="DI46" s="46"/>
      <c r="DJ46" s="46"/>
      <c r="DK46" s="46"/>
      <c r="DL46" s="46"/>
      <c r="DM46" s="46"/>
      <c r="DN46" s="46"/>
      <c r="DO46" s="46"/>
      <c r="DP46" s="46"/>
      <c r="DQ46" s="46"/>
      <c r="DR46" s="46"/>
      <c r="DS46" s="46"/>
      <c r="DT46" s="46"/>
      <c r="DU46" s="46"/>
      <c r="DV46" s="46"/>
      <c r="DW46" s="46"/>
      <c r="DX46" s="46"/>
      <c r="DY46" s="46"/>
      <c r="DZ46" s="46"/>
      <c r="EA46" s="46"/>
      <c r="EB46" s="46"/>
      <c r="EC46" s="46"/>
      <c r="ED46" s="46"/>
      <c r="EE46" s="46"/>
      <c r="EF46" s="46"/>
      <c r="EG46" s="46"/>
      <c r="EH46" s="46"/>
      <c r="EI46" s="46"/>
      <c r="EJ46" s="46"/>
      <c r="EK46" s="46"/>
      <c r="EL46" s="46"/>
      <c r="EM46" s="46"/>
      <c r="EN46" s="46"/>
      <c r="EO46" s="46"/>
      <c r="EP46" s="46"/>
      <c r="EQ46" s="46"/>
      <c r="ER46" s="3"/>
      <c r="ES46" s="3"/>
      <c r="ET46" s="3"/>
    </row>
    <row r="47" spans="1:157" ht="15.75" customHeight="1" x14ac:dyDescent="0.25">
      <c r="D47" s="44"/>
      <c r="E47" s="44"/>
      <c r="F47" s="45"/>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62"/>
      <c r="CN47" s="46"/>
      <c r="CO47" s="46"/>
      <c r="CP47" s="46"/>
      <c r="CQ47" s="46"/>
      <c r="CR47" s="46"/>
      <c r="CS47" s="46"/>
      <c r="CT47" s="46"/>
      <c r="CU47" s="46"/>
      <c r="CV47" s="46"/>
      <c r="CW47" s="46"/>
      <c r="CX47" s="46"/>
      <c r="CY47" s="46"/>
      <c r="CZ47" s="46"/>
      <c r="DA47" s="46"/>
      <c r="DB47" s="46"/>
      <c r="DC47" s="46"/>
      <c r="DD47" s="46"/>
      <c r="DE47" s="46"/>
      <c r="DF47" s="46"/>
      <c r="DG47" s="46"/>
      <c r="DH47" s="46"/>
      <c r="DI47" s="46"/>
      <c r="DJ47" s="46"/>
      <c r="DK47" s="46"/>
      <c r="DL47" s="46"/>
      <c r="DM47" s="46"/>
      <c r="DN47" s="46"/>
      <c r="DO47" s="46"/>
      <c r="DP47" s="46"/>
      <c r="DQ47" s="46"/>
      <c r="DR47" s="46"/>
      <c r="DS47" s="46"/>
      <c r="DT47" s="46"/>
      <c r="DU47" s="46"/>
      <c r="DV47" s="46"/>
      <c r="DW47" s="46"/>
      <c r="DX47" s="46"/>
      <c r="DY47" s="46"/>
      <c r="DZ47" s="46"/>
      <c r="EA47" s="46"/>
      <c r="EB47" s="46"/>
      <c r="EC47" s="46"/>
      <c r="ED47" s="46"/>
      <c r="EE47" s="46"/>
      <c r="EF47" s="46"/>
      <c r="EG47" s="46"/>
      <c r="EH47" s="46"/>
      <c r="EI47" s="46"/>
      <c r="EJ47" s="46"/>
      <c r="EK47" s="46"/>
      <c r="EL47" s="46"/>
      <c r="EM47" s="46"/>
      <c r="EN47" s="46"/>
      <c r="EO47" s="46"/>
      <c r="EP47" s="46"/>
      <c r="EQ47" s="46"/>
      <c r="ER47" s="3"/>
      <c r="ES47" s="3"/>
      <c r="ET47" s="3"/>
    </row>
    <row r="48" spans="1:157" ht="15.75" customHeight="1" x14ac:dyDescent="0.25">
      <c r="D48" s="44"/>
      <c r="E48" s="44"/>
      <c r="F48" s="45"/>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6"/>
      <c r="CD48" s="46"/>
      <c r="CE48" s="46"/>
      <c r="CF48" s="46"/>
      <c r="CG48" s="46"/>
      <c r="CH48" s="46"/>
      <c r="CI48" s="46"/>
      <c r="CJ48" s="46"/>
      <c r="CK48" s="46"/>
      <c r="CL48" s="46"/>
      <c r="CM48" s="46"/>
      <c r="CN48" s="46"/>
      <c r="CO48" s="46"/>
      <c r="CP48" s="46"/>
      <c r="CQ48" s="46"/>
      <c r="CR48" s="46"/>
      <c r="CS48" s="46"/>
      <c r="CT48" s="46"/>
      <c r="CU48" s="46"/>
      <c r="CV48" s="46"/>
      <c r="CW48" s="46"/>
      <c r="CX48" s="46"/>
      <c r="CY48" s="46"/>
      <c r="CZ48" s="46"/>
      <c r="DA48" s="46"/>
      <c r="DB48" s="46"/>
      <c r="DC48" s="46"/>
      <c r="DD48" s="46"/>
      <c r="DE48" s="46"/>
      <c r="DF48" s="46"/>
      <c r="DG48" s="46"/>
      <c r="DH48" s="46"/>
      <c r="DI48" s="46"/>
      <c r="DJ48" s="46"/>
      <c r="DK48" s="46"/>
      <c r="DL48" s="46"/>
      <c r="DM48" s="46"/>
      <c r="DN48" s="46"/>
      <c r="DO48" s="46"/>
      <c r="DP48" s="46"/>
      <c r="DQ48" s="46"/>
      <c r="DR48" s="46"/>
      <c r="DS48" s="46"/>
      <c r="DT48" s="46"/>
      <c r="DU48" s="46"/>
      <c r="DV48" s="46"/>
      <c r="DW48" s="46"/>
      <c r="DX48" s="46"/>
      <c r="DY48" s="46"/>
      <c r="DZ48" s="46"/>
      <c r="EA48" s="46"/>
      <c r="EB48" s="46"/>
      <c r="EC48" s="46"/>
      <c r="ED48" s="46"/>
      <c r="EE48" s="46"/>
      <c r="EF48" s="46"/>
      <c r="EG48" s="46"/>
      <c r="EH48" s="46"/>
      <c r="EI48" s="46"/>
      <c r="EJ48" s="46"/>
      <c r="EK48" s="46"/>
      <c r="EL48" s="46"/>
      <c r="EM48" s="46"/>
      <c r="EN48" s="46"/>
      <c r="EO48" s="46"/>
      <c r="EP48" s="46"/>
      <c r="EQ48" s="46"/>
      <c r="ER48" s="3"/>
      <c r="ES48" s="3"/>
      <c r="ET48" s="3"/>
    </row>
    <row r="49" spans="4:150" ht="15.75" customHeight="1" x14ac:dyDescent="0.25">
      <c r="D49" s="44"/>
      <c r="E49" s="44"/>
      <c r="F49" s="45"/>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46"/>
      <c r="CC49" s="46"/>
      <c r="CD49" s="46"/>
      <c r="CE49" s="46"/>
      <c r="CF49" s="46"/>
      <c r="CG49" s="46"/>
      <c r="CH49" s="46"/>
      <c r="CI49" s="46"/>
      <c r="CJ49" s="46"/>
      <c r="CK49" s="46"/>
      <c r="CL49" s="46"/>
      <c r="CM49" s="46"/>
      <c r="CN49" s="46"/>
      <c r="CO49" s="46"/>
      <c r="CP49" s="46"/>
      <c r="CQ49" s="46"/>
      <c r="CR49" s="46"/>
      <c r="CS49" s="46"/>
      <c r="CT49" s="46"/>
      <c r="CU49" s="46"/>
      <c r="CV49" s="46"/>
      <c r="CW49" s="46"/>
      <c r="CX49" s="46"/>
      <c r="CY49" s="46"/>
      <c r="CZ49" s="46"/>
      <c r="DA49" s="46"/>
      <c r="DB49" s="46"/>
      <c r="DC49" s="46"/>
      <c r="DD49" s="46"/>
      <c r="DE49" s="46"/>
      <c r="DF49" s="46"/>
      <c r="DG49" s="46"/>
      <c r="DH49" s="46"/>
      <c r="DI49" s="46"/>
      <c r="DJ49" s="46"/>
      <c r="DK49" s="46"/>
      <c r="DL49" s="46"/>
      <c r="DM49" s="46"/>
      <c r="DN49" s="46"/>
      <c r="DO49" s="46"/>
      <c r="DP49" s="46"/>
      <c r="DQ49" s="46"/>
      <c r="DR49" s="46"/>
      <c r="DS49" s="46"/>
      <c r="DT49" s="46"/>
      <c r="DU49" s="46"/>
      <c r="DV49" s="46"/>
      <c r="DW49" s="46"/>
      <c r="DX49" s="46"/>
      <c r="DY49" s="46"/>
      <c r="DZ49" s="46"/>
      <c r="EA49" s="46"/>
      <c r="EB49" s="46"/>
      <c r="EC49" s="46"/>
      <c r="ED49" s="46"/>
      <c r="EE49" s="46"/>
      <c r="EF49" s="46"/>
      <c r="EG49" s="46"/>
      <c r="EH49" s="46"/>
      <c r="EI49" s="46"/>
      <c r="EJ49" s="46"/>
      <c r="EK49" s="46"/>
      <c r="EL49" s="46"/>
      <c r="EM49" s="46"/>
      <c r="EN49" s="46"/>
      <c r="EO49" s="46"/>
      <c r="EP49" s="46"/>
      <c r="EQ49" s="46"/>
      <c r="ER49" s="3"/>
      <c r="ES49" s="3"/>
      <c r="ET49" s="3"/>
    </row>
    <row r="50" spans="4:150" ht="15.75" customHeight="1" x14ac:dyDescent="0.25">
      <c r="D50" s="44"/>
      <c r="E50" s="44"/>
      <c r="F50" s="45"/>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c r="CE50" s="46"/>
      <c r="CF50" s="46"/>
      <c r="CG50" s="46"/>
      <c r="CH50" s="46"/>
      <c r="CI50" s="46"/>
      <c r="CJ50" s="46"/>
      <c r="CK50" s="46"/>
      <c r="CL50" s="46"/>
      <c r="CM50" s="46"/>
      <c r="CN50" s="46"/>
      <c r="CO50" s="46"/>
      <c r="CP50" s="46"/>
      <c r="CQ50" s="46"/>
      <c r="CR50" s="46"/>
      <c r="CS50" s="46"/>
      <c r="CT50" s="46"/>
      <c r="CU50" s="46"/>
      <c r="CV50" s="46"/>
      <c r="CW50" s="46"/>
      <c r="CX50" s="46"/>
      <c r="CY50" s="46"/>
      <c r="CZ50" s="46"/>
      <c r="DA50" s="46"/>
      <c r="DB50" s="46"/>
      <c r="DC50" s="46"/>
      <c r="DD50" s="46"/>
      <c r="DE50" s="46"/>
      <c r="DF50" s="46"/>
      <c r="DG50" s="46"/>
      <c r="DH50" s="46"/>
      <c r="DI50" s="46"/>
      <c r="DJ50" s="46"/>
      <c r="DK50" s="46"/>
      <c r="DL50" s="46"/>
      <c r="DM50" s="46"/>
      <c r="DN50" s="46"/>
      <c r="DO50" s="46"/>
      <c r="DP50" s="46"/>
      <c r="DQ50" s="46"/>
      <c r="DR50" s="46"/>
      <c r="DS50" s="46"/>
      <c r="DT50" s="46"/>
      <c r="DU50" s="46"/>
      <c r="DV50" s="46"/>
      <c r="DW50" s="46"/>
      <c r="DX50" s="46"/>
      <c r="DY50" s="46"/>
      <c r="DZ50" s="46"/>
      <c r="EA50" s="46"/>
      <c r="EB50" s="46"/>
      <c r="EC50" s="46"/>
      <c r="ED50" s="46"/>
      <c r="EE50" s="46"/>
      <c r="EF50" s="46"/>
      <c r="EG50" s="46"/>
      <c r="EH50" s="46"/>
      <c r="EI50" s="46"/>
      <c r="EJ50" s="46"/>
      <c r="EK50" s="46"/>
      <c r="EL50" s="46"/>
      <c r="EM50" s="46"/>
      <c r="EN50" s="46"/>
      <c r="EO50" s="46"/>
      <c r="EP50" s="46"/>
      <c r="EQ50" s="46"/>
      <c r="ER50" s="3"/>
      <c r="ES50" s="3"/>
      <c r="ET50" s="3"/>
    </row>
    <row r="51" spans="4:150" ht="15.75" customHeight="1" x14ac:dyDescent="0.25">
      <c r="D51" s="44"/>
      <c r="E51" s="44"/>
      <c r="F51" s="45"/>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46"/>
      <c r="CX51" s="46"/>
      <c r="CY51" s="46"/>
      <c r="CZ51" s="46"/>
      <c r="DA51" s="46"/>
      <c r="DB51" s="46"/>
      <c r="DC51" s="46"/>
      <c r="DD51" s="46"/>
      <c r="DE51" s="46"/>
      <c r="DF51" s="46"/>
      <c r="DG51" s="46"/>
      <c r="DH51" s="46"/>
      <c r="DI51" s="46"/>
      <c r="DJ51" s="46"/>
      <c r="DK51" s="46"/>
      <c r="DL51" s="46"/>
      <c r="DM51" s="46"/>
      <c r="DN51" s="46"/>
      <c r="DO51" s="46"/>
      <c r="DP51" s="46"/>
      <c r="DQ51" s="46"/>
      <c r="DR51" s="46"/>
      <c r="DS51" s="46"/>
      <c r="DT51" s="46"/>
      <c r="DU51" s="46"/>
      <c r="DV51" s="46"/>
      <c r="DW51" s="46"/>
      <c r="DX51" s="46"/>
      <c r="DY51" s="46"/>
      <c r="DZ51" s="46"/>
      <c r="EA51" s="46"/>
      <c r="EB51" s="46"/>
      <c r="EC51" s="46"/>
      <c r="ED51" s="46"/>
      <c r="EE51" s="46"/>
      <c r="EF51" s="46"/>
      <c r="EG51" s="46"/>
      <c r="EH51" s="46"/>
      <c r="EI51" s="46"/>
      <c r="EJ51" s="46"/>
      <c r="EK51" s="46"/>
      <c r="EL51" s="46"/>
      <c r="EM51" s="46"/>
      <c r="EN51" s="46"/>
      <c r="EO51" s="46"/>
      <c r="EP51" s="46"/>
      <c r="EQ51" s="46"/>
      <c r="ER51" s="3"/>
      <c r="ES51" s="3"/>
      <c r="ET51" s="3"/>
    </row>
    <row r="52" spans="4:150" ht="15.75" customHeight="1" x14ac:dyDescent="0.25">
      <c r="D52" s="44"/>
      <c r="E52" s="44"/>
      <c r="F52" s="45"/>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3"/>
      <c r="ES52" s="3"/>
      <c r="ET52" s="3"/>
    </row>
    <row r="53" spans="4:150" ht="15.75" customHeight="1" x14ac:dyDescent="0.25">
      <c r="D53" s="44"/>
      <c r="E53" s="44"/>
      <c r="F53" s="45"/>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c r="CS53" s="46"/>
      <c r="CT53" s="46"/>
      <c r="CU53" s="46"/>
      <c r="CV53" s="46"/>
      <c r="CW53" s="46"/>
      <c r="CX53" s="46"/>
      <c r="CY53" s="46"/>
      <c r="CZ53" s="46"/>
      <c r="DA53" s="46"/>
      <c r="DB53" s="46"/>
      <c r="DC53" s="46"/>
      <c r="DD53" s="46"/>
      <c r="DE53" s="46"/>
      <c r="DF53" s="46"/>
      <c r="DG53" s="46"/>
      <c r="DH53" s="46"/>
      <c r="DI53" s="46"/>
      <c r="DJ53" s="46"/>
      <c r="DK53" s="46"/>
      <c r="DL53" s="46"/>
      <c r="DM53" s="46"/>
      <c r="DN53" s="46"/>
      <c r="DO53" s="46"/>
      <c r="DP53" s="46"/>
      <c r="DQ53" s="46"/>
      <c r="DR53" s="46"/>
      <c r="DS53" s="46"/>
      <c r="DT53" s="46"/>
      <c r="DU53" s="46"/>
      <c r="DV53" s="46"/>
      <c r="DW53" s="46"/>
      <c r="DX53" s="46"/>
      <c r="DY53" s="46"/>
      <c r="DZ53" s="46"/>
      <c r="EA53" s="46"/>
      <c r="EB53" s="46"/>
      <c r="EC53" s="46"/>
      <c r="ED53" s="46"/>
      <c r="EE53" s="46"/>
      <c r="EF53" s="46"/>
      <c r="EG53" s="46"/>
      <c r="EH53" s="46"/>
      <c r="EI53" s="46"/>
      <c r="EJ53" s="46"/>
      <c r="EK53" s="46"/>
      <c r="EL53" s="46"/>
      <c r="EM53" s="46"/>
      <c r="EN53" s="46"/>
      <c r="EO53" s="46"/>
      <c r="EP53" s="46"/>
      <c r="EQ53" s="46"/>
      <c r="ER53" s="3"/>
      <c r="ES53" s="3"/>
      <c r="ET53" s="3"/>
    </row>
    <row r="54" spans="4:150" ht="15.75" customHeight="1" x14ac:dyDescent="0.25">
      <c r="D54" s="44"/>
      <c r="E54" s="44"/>
      <c r="F54" s="45"/>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6"/>
      <c r="CF54" s="46"/>
      <c r="CG54" s="46"/>
      <c r="CH54" s="46"/>
      <c r="CI54" s="46"/>
      <c r="CJ54" s="46"/>
      <c r="CK54" s="46"/>
      <c r="CL54" s="46"/>
      <c r="CM54" s="46"/>
      <c r="CN54" s="46"/>
      <c r="CO54" s="46"/>
      <c r="CP54" s="46"/>
      <c r="CQ54" s="46"/>
      <c r="CR54" s="46"/>
      <c r="CS54" s="46"/>
      <c r="CT54" s="46"/>
      <c r="CU54" s="46"/>
      <c r="CV54" s="46"/>
      <c r="CW54" s="46"/>
      <c r="CX54" s="46"/>
      <c r="CY54" s="46"/>
      <c r="CZ54" s="46"/>
      <c r="DA54" s="46"/>
      <c r="DB54" s="46"/>
      <c r="DC54" s="46"/>
      <c r="DD54" s="46"/>
      <c r="DE54" s="46"/>
      <c r="DF54" s="46"/>
      <c r="DG54" s="46"/>
      <c r="DH54" s="46"/>
      <c r="DI54" s="46"/>
      <c r="DJ54" s="46"/>
      <c r="DK54" s="46"/>
      <c r="DL54" s="46"/>
      <c r="DM54" s="46"/>
      <c r="DN54" s="46"/>
      <c r="DO54" s="46"/>
      <c r="DP54" s="46"/>
      <c r="DQ54" s="46"/>
      <c r="DR54" s="46"/>
      <c r="DS54" s="46"/>
      <c r="DT54" s="46"/>
      <c r="DU54" s="46"/>
      <c r="DV54" s="46"/>
      <c r="DW54" s="46"/>
      <c r="DX54" s="46"/>
      <c r="DY54" s="46"/>
      <c r="DZ54" s="46"/>
      <c r="EA54" s="46"/>
      <c r="EB54" s="46"/>
      <c r="EC54" s="46"/>
      <c r="ED54" s="46"/>
      <c r="EE54" s="46"/>
      <c r="EF54" s="46"/>
      <c r="EG54" s="46"/>
      <c r="EH54" s="46"/>
      <c r="EI54" s="46"/>
      <c r="EJ54" s="46"/>
      <c r="EK54" s="46"/>
      <c r="EL54" s="46"/>
      <c r="EM54" s="46"/>
      <c r="EN54" s="46"/>
      <c r="EO54" s="46"/>
      <c r="EP54" s="46"/>
      <c r="EQ54" s="46"/>
      <c r="ER54" s="3"/>
      <c r="ES54" s="3"/>
      <c r="ET54" s="3"/>
    </row>
    <row r="55" spans="4:150" ht="15.75" customHeight="1" x14ac:dyDescent="0.25">
      <c r="D55" s="44"/>
      <c r="E55" s="44"/>
      <c r="F55" s="45"/>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c r="CE55" s="46"/>
      <c r="CF55" s="46"/>
      <c r="CG55" s="46"/>
      <c r="CH55" s="46"/>
      <c r="CI55" s="46"/>
      <c r="CJ55" s="46"/>
      <c r="CK55" s="46"/>
      <c r="CL55" s="46"/>
      <c r="CM55" s="46"/>
      <c r="CN55" s="46"/>
      <c r="CO55" s="46"/>
      <c r="CP55" s="46"/>
      <c r="CQ55" s="46"/>
      <c r="CR55" s="46"/>
      <c r="CS55" s="46"/>
      <c r="CT55" s="46"/>
      <c r="CU55" s="46"/>
      <c r="CV55" s="46"/>
      <c r="CW55" s="46"/>
      <c r="CX55" s="46"/>
      <c r="CY55" s="46"/>
      <c r="CZ55" s="46"/>
      <c r="DA55" s="46"/>
      <c r="DB55" s="46"/>
      <c r="DC55" s="46"/>
      <c r="DD55" s="46"/>
      <c r="DE55" s="46"/>
      <c r="DF55" s="46"/>
      <c r="DG55" s="46"/>
      <c r="DH55" s="46"/>
      <c r="DI55" s="46"/>
      <c r="DJ55" s="46"/>
      <c r="DK55" s="46"/>
      <c r="DL55" s="46"/>
      <c r="DM55" s="46"/>
      <c r="DN55" s="46"/>
      <c r="DO55" s="46"/>
      <c r="DP55" s="46"/>
      <c r="DQ55" s="46"/>
      <c r="DR55" s="46"/>
      <c r="DS55" s="46"/>
      <c r="DT55" s="46"/>
      <c r="DU55" s="46"/>
      <c r="DV55" s="46"/>
      <c r="DW55" s="46"/>
      <c r="DX55" s="46"/>
      <c r="DY55" s="46"/>
      <c r="DZ55" s="46"/>
      <c r="EA55" s="46"/>
      <c r="EB55" s="46"/>
      <c r="EC55" s="46"/>
      <c r="ED55" s="46"/>
      <c r="EE55" s="46"/>
      <c r="EF55" s="46"/>
      <c r="EG55" s="46"/>
      <c r="EH55" s="46"/>
      <c r="EI55" s="46"/>
      <c r="EJ55" s="46"/>
      <c r="EK55" s="46"/>
      <c r="EL55" s="46"/>
      <c r="EM55" s="46"/>
      <c r="EN55" s="46"/>
      <c r="EO55" s="46"/>
      <c r="EP55" s="46"/>
      <c r="EQ55" s="46"/>
      <c r="ER55" s="3"/>
      <c r="ES55" s="3"/>
      <c r="ET55" s="3"/>
    </row>
    <row r="56" spans="4:150" ht="15.75" customHeight="1" x14ac:dyDescent="0.25">
      <c r="D56" s="44"/>
      <c r="E56" s="44"/>
      <c r="F56" s="45"/>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c r="CJ56" s="46"/>
      <c r="CK56" s="46"/>
      <c r="CL56" s="46"/>
      <c r="CM56" s="46"/>
      <c r="CN56" s="46"/>
      <c r="CO56" s="46"/>
      <c r="CP56" s="46"/>
      <c r="CQ56" s="46"/>
      <c r="CR56" s="46"/>
      <c r="CS56" s="46"/>
      <c r="CT56" s="46"/>
      <c r="CU56" s="46"/>
      <c r="CV56" s="46"/>
      <c r="CW56" s="46"/>
      <c r="CX56" s="46"/>
      <c r="CY56" s="46"/>
      <c r="CZ56" s="46"/>
      <c r="DA56" s="46"/>
      <c r="DB56" s="46"/>
      <c r="DC56" s="46"/>
      <c r="DD56" s="46"/>
      <c r="DE56" s="46"/>
      <c r="DF56" s="46"/>
      <c r="DG56" s="46"/>
      <c r="DH56" s="46"/>
      <c r="DI56" s="46"/>
      <c r="DJ56" s="46"/>
      <c r="DK56" s="46"/>
      <c r="DL56" s="46"/>
      <c r="DM56" s="46"/>
      <c r="DN56" s="46"/>
      <c r="DO56" s="46"/>
      <c r="DP56" s="46"/>
      <c r="DQ56" s="46"/>
      <c r="DR56" s="46"/>
      <c r="DS56" s="46"/>
      <c r="DT56" s="46"/>
      <c r="DU56" s="46"/>
      <c r="DV56" s="46"/>
      <c r="DW56" s="46"/>
      <c r="DX56" s="46"/>
      <c r="DY56" s="46"/>
      <c r="DZ56" s="46"/>
      <c r="EA56" s="46"/>
      <c r="EB56" s="46"/>
      <c r="EC56" s="46"/>
      <c r="ED56" s="46"/>
      <c r="EE56" s="46"/>
      <c r="EF56" s="46"/>
      <c r="EG56" s="46"/>
      <c r="EH56" s="46"/>
      <c r="EI56" s="46"/>
      <c r="EJ56" s="46"/>
      <c r="EK56" s="46"/>
      <c r="EL56" s="46"/>
      <c r="EM56" s="46"/>
      <c r="EN56" s="46"/>
      <c r="EO56" s="46"/>
      <c r="EP56" s="46"/>
      <c r="EQ56" s="46"/>
      <c r="ER56" s="3"/>
      <c r="ES56" s="3"/>
      <c r="ET56" s="3"/>
    </row>
    <row r="57" spans="4:150" ht="15.75" customHeight="1" x14ac:dyDescent="0.25">
      <c r="D57" s="44"/>
      <c r="E57" s="44"/>
      <c r="F57" s="45"/>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c r="CQ57" s="46"/>
      <c r="CR57" s="46"/>
      <c r="CS57" s="46"/>
      <c r="CT57" s="46"/>
      <c r="CU57" s="46"/>
      <c r="CV57" s="46"/>
      <c r="CW57" s="46"/>
      <c r="CX57" s="46"/>
      <c r="CY57" s="46"/>
      <c r="CZ57" s="46"/>
      <c r="DA57" s="46"/>
      <c r="DB57" s="46"/>
      <c r="DC57" s="46"/>
      <c r="DD57" s="46"/>
      <c r="DE57" s="46"/>
      <c r="DF57" s="46"/>
      <c r="DG57" s="46"/>
      <c r="DH57" s="46"/>
      <c r="DI57" s="46"/>
      <c r="DJ57" s="46"/>
      <c r="DK57" s="46"/>
      <c r="DL57" s="46"/>
      <c r="DM57" s="46"/>
      <c r="DN57" s="46"/>
      <c r="DO57" s="46"/>
      <c r="DP57" s="46"/>
      <c r="DQ57" s="46"/>
      <c r="DR57" s="46"/>
      <c r="DS57" s="46"/>
      <c r="DT57" s="46"/>
      <c r="DU57" s="46"/>
      <c r="DV57" s="46"/>
      <c r="DW57" s="46"/>
      <c r="DX57" s="46"/>
      <c r="DY57" s="46"/>
      <c r="DZ57" s="46"/>
      <c r="EA57" s="46"/>
      <c r="EB57" s="46"/>
      <c r="EC57" s="46"/>
      <c r="ED57" s="46"/>
      <c r="EE57" s="46"/>
      <c r="EF57" s="46"/>
      <c r="EG57" s="46"/>
      <c r="EH57" s="46"/>
      <c r="EI57" s="46"/>
      <c r="EJ57" s="46"/>
      <c r="EK57" s="46"/>
      <c r="EL57" s="46"/>
      <c r="EM57" s="46"/>
      <c r="EN57" s="46"/>
      <c r="EO57" s="46"/>
      <c r="EP57" s="46"/>
      <c r="EQ57" s="46"/>
      <c r="ER57" s="3"/>
      <c r="ES57" s="3"/>
      <c r="ET57" s="3"/>
    </row>
    <row r="58" spans="4:150" ht="15.75" customHeight="1" x14ac:dyDescent="0.25">
      <c r="D58" s="44"/>
      <c r="E58" s="44"/>
      <c r="F58" s="45"/>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46"/>
      <c r="DO58" s="46"/>
      <c r="DP58" s="46"/>
      <c r="DQ58" s="46"/>
      <c r="DR58" s="46"/>
      <c r="DS58" s="46"/>
      <c r="DT58" s="46"/>
      <c r="DU58" s="46"/>
      <c r="DV58" s="46"/>
      <c r="DW58" s="46"/>
      <c r="DX58" s="46"/>
      <c r="DY58" s="46"/>
      <c r="DZ58" s="46"/>
      <c r="EA58" s="46"/>
      <c r="EB58" s="46"/>
      <c r="EC58" s="46"/>
      <c r="ED58" s="46"/>
      <c r="EE58" s="46"/>
      <c r="EF58" s="46"/>
      <c r="EG58" s="46"/>
      <c r="EH58" s="46"/>
      <c r="EI58" s="46"/>
      <c r="EJ58" s="46"/>
      <c r="EK58" s="46"/>
      <c r="EL58" s="46"/>
      <c r="EM58" s="46"/>
      <c r="EN58" s="46"/>
      <c r="EO58" s="46"/>
      <c r="EP58" s="46"/>
      <c r="EQ58" s="46"/>
      <c r="ER58" s="3"/>
      <c r="ES58" s="3"/>
      <c r="ET58" s="3"/>
    </row>
    <row r="59" spans="4:150" ht="15.75" customHeight="1" x14ac:dyDescent="0.25">
      <c r="D59" s="44"/>
      <c r="E59" s="44"/>
      <c r="F59" s="45"/>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c r="DM59" s="46"/>
      <c r="DN59" s="46"/>
      <c r="DO59" s="46"/>
      <c r="DP59" s="46"/>
      <c r="DQ59" s="46"/>
      <c r="DR59" s="46"/>
      <c r="DS59" s="46"/>
      <c r="DT59" s="46"/>
      <c r="DU59" s="46"/>
      <c r="DV59" s="46"/>
      <c r="DW59" s="46"/>
      <c r="DX59" s="46"/>
      <c r="DY59" s="46"/>
      <c r="DZ59" s="46"/>
      <c r="EA59" s="46"/>
      <c r="EB59" s="46"/>
      <c r="EC59" s="46"/>
      <c r="ED59" s="46"/>
      <c r="EE59" s="46"/>
      <c r="EF59" s="46"/>
      <c r="EG59" s="46"/>
      <c r="EH59" s="46"/>
      <c r="EI59" s="46"/>
      <c r="EJ59" s="46"/>
      <c r="EK59" s="46"/>
      <c r="EL59" s="46"/>
      <c r="EM59" s="46"/>
      <c r="EN59" s="46"/>
      <c r="EO59" s="46"/>
      <c r="EP59" s="46"/>
      <c r="EQ59" s="46"/>
      <c r="ER59" s="3"/>
      <c r="ES59" s="3"/>
      <c r="ET59" s="3"/>
    </row>
    <row r="60" spans="4:150" ht="15.75" customHeight="1" x14ac:dyDescent="0.25">
      <c r="D60" s="44"/>
      <c r="E60" s="44"/>
      <c r="F60" s="45"/>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c r="CM60" s="46"/>
      <c r="CN60" s="46"/>
      <c r="CO60" s="46"/>
      <c r="CP60" s="46"/>
      <c r="CQ60" s="46"/>
      <c r="CR60" s="46"/>
      <c r="CS60" s="46"/>
      <c r="CT60" s="46"/>
      <c r="CU60" s="46"/>
      <c r="CV60" s="46"/>
      <c r="CW60" s="46"/>
      <c r="CX60" s="46"/>
      <c r="CY60" s="46"/>
      <c r="CZ60" s="46"/>
      <c r="DA60" s="46"/>
      <c r="DB60" s="46"/>
      <c r="DC60" s="46"/>
      <c r="DD60" s="46"/>
      <c r="DE60" s="46"/>
      <c r="DF60" s="46"/>
      <c r="DG60" s="46"/>
      <c r="DH60" s="46"/>
      <c r="DI60" s="46"/>
      <c r="DJ60" s="46"/>
      <c r="DK60" s="46"/>
      <c r="DL60" s="46"/>
      <c r="DM60" s="46"/>
      <c r="DN60" s="46"/>
      <c r="DO60" s="46"/>
      <c r="DP60" s="46"/>
      <c r="DQ60" s="46"/>
      <c r="DR60" s="46"/>
      <c r="DS60" s="46"/>
      <c r="DT60" s="46"/>
      <c r="DU60" s="46"/>
      <c r="DV60" s="46"/>
      <c r="DW60" s="46"/>
      <c r="DX60" s="46"/>
      <c r="DY60" s="46"/>
      <c r="DZ60" s="46"/>
      <c r="EA60" s="46"/>
      <c r="EB60" s="46"/>
      <c r="EC60" s="46"/>
      <c r="ED60" s="46"/>
      <c r="EE60" s="46"/>
      <c r="EF60" s="46"/>
      <c r="EG60" s="46"/>
      <c r="EH60" s="46"/>
      <c r="EI60" s="46"/>
      <c r="EJ60" s="46"/>
      <c r="EK60" s="46"/>
      <c r="EL60" s="46"/>
      <c r="EM60" s="46"/>
      <c r="EN60" s="46"/>
      <c r="EO60" s="46"/>
      <c r="EP60" s="46"/>
      <c r="EQ60" s="46"/>
      <c r="ER60" s="3"/>
      <c r="ES60" s="3"/>
      <c r="ET60" s="3"/>
    </row>
    <row r="61" spans="4:150" ht="15.75" customHeight="1" x14ac:dyDescent="0.25">
      <c r="D61" s="44"/>
      <c r="E61" s="44"/>
      <c r="F61" s="45"/>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c r="CT61" s="46"/>
      <c r="CU61" s="46"/>
      <c r="CV61" s="46"/>
      <c r="CW61" s="46"/>
      <c r="CX61" s="46"/>
      <c r="CY61" s="46"/>
      <c r="CZ61" s="46"/>
      <c r="DA61" s="46"/>
      <c r="DB61" s="46"/>
      <c r="DC61" s="46"/>
      <c r="DD61" s="46"/>
      <c r="DE61" s="46"/>
      <c r="DF61" s="46"/>
      <c r="DG61" s="46"/>
      <c r="DH61" s="46"/>
      <c r="DI61" s="46"/>
      <c r="DJ61" s="46"/>
      <c r="DK61" s="46"/>
      <c r="DL61" s="46"/>
      <c r="DM61" s="46"/>
      <c r="DN61" s="46"/>
      <c r="DO61" s="46"/>
      <c r="DP61" s="46"/>
      <c r="DQ61" s="46"/>
      <c r="DR61" s="46"/>
      <c r="DS61" s="46"/>
      <c r="DT61" s="46"/>
      <c r="DU61" s="46"/>
      <c r="DV61" s="46"/>
      <c r="DW61" s="46"/>
      <c r="DX61" s="46"/>
      <c r="DY61" s="46"/>
      <c r="DZ61" s="46"/>
      <c r="EA61" s="46"/>
      <c r="EB61" s="46"/>
      <c r="EC61" s="46"/>
      <c r="ED61" s="46"/>
      <c r="EE61" s="46"/>
      <c r="EF61" s="46"/>
      <c r="EG61" s="46"/>
      <c r="EH61" s="46"/>
      <c r="EI61" s="46"/>
      <c r="EJ61" s="46"/>
      <c r="EK61" s="46"/>
      <c r="EL61" s="46"/>
      <c r="EM61" s="46"/>
      <c r="EN61" s="46"/>
      <c r="EO61" s="46"/>
      <c r="EP61" s="46"/>
      <c r="EQ61" s="46"/>
      <c r="ER61" s="3"/>
      <c r="ES61" s="3"/>
      <c r="ET61" s="3"/>
    </row>
    <row r="62" spans="4:150" ht="15.75" customHeight="1" x14ac:dyDescent="0.25">
      <c r="D62" s="44"/>
      <c r="E62" s="44"/>
      <c r="F62" s="45"/>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c r="CT62" s="46"/>
      <c r="CU62" s="46"/>
      <c r="CV62" s="46"/>
      <c r="CW62" s="46"/>
      <c r="CX62" s="46"/>
      <c r="CY62" s="46"/>
      <c r="CZ62" s="46"/>
      <c r="DA62" s="46"/>
      <c r="DB62" s="46"/>
      <c r="DC62" s="46"/>
      <c r="DD62" s="46"/>
      <c r="DE62" s="46"/>
      <c r="DF62" s="46"/>
      <c r="DG62" s="46"/>
      <c r="DH62" s="46"/>
      <c r="DI62" s="46"/>
      <c r="DJ62" s="46"/>
      <c r="DK62" s="46"/>
      <c r="DL62" s="46"/>
      <c r="DM62" s="46"/>
      <c r="DN62" s="46"/>
      <c r="DO62" s="46"/>
      <c r="DP62" s="46"/>
      <c r="DQ62" s="46"/>
      <c r="DR62" s="46"/>
      <c r="DS62" s="46"/>
      <c r="DT62" s="46"/>
      <c r="DU62" s="46"/>
      <c r="DV62" s="46"/>
      <c r="DW62" s="46"/>
      <c r="DX62" s="46"/>
      <c r="DY62" s="46"/>
      <c r="DZ62" s="46"/>
      <c r="EA62" s="46"/>
      <c r="EB62" s="46"/>
      <c r="EC62" s="46"/>
      <c r="ED62" s="46"/>
      <c r="EE62" s="46"/>
      <c r="EF62" s="46"/>
      <c r="EG62" s="46"/>
      <c r="EH62" s="46"/>
      <c r="EI62" s="46"/>
      <c r="EJ62" s="46"/>
      <c r="EK62" s="46"/>
      <c r="EL62" s="46"/>
      <c r="EM62" s="46"/>
      <c r="EN62" s="46"/>
      <c r="EO62" s="46"/>
      <c r="EP62" s="46"/>
      <c r="EQ62" s="46"/>
      <c r="ER62" s="3"/>
      <c r="ES62" s="3"/>
      <c r="ET62" s="3"/>
    </row>
    <row r="63" spans="4:150" ht="15.75" customHeight="1" x14ac:dyDescent="0.25">
      <c r="D63" s="44"/>
      <c r="E63" s="44"/>
      <c r="F63" s="45"/>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46"/>
      <c r="DC63" s="46"/>
      <c r="DD63" s="46"/>
      <c r="DE63" s="46"/>
      <c r="DF63" s="46"/>
      <c r="DG63" s="46"/>
      <c r="DH63" s="46"/>
      <c r="DI63" s="46"/>
      <c r="DJ63" s="46"/>
      <c r="DK63" s="46"/>
      <c r="DL63" s="46"/>
      <c r="DM63" s="46"/>
      <c r="DN63" s="46"/>
      <c r="DO63" s="46"/>
      <c r="DP63" s="46"/>
      <c r="DQ63" s="46"/>
      <c r="DR63" s="46"/>
      <c r="DS63" s="46"/>
      <c r="DT63" s="46"/>
      <c r="DU63" s="46"/>
      <c r="DV63" s="46"/>
      <c r="DW63" s="46"/>
      <c r="DX63" s="46"/>
      <c r="DY63" s="46"/>
      <c r="DZ63" s="46"/>
      <c r="EA63" s="46"/>
      <c r="EB63" s="46"/>
      <c r="EC63" s="46"/>
      <c r="ED63" s="46"/>
      <c r="EE63" s="46"/>
      <c r="EF63" s="46"/>
      <c r="EG63" s="46"/>
      <c r="EH63" s="46"/>
      <c r="EI63" s="46"/>
      <c r="EJ63" s="46"/>
      <c r="EK63" s="46"/>
      <c r="EL63" s="46"/>
      <c r="EM63" s="46"/>
      <c r="EN63" s="46"/>
      <c r="EO63" s="46"/>
      <c r="EP63" s="46"/>
      <c r="EQ63" s="46"/>
      <c r="ER63" s="3"/>
      <c r="ES63" s="3"/>
      <c r="ET63" s="3"/>
    </row>
    <row r="64" spans="4:150" ht="15.75" customHeight="1" x14ac:dyDescent="0.25">
      <c r="D64" s="44"/>
      <c r="E64" s="44"/>
      <c r="F64" s="45"/>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46"/>
      <c r="CL64" s="46"/>
      <c r="CM64" s="46"/>
      <c r="CN64" s="46"/>
      <c r="CO64" s="46"/>
      <c r="CP64" s="46"/>
      <c r="CQ64" s="46"/>
      <c r="CR64" s="46"/>
      <c r="CS64" s="46"/>
      <c r="CT64" s="46"/>
      <c r="CU64" s="46"/>
      <c r="CV64" s="46"/>
      <c r="CW64" s="46"/>
      <c r="CX64" s="46"/>
      <c r="CY64" s="46"/>
      <c r="CZ64" s="46"/>
      <c r="DA64" s="46"/>
      <c r="DB64" s="46"/>
      <c r="DC64" s="46"/>
      <c r="DD64" s="46"/>
      <c r="DE64" s="46"/>
      <c r="DF64" s="46"/>
      <c r="DG64" s="46"/>
      <c r="DH64" s="46"/>
      <c r="DI64" s="46"/>
      <c r="DJ64" s="46"/>
      <c r="DK64" s="46"/>
      <c r="DL64" s="46"/>
      <c r="DM64" s="46"/>
      <c r="DN64" s="46"/>
      <c r="DO64" s="46"/>
      <c r="DP64" s="46"/>
      <c r="DQ64" s="46"/>
      <c r="DR64" s="46"/>
      <c r="DS64" s="46"/>
      <c r="DT64" s="46"/>
      <c r="DU64" s="46"/>
      <c r="DV64" s="46"/>
      <c r="DW64" s="46"/>
      <c r="DX64" s="46"/>
      <c r="DY64" s="46"/>
      <c r="DZ64" s="46"/>
      <c r="EA64" s="46"/>
      <c r="EB64" s="46"/>
      <c r="EC64" s="46"/>
      <c r="ED64" s="46"/>
      <c r="EE64" s="46"/>
      <c r="EF64" s="46"/>
      <c r="EG64" s="46"/>
      <c r="EH64" s="46"/>
      <c r="EI64" s="46"/>
      <c r="EJ64" s="46"/>
      <c r="EK64" s="46"/>
      <c r="EL64" s="46"/>
      <c r="EM64" s="46"/>
      <c r="EN64" s="46"/>
      <c r="EO64" s="46"/>
      <c r="EP64" s="46"/>
      <c r="EQ64" s="46"/>
      <c r="ER64" s="3"/>
      <c r="ES64" s="3"/>
      <c r="ET64" s="3"/>
    </row>
    <row r="65" spans="4:150" ht="15.75" customHeight="1" x14ac:dyDescent="0.25">
      <c r="D65" s="44"/>
      <c r="E65" s="44"/>
      <c r="F65" s="45"/>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46"/>
      <c r="CL65" s="46"/>
      <c r="CM65" s="46"/>
      <c r="CN65" s="46"/>
      <c r="CO65" s="46"/>
      <c r="CP65" s="46"/>
      <c r="CQ65" s="46"/>
      <c r="CR65" s="46"/>
      <c r="CS65" s="46"/>
      <c r="CT65" s="46"/>
      <c r="CU65" s="46"/>
      <c r="CV65" s="46"/>
      <c r="CW65" s="46"/>
      <c r="CX65" s="46"/>
      <c r="CY65" s="46"/>
      <c r="CZ65" s="46"/>
      <c r="DA65" s="46"/>
      <c r="DB65" s="46"/>
      <c r="DC65" s="46"/>
      <c r="DD65" s="46"/>
      <c r="DE65" s="46"/>
      <c r="DF65" s="46"/>
      <c r="DG65" s="46"/>
      <c r="DH65" s="46"/>
      <c r="DI65" s="46"/>
      <c r="DJ65" s="46"/>
      <c r="DK65" s="46"/>
      <c r="DL65" s="46"/>
      <c r="DM65" s="46"/>
      <c r="DN65" s="46"/>
      <c r="DO65" s="46"/>
      <c r="DP65" s="46"/>
      <c r="DQ65" s="46"/>
      <c r="DR65" s="46"/>
      <c r="DS65" s="46"/>
      <c r="DT65" s="46"/>
      <c r="DU65" s="46"/>
      <c r="DV65" s="46"/>
      <c r="DW65" s="46"/>
      <c r="DX65" s="46"/>
      <c r="DY65" s="46"/>
      <c r="DZ65" s="46"/>
      <c r="EA65" s="46"/>
      <c r="EB65" s="46"/>
      <c r="EC65" s="46"/>
      <c r="ED65" s="46"/>
      <c r="EE65" s="46"/>
      <c r="EF65" s="46"/>
      <c r="EG65" s="46"/>
      <c r="EH65" s="46"/>
      <c r="EI65" s="46"/>
      <c r="EJ65" s="46"/>
      <c r="EK65" s="46"/>
      <c r="EL65" s="46"/>
      <c r="EM65" s="46"/>
      <c r="EN65" s="46"/>
      <c r="EO65" s="46"/>
      <c r="EP65" s="46"/>
      <c r="EQ65" s="46"/>
      <c r="ER65" s="3"/>
      <c r="ES65" s="3"/>
      <c r="ET65" s="3"/>
    </row>
    <row r="66" spans="4:150" ht="15.75" customHeight="1" x14ac:dyDescent="0.25">
      <c r="D66" s="44"/>
      <c r="E66" s="44"/>
      <c r="F66" s="45"/>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46"/>
      <c r="CP66" s="46"/>
      <c r="CQ66" s="46"/>
      <c r="CR66" s="46"/>
      <c r="CS66" s="46"/>
      <c r="CT66" s="46"/>
      <c r="CU66" s="46"/>
      <c r="CV66" s="46"/>
      <c r="CW66" s="46"/>
      <c r="CX66" s="46"/>
      <c r="CY66" s="46"/>
      <c r="CZ66" s="46"/>
      <c r="DA66" s="46"/>
      <c r="DB66" s="46"/>
      <c r="DC66" s="46"/>
      <c r="DD66" s="46"/>
      <c r="DE66" s="46"/>
      <c r="DF66" s="46"/>
      <c r="DG66" s="46"/>
      <c r="DH66" s="46"/>
      <c r="DI66" s="46"/>
      <c r="DJ66" s="46"/>
      <c r="DK66" s="46"/>
      <c r="DL66" s="46"/>
      <c r="DM66" s="46"/>
      <c r="DN66" s="46"/>
      <c r="DO66" s="46"/>
      <c r="DP66" s="46"/>
      <c r="DQ66" s="46"/>
      <c r="DR66" s="46"/>
      <c r="DS66" s="46"/>
      <c r="DT66" s="46"/>
      <c r="DU66" s="46"/>
      <c r="DV66" s="46"/>
      <c r="DW66" s="46"/>
      <c r="DX66" s="46"/>
      <c r="DY66" s="46"/>
      <c r="DZ66" s="46"/>
      <c r="EA66" s="46"/>
      <c r="EB66" s="46"/>
      <c r="EC66" s="46"/>
      <c r="ED66" s="46"/>
      <c r="EE66" s="46"/>
      <c r="EF66" s="46"/>
      <c r="EG66" s="46"/>
      <c r="EH66" s="46"/>
      <c r="EI66" s="46"/>
      <c r="EJ66" s="46"/>
      <c r="EK66" s="46"/>
      <c r="EL66" s="46"/>
      <c r="EM66" s="46"/>
      <c r="EN66" s="46"/>
      <c r="EO66" s="46"/>
      <c r="EP66" s="46"/>
      <c r="EQ66" s="46"/>
      <c r="ER66" s="3"/>
      <c r="ES66" s="3"/>
      <c r="ET66" s="3"/>
    </row>
    <row r="67" spans="4:150" ht="15.75" customHeight="1" x14ac:dyDescent="0.25">
      <c r="D67" s="44"/>
      <c r="E67" s="44"/>
      <c r="F67" s="45"/>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c r="CT67" s="46"/>
      <c r="CU67" s="46"/>
      <c r="CV67" s="46"/>
      <c r="CW67" s="46"/>
      <c r="CX67" s="46"/>
      <c r="CY67" s="46"/>
      <c r="CZ67" s="46"/>
      <c r="DA67" s="46"/>
      <c r="DB67" s="46"/>
      <c r="DC67" s="46"/>
      <c r="DD67" s="46"/>
      <c r="DE67" s="46"/>
      <c r="DF67" s="46"/>
      <c r="DG67" s="46"/>
      <c r="DH67" s="46"/>
      <c r="DI67" s="46"/>
      <c r="DJ67" s="46"/>
      <c r="DK67" s="46"/>
      <c r="DL67" s="46"/>
      <c r="DM67" s="46"/>
      <c r="DN67" s="46"/>
      <c r="DO67" s="46"/>
      <c r="DP67" s="46"/>
      <c r="DQ67" s="46"/>
      <c r="DR67" s="46"/>
      <c r="DS67" s="46"/>
      <c r="DT67" s="46"/>
      <c r="DU67" s="46"/>
      <c r="DV67" s="46"/>
      <c r="DW67" s="46"/>
      <c r="DX67" s="46"/>
      <c r="DY67" s="46"/>
      <c r="DZ67" s="46"/>
      <c r="EA67" s="46"/>
      <c r="EB67" s="46"/>
      <c r="EC67" s="46"/>
      <c r="ED67" s="46"/>
      <c r="EE67" s="46"/>
      <c r="EF67" s="46"/>
      <c r="EG67" s="46"/>
      <c r="EH67" s="46"/>
      <c r="EI67" s="46"/>
      <c r="EJ67" s="46"/>
      <c r="EK67" s="46"/>
      <c r="EL67" s="46"/>
      <c r="EM67" s="46"/>
      <c r="EN67" s="46"/>
      <c r="EO67" s="46"/>
      <c r="EP67" s="46"/>
      <c r="EQ67" s="46"/>
      <c r="ER67" s="3"/>
      <c r="ES67" s="3"/>
      <c r="ET67" s="3"/>
    </row>
    <row r="68" spans="4:150" ht="15.75" customHeight="1" x14ac:dyDescent="0.25">
      <c r="D68" s="44"/>
      <c r="E68" s="44"/>
      <c r="F68" s="45"/>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46"/>
      <c r="CP68" s="46"/>
      <c r="CQ68" s="46"/>
      <c r="CR68" s="46"/>
      <c r="CS68" s="46"/>
      <c r="CT68" s="46"/>
      <c r="CU68" s="46"/>
      <c r="CV68" s="46"/>
      <c r="CW68" s="46"/>
      <c r="CX68" s="46"/>
      <c r="CY68" s="46"/>
      <c r="CZ68" s="46"/>
      <c r="DA68" s="46"/>
      <c r="DB68" s="46"/>
      <c r="DC68" s="46"/>
      <c r="DD68" s="46"/>
      <c r="DE68" s="46"/>
      <c r="DF68" s="46"/>
      <c r="DG68" s="46"/>
      <c r="DH68" s="46"/>
      <c r="DI68" s="46"/>
      <c r="DJ68" s="46"/>
      <c r="DK68" s="46"/>
      <c r="DL68" s="46"/>
      <c r="DM68" s="46"/>
      <c r="DN68" s="46"/>
      <c r="DO68" s="46"/>
      <c r="DP68" s="46"/>
      <c r="DQ68" s="46"/>
      <c r="DR68" s="46"/>
      <c r="DS68" s="46"/>
      <c r="DT68" s="46"/>
      <c r="DU68" s="46"/>
      <c r="DV68" s="46"/>
      <c r="DW68" s="46"/>
      <c r="DX68" s="46"/>
      <c r="DY68" s="46"/>
      <c r="DZ68" s="46"/>
      <c r="EA68" s="46"/>
      <c r="EB68" s="46"/>
      <c r="EC68" s="46"/>
      <c r="ED68" s="46"/>
      <c r="EE68" s="46"/>
      <c r="EF68" s="46"/>
      <c r="EG68" s="46"/>
      <c r="EH68" s="46"/>
      <c r="EI68" s="46"/>
      <c r="EJ68" s="46"/>
      <c r="EK68" s="46"/>
      <c r="EL68" s="46"/>
      <c r="EM68" s="46"/>
      <c r="EN68" s="46"/>
      <c r="EO68" s="46"/>
      <c r="EP68" s="46"/>
      <c r="EQ68" s="46"/>
      <c r="ER68" s="3"/>
      <c r="ES68" s="3"/>
      <c r="ET68" s="3"/>
    </row>
    <row r="69" spans="4:150" ht="15.75" customHeight="1" x14ac:dyDescent="0.25">
      <c r="D69" s="44"/>
      <c r="E69" s="44"/>
      <c r="F69" s="45"/>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6"/>
      <c r="DD69" s="46"/>
      <c r="DE69" s="46"/>
      <c r="DF69" s="46"/>
      <c r="DG69" s="46"/>
      <c r="DH69" s="46"/>
      <c r="DI69" s="46"/>
      <c r="DJ69" s="46"/>
      <c r="DK69" s="46"/>
      <c r="DL69" s="46"/>
      <c r="DM69" s="46"/>
      <c r="DN69" s="46"/>
      <c r="DO69" s="46"/>
      <c r="DP69" s="46"/>
      <c r="DQ69" s="46"/>
      <c r="DR69" s="46"/>
      <c r="DS69" s="46"/>
      <c r="DT69" s="46"/>
      <c r="DU69" s="46"/>
      <c r="DV69" s="46"/>
      <c r="DW69" s="46"/>
      <c r="DX69" s="46"/>
      <c r="DY69" s="46"/>
      <c r="DZ69" s="46"/>
      <c r="EA69" s="46"/>
      <c r="EB69" s="46"/>
      <c r="EC69" s="46"/>
      <c r="ED69" s="46"/>
      <c r="EE69" s="46"/>
      <c r="EF69" s="46"/>
      <c r="EG69" s="46"/>
      <c r="EH69" s="46"/>
      <c r="EI69" s="46"/>
      <c r="EJ69" s="46"/>
      <c r="EK69" s="46"/>
      <c r="EL69" s="46"/>
      <c r="EM69" s="46"/>
      <c r="EN69" s="46"/>
      <c r="EO69" s="46"/>
      <c r="EP69" s="46"/>
      <c r="EQ69" s="46"/>
      <c r="ER69" s="3"/>
      <c r="ES69" s="3"/>
      <c r="ET69" s="3"/>
    </row>
    <row r="70" spans="4:150" ht="15.75" customHeight="1" x14ac:dyDescent="0.25">
      <c r="D70" s="44"/>
      <c r="E70" s="44"/>
      <c r="F70" s="45"/>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46"/>
      <c r="CL70" s="46"/>
      <c r="CM70" s="46"/>
      <c r="CN70" s="46"/>
      <c r="CO70" s="46"/>
      <c r="CP70" s="46"/>
      <c r="CQ70" s="46"/>
      <c r="CR70" s="46"/>
      <c r="CS70" s="46"/>
      <c r="CT70" s="46"/>
      <c r="CU70" s="46"/>
      <c r="CV70" s="46"/>
      <c r="CW70" s="46"/>
      <c r="CX70" s="46"/>
      <c r="CY70" s="46"/>
      <c r="CZ70" s="46"/>
      <c r="DA70" s="46"/>
      <c r="DB70" s="46"/>
      <c r="DC70" s="46"/>
      <c r="DD70" s="46"/>
      <c r="DE70" s="46"/>
      <c r="DF70" s="46"/>
      <c r="DG70" s="46"/>
      <c r="DH70" s="46"/>
      <c r="DI70" s="46"/>
      <c r="DJ70" s="46"/>
      <c r="DK70" s="46"/>
      <c r="DL70" s="46"/>
      <c r="DM70" s="46"/>
      <c r="DN70" s="46"/>
      <c r="DO70" s="46"/>
      <c r="DP70" s="46"/>
      <c r="DQ70" s="46"/>
      <c r="DR70" s="46"/>
      <c r="DS70" s="46"/>
      <c r="DT70" s="46"/>
      <c r="DU70" s="46"/>
      <c r="DV70" s="46"/>
      <c r="DW70" s="46"/>
      <c r="DX70" s="46"/>
      <c r="DY70" s="46"/>
      <c r="DZ70" s="46"/>
      <c r="EA70" s="46"/>
      <c r="EB70" s="46"/>
      <c r="EC70" s="46"/>
      <c r="ED70" s="46"/>
      <c r="EE70" s="46"/>
      <c r="EF70" s="46"/>
      <c r="EG70" s="46"/>
      <c r="EH70" s="46"/>
      <c r="EI70" s="46"/>
      <c r="EJ70" s="46"/>
      <c r="EK70" s="46"/>
      <c r="EL70" s="46"/>
      <c r="EM70" s="46"/>
      <c r="EN70" s="46"/>
      <c r="EO70" s="46"/>
      <c r="EP70" s="46"/>
      <c r="EQ70" s="46"/>
      <c r="ER70" s="3"/>
      <c r="ES70" s="3"/>
      <c r="ET70" s="3"/>
    </row>
    <row r="71" spans="4:150" ht="15.75" customHeight="1" x14ac:dyDescent="0.25">
      <c r="D71" s="44"/>
      <c r="E71" s="44"/>
      <c r="F71" s="45"/>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c r="DG71" s="46"/>
      <c r="DH71" s="46"/>
      <c r="DI71" s="46"/>
      <c r="DJ71" s="46"/>
      <c r="DK71" s="46"/>
      <c r="DL71" s="46"/>
      <c r="DM71" s="46"/>
      <c r="DN71" s="46"/>
      <c r="DO71" s="46"/>
      <c r="DP71" s="46"/>
      <c r="DQ71" s="46"/>
      <c r="DR71" s="46"/>
      <c r="DS71" s="46"/>
      <c r="DT71" s="46"/>
      <c r="DU71" s="46"/>
      <c r="DV71" s="46"/>
      <c r="DW71" s="46"/>
      <c r="DX71" s="46"/>
      <c r="DY71" s="46"/>
      <c r="DZ71" s="46"/>
      <c r="EA71" s="46"/>
      <c r="EB71" s="46"/>
      <c r="EC71" s="46"/>
      <c r="ED71" s="46"/>
      <c r="EE71" s="46"/>
      <c r="EF71" s="46"/>
      <c r="EG71" s="46"/>
      <c r="EH71" s="46"/>
      <c r="EI71" s="46"/>
      <c r="EJ71" s="46"/>
      <c r="EK71" s="46"/>
      <c r="EL71" s="46"/>
      <c r="EM71" s="46"/>
      <c r="EN71" s="46"/>
      <c r="EO71" s="46"/>
      <c r="EP71" s="46"/>
      <c r="EQ71" s="46"/>
      <c r="ER71" s="3"/>
      <c r="ES71" s="3"/>
      <c r="ET71" s="3"/>
    </row>
    <row r="72" spans="4:150" ht="15.75" customHeight="1" x14ac:dyDescent="0.25">
      <c r="D72" s="44"/>
      <c r="E72" s="44"/>
      <c r="F72" s="45"/>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46"/>
      <c r="CL72" s="46"/>
      <c r="CM72" s="46"/>
      <c r="CN72" s="46"/>
      <c r="CO72" s="46"/>
      <c r="CP72" s="46"/>
      <c r="CQ72" s="46"/>
      <c r="CR72" s="46"/>
      <c r="CS72" s="46"/>
      <c r="CT72" s="46"/>
      <c r="CU72" s="46"/>
      <c r="CV72" s="46"/>
      <c r="CW72" s="46"/>
      <c r="CX72" s="46"/>
      <c r="CY72" s="46"/>
      <c r="CZ72" s="46"/>
      <c r="DA72" s="46"/>
      <c r="DB72" s="46"/>
      <c r="DC72" s="46"/>
      <c r="DD72" s="46"/>
      <c r="DE72" s="46"/>
      <c r="DF72" s="46"/>
      <c r="DG72" s="46"/>
      <c r="DH72" s="46"/>
      <c r="DI72" s="46"/>
      <c r="DJ72" s="46"/>
      <c r="DK72" s="46"/>
      <c r="DL72" s="46"/>
      <c r="DM72" s="46"/>
      <c r="DN72" s="46"/>
      <c r="DO72" s="46"/>
      <c r="DP72" s="46"/>
      <c r="DQ72" s="46"/>
      <c r="DR72" s="46"/>
      <c r="DS72" s="46"/>
      <c r="DT72" s="46"/>
      <c r="DU72" s="46"/>
      <c r="DV72" s="46"/>
      <c r="DW72" s="46"/>
      <c r="DX72" s="46"/>
      <c r="DY72" s="46"/>
      <c r="DZ72" s="46"/>
      <c r="EA72" s="46"/>
      <c r="EB72" s="46"/>
      <c r="EC72" s="46"/>
      <c r="ED72" s="46"/>
      <c r="EE72" s="46"/>
      <c r="EF72" s="46"/>
      <c r="EG72" s="46"/>
      <c r="EH72" s="46"/>
      <c r="EI72" s="46"/>
      <c r="EJ72" s="46"/>
      <c r="EK72" s="46"/>
      <c r="EL72" s="46"/>
      <c r="EM72" s="46"/>
      <c r="EN72" s="46"/>
      <c r="EO72" s="46"/>
      <c r="EP72" s="46"/>
      <c r="EQ72" s="46"/>
      <c r="ER72" s="3"/>
      <c r="ES72" s="3"/>
      <c r="ET72" s="3"/>
    </row>
    <row r="73" spans="4:150" ht="15.75" customHeight="1" x14ac:dyDescent="0.25">
      <c r="D73" s="44"/>
      <c r="E73" s="44"/>
      <c r="F73" s="45"/>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46"/>
      <c r="CL73" s="46"/>
      <c r="CM73" s="46"/>
      <c r="CN73" s="46"/>
      <c r="CO73" s="46"/>
      <c r="CP73" s="46"/>
      <c r="CQ73" s="46"/>
      <c r="CR73" s="46"/>
      <c r="CS73" s="46"/>
      <c r="CT73" s="46"/>
      <c r="CU73" s="46"/>
      <c r="CV73" s="46"/>
      <c r="CW73" s="46"/>
      <c r="CX73" s="46"/>
      <c r="CY73" s="46"/>
      <c r="CZ73" s="46"/>
      <c r="DA73" s="46"/>
      <c r="DB73" s="46"/>
      <c r="DC73" s="46"/>
      <c r="DD73" s="46"/>
      <c r="DE73" s="46"/>
      <c r="DF73" s="46"/>
      <c r="DG73" s="46"/>
      <c r="DH73" s="46"/>
      <c r="DI73" s="46"/>
      <c r="DJ73" s="46"/>
      <c r="DK73" s="46"/>
      <c r="DL73" s="46"/>
      <c r="DM73" s="46"/>
      <c r="DN73" s="46"/>
      <c r="DO73" s="46"/>
      <c r="DP73" s="46"/>
      <c r="DQ73" s="46"/>
      <c r="DR73" s="46"/>
      <c r="DS73" s="46"/>
      <c r="DT73" s="46"/>
      <c r="DU73" s="46"/>
      <c r="DV73" s="46"/>
      <c r="DW73" s="46"/>
      <c r="DX73" s="46"/>
      <c r="DY73" s="46"/>
      <c r="DZ73" s="46"/>
      <c r="EA73" s="46"/>
      <c r="EB73" s="46"/>
      <c r="EC73" s="46"/>
      <c r="ED73" s="46"/>
      <c r="EE73" s="46"/>
      <c r="EF73" s="46"/>
      <c r="EG73" s="46"/>
      <c r="EH73" s="46"/>
      <c r="EI73" s="46"/>
      <c r="EJ73" s="46"/>
      <c r="EK73" s="46"/>
      <c r="EL73" s="46"/>
      <c r="EM73" s="46"/>
      <c r="EN73" s="46"/>
      <c r="EO73" s="46"/>
      <c r="EP73" s="46"/>
      <c r="EQ73" s="46"/>
      <c r="ER73" s="3"/>
      <c r="ES73" s="3"/>
      <c r="ET73" s="3"/>
    </row>
    <row r="74" spans="4:150" ht="15.75" customHeight="1" x14ac:dyDescent="0.25">
      <c r="D74" s="44"/>
      <c r="E74" s="44"/>
      <c r="F74" s="45"/>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46"/>
      <c r="CL74" s="46"/>
      <c r="CM74" s="46"/>
      <c r="CN74" s="46"/>
      <c r="CO74" s="46"/>
      <c r="CP74" s="46"/>
      <c r="CQ74" s="46"/>
      <c r="CR74" s="46"/>
      <c r="CS74" s="46"/>
      <c r="CT74" s="46"/>
      <c r="CU74" s="46"/>
      <c r="CV74" s="46"/>
      <c r="CW74" s="46"/>
      <c r="CX74" s="46"/>
      <c r="CY74" s="46"/>
      <c r="CZ74" s="46"/>
      <c r="DA74" s="46"/>
      <c r="DB74" s="46"/>
      <c r="DC74" s="46"/>
      <c r="DD74" s="46"/>
      <c r="DE74" s="46"/>
      <c r="DF74" s="46"/>
      <c r="DG74" s="46"/>
      <c r="DH74" s="46"/>
      <c r="DI74" s="46"/>
      <c r="DJ74" s="46"/>
      <c r="DK74" s="46"/>
      <c r="DL74" s="46"/>
      <c r="DM74" s="46"/>
      <c r="DN74" s="46"/>
      <c r="DO74" s="46"/>
      <c r="DP74" s="46"/>
      <c r="DQ74" s="46"/>
      <c r="DR74" s="46"/>
      <c r="DS74" s="46"/>
      <c r="DT74" s="46"/>
      <c r="DU74" s="46"/>
      <c r="DV74" s="46"/>
      <c r="DW74" s="46"/>
      <c r="DX74" s="46"/>
      <c r="DY74" s="46"/>
      <c r="DZ74" s="46"/>
      <c r="EA74" s="46"/>
      <c r="EB74" s="46"/>
      <c r="EC74" s="46"/>
      <c r="ED74" s="46"/>
      <c r="EE74" s="46"/>
      <c r="EF74" s="46"/>
      <c r="EG74" s="46"/>
      <c r="EH74" s="46"/>
      <c r="EI74" s="46"/>
      <c r="EJ74" s="46"/>
      <c r="EK74" s="46"/>
      <c r="EL74" s="46"/>
      <c r="EM74" s="46"/>
      <c r="EN74" s="46"/>
      <c r="EO74" s="46"/>
      <c r="EP74" s="46"/>
      <c r="EQ74" s="46"/>
      <c r="ER74" s="3"/>
      <c r="ES74" s="3"/>
      <c r="ET74" s="3"/>
    </row>
    <row r="75" spans="4:150" ht="15.75" customHeight="1" x14ac:dyDescent="0.25">
      <c r="D75" s="44"/>
      <c r="E75" s="44"/>
      <c r="F75" s="45"/>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46"/>
      <c r="CL75" s="46"/>
      <c r="CM75" s="46"/>
      <c r="CN75" s="46"/>
      <c r="CO75" s="46"/>
      <c r="CP75" s="46"/>
      <c r="CQ75" s="46"/>
      <c r="CR75" s="46"/>
      <c r="CS75" s="46"/>
      <c r="CT75" s="46"/>
      <c r="CU75" s="46"/>
      <c r="CV75" s="46"/>
      <c r="CW75" s="46"/>
      <c r="CX75" s="46"/>
      <c r="CY75" s="46"/>
      <c r="CZ75" s="46"/>
      <c r="DA75" s="46"/>
      <c r="DB75" s="46"/>
      <c r="DC75" s="46"/>
      <c r="DD75" s="46"/>
      <c r="DE75" s="46"/>
      <c r="DF75" s="46"/>
      <c r="DG75" s="46"/>
      <c r="DH75" s="46"/>
      <c r="DI75" s="46"/>
      <c r="DJ75" s="46"/>
      <c r="DK75" s="46"/>
      <c r="DL75" s="46"/>
      <c r="DM75" s="46"/>
      <c r="DN75" s="46"/>
      <c r="DO75" s="46"/>
      <c r="DP75" s="46"/>
      <c r="DQ75" s="46"/>
      <c r="DR75" s="46"/>
      <c r="DS75" s="46"/>
      <c r="DT75" s="46"/>
      <c r="DU75" s="46"/>
      <c r="DV75" s="46"/>
      <c r="DW75" s="46"/>
      <c r="DX75" s="46"/>
      <c r="DY75" s="46"/>
      <c r="DZ75" s="46"/>
      <c r="EA75" s="46"/>
      <c r="EB75" s="46"/>
      <c r="EC75" s="46"/>
      <c r="ED75" s="46"/>
      <c r="EE75" s="46"/>
      <c r="EF75" s="46"/>
      <c r="EG75" s="46"/>
      <c r="EH75" s="46"/>
      <c r="EI75" s="46"/>
      <c r="EJ75" s="46"/>
      <c r="EK75" s="46"/>
      <c r="EL75" s="46"/>
      <c r="EM75" s="46"/>
      <c r="EN75" s="46"/>
      <c r="EO75" s="46"/>
      <c r="EP75" s="46"/>
      <c r="EQ75" s="46"/>
      <c r="ER75" s="3"/>
      <c r="ES75" s="3"/>
      <c r="ET75" s="3"/>
    </row>
    <row r="76" spans="4:150" ht="15.75" customHeight="1" x14ac:dyDescent="0.25">
      <c r="D76" s="44"/>
      <c r="E76" s="44"/>
      <c r="F76" s="45"/>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46"/>
      <c r="CL76" s="46"/>
      <c r="CM76" s="46"/>
      <c r="CN76" s="46"/>
      <c r="CO76" s="46"/>
      <c r="CP76" s="46"/>
      <c r="CQ76" s="46"/>
      <c r="CR76" s="46"/>
      <c r="CS76" s="46"/>
      <c r="CT76" s="46"/>
      <c r="CU76" s="46"/>
      <c r="CV76" s="46"/>
      <c r="CW76" s="46"/>
      <c r="CX76" s="46"/>
      <c r="CY76" s="46"/>
      <c r="CZ76" s="46"/>
      <c r="DA76" s="46"/>
      <c r="DB76" s="46"/>
      <c r="DC76" s="46"/>
      <c r="DD76" s="46"/>
      <c r="DE76" s="46"/>
      <c r="DF76" s="46"/>
      <c r="DG76" s="46"/>
      <c r="DH76" s="46"/>
      <c r="DI76" s="46"/>
      <c r="DJ76" s="46"/>
      <c r="DK76" s="46"/>
      <c r="DL76" s="46"/>
      <c r="DM76" s="46"/>
      <c r="DN76" s="46"/>
      <c r="DO76" s="46"/>
      <c r="DP76" s="46"/>
      <c r="DQ76" s="46"/>
      <c r="DR76" s="46"/>
      <c r="DS76" s="46"/>
      <c r="DT76" s="46"/>
      <c r="DU76" s="46"/>
      <c r="DV76" s="46"/>
      <c r="DW76" s="46"/>
      <c r="DX76" s="46"/>
      <c r="DY76" s="46"/>
      <c r="DZ76" s="46"/>
      <c r="EA76" s="46"/>
      <c r="EB76" s="46"/>
      <c r="EC76" s="46"/>
      <c r="ED76" s="46"/>
      <c r="EE76" s="46"/>
      <c r="EF76" s="46"/>
      <c r="EG76" s="46"/>
      <c r="EH76" s="46"/>
      <c r="EI76" s="46"/>
      <c r="EJ76" s="46"/>
      <c r="EK76" s="46"/>
      <c r="EL76" s="46"/>
      <c r="EM76" s="46"/>
      <c r="EN76" s="46"/>
      <c r="EO76" s="46"/>
      <c r="EP76" s="46"/>
      <c r="EQ76" s="46"/>
      <c r="ER76" s="3"/>
      <c r="ES76" s="3"/>
      <c r="ET76" s="3"/>
    </row>
    <row r="77" spans="4:150" ht="15.75" customHeight="1" x14ac:dyDescent="0.25">
      <c r="D77" s="44"/>
      <c r="E77" s="44"/>
      <c r="F77" s="45"/>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46"/>
      <c r="CK77" s="46"/>
      <c r="CL77" s="46"/>
      <c r="CM77" s="46"/>
      <c r="CN77" s="46"/>
      <c r="CO77" s="46"/>
      <c r="CP77" s="46"/>
      <c r="CQ77" s="46"/>
      <c r="CR77" s="46"/>
      <c r="CS77" s="46"/>
      <c r="CT77" s="46"/>
      <c r="CU77" s="46"/>
      <c r="CV77" s="46"/>
      <c r="CW77" s="46"/>
      <c r="CX77" s="46"/>
      <c r="CY77" s="46"/>
      <c r="CZ77" s="46"/>
      <c r="DA77" s="46"/>
      <c r="DB77" s="46"/>
      <c r="DC77" s="46"/>
      <c r="DD77" s="46"/>
      <c r="DE77" s="46"/>
      <c r="DF77" s="46"/>
      <c r="DG77" s="46"/>
      <c r="DH77" s="46"/>
      <c r="DI77" s="46"/>
      <c r="DJ77" s="46"/>
      <c r="DK77" s="46"/>
      <c r="DL77" s="46"/>
      <c r="DM77" s="46"/>
      <c r="DN77" s="46"/>
      <c r="DO77" s="46"/>
      <c r="DP77" s="46"/>
      <c r="DQ77" s="46"/>
      <c r="DR77" s="46"/>
      <c r="DS77" s="46"/>
      <c r="DT77" s="46"/>
      <c r="DU77" s="46"/>
      <c r="DV77" s="46"/>
      <c r="DW77" s="46"/>
      <c r="DX77" s="46"/>
      <c r="DY77" s="46"/>
      <c r="DZ77" s="46"/>
      <c r="EA77" s="46"/>
      <c r="EB77" s="46"/>
      <c r="EC77" s="46"/>
      <c r="ED77" s="46"/>
      <c r="EE77" s="46"/>
      <c r="EF77" s="46"/>
      <c r="EG77" s="46"/>
      <c r="EH77" s="46"/>
      <c r="EI77" s="46"/>
      <c r="EJ77" s="46"/>
      <c r="EK77" s="46"/>
      <c r="EL77" s="46"/>
      <c r="EM77" s="46"/>
      <c r="EN77" s="46"/>
      <c r="EO77" s="46"/>
      <c r="EP77" s="46"/>
      <c r="EQ77" s="46"/>
      <c r="ER77" s="3"/>
      <c r="ES77" s="3"/>
      <c r="ET77" s="3"/>
    </row>
    <row r="78" spans="4:150" ht="15.75" customHeight="1" x14ac:dyDescent="0.25">
      <c r="D78" s="44"/>
      <c r="E78" s="44"/>
      <c r="F78" s="45"/>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46"/>
      <c r="CL78" s="46"/>
      <c r="CM78" s="46"/>
      <c r="CN78" s="46"/>
      <c r="CO78" s="46"/>
      <c r="CP78" s="46"/>
      <c r="CQ78" s="46"/>
      <c r="CR78" s="46"/>
      <c r="CS78" s="46"/>
      <c r="CT78" s="46"/>
      <c r="CU78" s="46"/>
      <c r="CV78" s="46"/>
      <c r="CW78" s="46"/>
      <c r="CX78" s="46"/>
      <c r="CY78" s="46"/>
      <c r="CZ78" s="46"/>
      <c r="DA78" s="46"/>
      <c r="DB78" s="46"/>
      <c r="DC78" s="46"/>
      <c r="DD78" s="46"/>
      <c r="DE78" s="46"/>
      <c r="DF78" s="46"/>
      <c r="DG78" s="46"/>
      <c r="DH78" s="46"/>
      <c r="DI78" s="46"/>
      <c r="DJ78" s="46"/>
      <c r="DK78" s="46"/>
      <c r="DL78" s="46"/>
      <c r="DM78" s="46"/>
      <c r="DN78" s="46"/>
      <c r="DO78" s="46"/>
      <c r="DP78" s="46"/>
      <c r="DQ78" s="46"/>
      <c r="DR78" s="46"/>
      <c r="DS78" s="46"/>
      <c r="DT78" s="46"/>
      <c r="DU78" s="46"/>
      <c r="DV78" s="46"/>
      <c r="DW78" s="46"/>
      <c r="DX78" s="46"/>
      <c r="DY78" s="46"/>
      <c r="DZ78" s="46"/>
      <c r="EA78" s="46"/>
      <c r="EB78" s="46"/>
      <c r="EC78" s="46"/>
      <c r="ED78" s="46"/>
      <c r="EE78" s="46"/>
      <c r="EF78" s="46"/>
      <c r="EG78" s="46"/>
      <c r="EH78" s="46"/>
      <c r="EI78" s="46"/>
      <c r="EJ78" s="46"/>
      <c r="EK78" s="46"/>
      <c r="EL78" s="46"/>
      <c r="EM78" s="46"/>
      <c r="EN78" s="46"/>
      <c r="EO78" s="46"/>
      <c r="EP78" s="46"/>
      <c r="EQ78" s="46"/>
      <c r="ER78" s="3"/>
      <c r="ES78" s="3"/>
      <c r="ET78" s="3"/>
    </row>
    <row r="79" spans="4:150" ht="15.75" customHeight="1" x14ac:dyDescent="0.25">
      <c r="D79" s="44"/>
      <c r="E79" s="44"/>
      <c r="F79" s="45"/>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46"/>
      <c r="CL79" s="46"/>
      <c r="CM79" s="46"/>
      <c r="CN79" s="46"/>
      <c r="CO79" s="46"/>
      <c r="CP79" s="46"/>
      <c r="CQ79" s="46"/>
      <c r="CR79" s="46"/>
      <c r="CS79" s="46"/>
      <c r="CT79" s="46"/>
      <c r="CU79" s="46"/>
      <c r="CV79" s="46"/>
      <c r="CW79" s="46"/>
      <c r="CX79" s="46"/>
      <c r="CY79" s="46"/>
      <c r="CZ79" s="46"/>
      <c r="DA79" s="46"/>
      <c r="DB79" s="46"/>
      <c r="DC79" s="46"/>
      <c r="DD79" s="46"/>
      <c r="DE79" s="46"/>
      <c r="DF79" s="46"/>
      <c r="DG79" s="46"/>
      <c r="DH79" s="46"/>
      <c r="DI79" s="46"/>
      <c r="DJ79" s="46"/>
      <c r="DK79" s="46"/>
      <c r="DL79" s="46"/>
      <c r="DM79" s="46"/>
      <c r="DN79" s="46"/>
      <c r="DO79" s="46"/>
      <c r="DP79" s="46"/>
      <c r="DQ79" s="46"/>
      <c r="DR79" s="46"/>
      <c r="DS79" s="46"/>
      <c r="DT79" s="46"/>
      <c r="DU79" s="46"/>
      <c r="DV79" s="46"/>
      <c r="DW79" s="46"/>
      <c r="DX79" s="46"/>
      <c r="DY79" s="46"/>
      <c r="DZ79" s="46"/>
      <c r="EA79" s="46"/>
      <c r="EB79" s="46"/>
      <c r="EC79" s="46"/>
      <c r="ED79" s="46"/>
      <c r="EE79" s="46"/>
      <c r="EF79" s="46"/>
      <c r="EG79" s="46"/>
      <c r="EH79" s="46"/>
      <c r="EI79" s="46"/>
      <c r="EJ79" s="46"/>
      <c r="EK79" s="46"/>
      <c r="EL79" s="46"/>
      <c r="EM79" s="46"/>
      <c r="EN79" s="46"/>
      <c r="EO79" s="46"/>
      <c r="EP79" s="46"/>
      <c r="EQ79" s="46"/>
      <c r="ER79" s="3"/>
      <c r="ES79" s="3"/>
      <c r="ET79" s="3"/>
    </row>
    <row r="80" spans="4:150" ht="15.75" customHeight="1" x14ac:dyDescent="0.25">
      <c r="D80" s="44"/>
      <c r="E80" s="44"/>
      <c r="F80" s="45"/>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46"/>
      <c r="CL80" s="46"/>
      <c r="CM80" s="46"/>
      <c r="CN80" s="46"/>
      <c r="CO80" s="46"/>
      <c r="CP80" s="46"/>
      <c r="CQ80" s="46"/>
      <c r="CR80" s="46"/>
      <c r="CS80" s="46"/>
      <c r="CT80" s="46"/>
      <c r="CU80" s="46"/>
      <c r="CV80" s="46"/>
      <c r="CW80" s="46"/>
      <c r="CX80" s="46"/>
      <c r="CY80" s="46"/>
      <c r="CZ80" s="46"/>
      <c r="DA80" s="46"/>
      <c r="DB80" s="46"/>
      <c r="DC80" s="46"/>
      <c r="DD80" s="46"/>
      <c r="DE80" s="46"/>
      <c r="DF80" s="46"/>
      <c r="DG80" s="46"/>
      <c r="DH80" s="46"/>
      <c r="DI80" s="46"/>
      <c r="DJ80" s="46"/>
      <c r="DK80" s="46"/>
      <c r="DL80" s="46"/>
      <c r="DM80" s="46"/>
      <c r="DN80" s="46"/>
      <c r="DO80" s="46"/>
      <c r="DP80" s="46"/>
      <c r="DQ80" s="46"/>
      <c r="DR80" s="46"/>
      <c r="DS80" s="46"/>
      <c r="DT80" s="46"/>
      <c r="DU80" s="46"/>
      <c r="DV80" s="46"/>
      <c r="DW80" s="46"/>
      <c r="DX80" s="46"/>
      <c r="DY80" s="46"/>
      <c r="DZ80" s="46"/>
      <c r="EA80" s="46"/>
      <c r="EB80" s="46"/>
      <c r="EC80" s="46"/>
      <c r="ED80" s="46"/>
      <c r="EE80" s="46"/>
      <c r="EF80" s="46"/>
      <c r="EG80" s="46"/>
      <c r="EH80" s="46"/>
      <c r="EI80" s="46"/>
      <c r="EJ80" s="46"/>
      <c r="EK80" s="46"/>
      <c r="EL80" s="46"/>
      <c r="EM80" s="46"/>
      <c r="EN80" s="46"/>
      <c r="EO80" s="46"/>
      <c r="EP80" s="46"/>
      <c r="EQ80" s="46"/>
      <c r="ER80" s="3"/>
      <c r="ES80" s="3"/>
      <c r="ET80" s="3"/>
    </row>
    <row r="81" spans="4:150" ht="15.75" customHeight="1" x14ac:dyDescent="0.25">
      <c r="D81" s="44"/>
      <c r="E81" s="44"/>
      <c r="F81" s="45"/>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46"/>
      <c r="CK81" s="46"/>
      <c r="CL81" s="46"/>
      <c r="CM81" s="46"/>
      <c r="CN81" s="46"/>
      <c r="CO81" s="46"/>
      <c r="CP81" s="46"/>
      <c r="CQ81" s="46"/>
      <c r="CR81" s="46"/>
      <c r="CS81" s="46"/>
      <c r="CT81" s="46"/>
      <c r="CU81" s="46"/>
      <c r="CV81" s="46"/>
      <c r="CW81" s="46"/>
      <c r="CX81" s="46"/>
      <c r="CY81" s="46"/>
      <c r="CZ81" s="46"/>
      <c r="DA81" s="46"/>
      <c r="DB81" s="46"/>
      <c r="DC81" s="46"/>
      <c r="DD81" s="46"/>
      <c r="DE81" s="46"/>
      <c r="DF81" s="46"/>
      <c r="DG81" s="46"/>
      <c r="DH81" s="46"/>
      <c r="DI81" s="46"/>
      <c r="DJ81" s="46"/>
      <c r="DK81" s="46"/>
      <c r="DL81" s="46"/>
      <c r="DM81" s="46"/>
      <c r="DN81" s="46"/>
      <c r="DO81" s="46"/>
      <c r="DP81" s="46"/>
      <c r="DQ81" s="46"/>
      <c r="DR81" s="46"/>
      <c r="DS81" s="46"/>
      <c r="DT81" s="46"/>
      <c r="DU81" s="46"/>
      <c r="DV81" s="46"/>
      <c r="DW81" s="46"/>
      <c r="DX81" s="46"/>
      <c r="DY81" s="46"/>
      <c r="DZ81" s="46"/>
      <c r="EA81" s="46"/>
      <c r="EB81" s="46"/>
      <c r="EC81" s="46"/>
      <c r="ED81" s="46"/>
      <c r="EE81" s="46"/>
      <c r="EF81" s="46"/>
      <c r="EG81" s="46"/>
      <c r="EH81" s="46"/>
      <c r="EI81" s="46"/>
      <c r="EJ81" s="46"/>
      <c r="EK81" s="46"/>
      <c r="EL81" s="46"/>
      <c r="EM81" s="46"/>
      <c r="EN81" s="46"/>
      <c r="EO81" s="46"/>
      <c r="EP81" s="46"/>
      <c r="EQ81" s="46"/>
      <c r="ER81" s="3"/>
      <c r="ES81" s="3"/>
      <c r="ET81" s="3"/>
    </row>
    <row r="82" spans="4:150" ht="15.75" customHeight="1" x14ac:dyDescent="0.25">
      <c r="D82" s="44"/>
      <c r="E82" s="44"/>
      <c r="F82" s="45"/>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46"/>
      <c r="CL82" s="46"/>
      <c r="CM82" s="46"/>
      <c r="CN82" s="46"/>
      <c r="CO82" s="46"/>
      <c r="CP82" s="46"/>
      <c r="CQ82" s="46"/>
      <c r="CR82" s="46"/>
      <c r="CS82" s="46"/>
      <c r="CT82" s="46"/>
      <c r="CU82" s="46"/>
      <c r="CV82" s="46"/>
      <c r="CW82" s="46"/>
      <c r="CX82" s="46"/>
      <c r="CY82" s="46"/>
      <c r="CZ82" s="46"/>
      <c r="DA82" s="46"/>
      <c r="DB82" s="46"/>
      <c r="DC82" s="46"/>
      <c r="DD82" s="46"/>
      <c r="DE82" s="46"/>
      <c r="DF82" s="46"/>
      <c r="DG82" s="46"/>
      <c r="DH82" s="46"/>
      <c r="DI82" s="46"/>
      <c r="DJ82" s="46"/>
      <c r="DK82" s="46"/>
      <c r="DL82" s="46"/>
      <c r="DM82" s="46"/>
      <c r="DN82" s="46"/>
      <c r="DO82" s="46"/>
      <c r="DP82" s="46"/>
      <c r="DQ82" s="46"/>
      <c r="DR82" s="46"/>
      <c r="DS82" s="46"/>
      <c r="DT82" s="46"/>
      <c r="DU82" s="46"/>
      <c r="DV82" s="46"/>
      <c r="DW82" s="46"/>
      <c r="DX82" s="46"/>
      <c r="DY82" s="46"/>
      <c r="DZ82" s="46"/>
      <c r="EA82" s="46"/>
      <c r="EB82" s="46"/>
      <c r="EC82" s="46"/>
      <c r="ED82" s="46"/>
      <c r="EE82" s="46"/>
      <c r="EF82" s="46"/>
      <c r="EG82" s="46"/>
      <c r="EH82" s="46"/>
      <c r="EI82" s="46"/>
      <c r="EJ82" s="46"/>
      <c r="EK82" s="46"/>
      <c r="EL82" s="46"/>
      <c r="EM82" s="46"/>
      <c r="EN82" s="46"/>
      <c r="EO82" s="46"/>
      <c r="EP82" s="46"/>
      <c r="EQ82" s="46"/>
      <c r="ER82" s="3"/>
      <c r="ES82" s="3"/>
      <c r="ET82" s="3"/>
    </row>
    <row r="83" spans="4:150" ht="15.75" customHeight="1" x14ac:dyDescent="0.25">
      <c r="D83" s="44"/>
      <c r="E83" s="44"/>
      <c r="F83" s="45"/>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46"/>
      <c r="CK83" s="46"/>
      <c r="CL83" s="46"/>
      <c r="CM83" s="46"/>
      <c r="CN83" s="46"/>
      <c r="CO83" s="46"/>
      <c r="CP83" s="46"/>
      <c r="CQ83" s="46"/>
      <c r="CR83" s="46"/>
      <c r="CS83" s="46"/>
      <c r="CT83" s="46"/>
      <c r="CU83" s="46"/>
      <c r="CV83" s="46"/>
      <c r="CW83" s="46"/>
      <c r="CX83" s="46"/>
      <c r="CY83" s="46"/>
      <c r="CZ83" s="46"/>
      <c r="DA83" s="46"/>
      <c r="DB83" s="46"/>
      <c r="DC83" s="46"/>
      <c r="DD83" s="46"/>
      <c r="DE83" s="46"/>
      <c r="DF83" s="46"/>
      <c r="DG83" s="46"/>
      <c r="DH83" s="46"/>
      <c r="DI83" s="46"/>
      <c r="DJ83" s="46"/>
      <c r="DK83" s="46"/>
      <c r="DL83" s="46"/>
      <c r="DM83" s="46"/>
      <c r="DN83" s="46"/>
      <c r="DO83" s="46"/>
      <c r="DP83" s="46"/>
      <c r="DQ83" s="46"/>
      <c r="DR83" s="46"/>
      <c r="DS83" s="46"/>
      <c r="DT83" s="46"/>
      <c r="DU83" s="46"/>
      <c r="DV83" s="46"/>
      <c r="DW83" s="46"/>
      <c r="DX83" s="46"/>
      <c r="DY83" s="46"/>
      <c r="DZ83" s="46"/>
      <c r="EA83" s="46"/>
      <c r="EB83" s="46"/>
      <c r="EC83" s="46"/>
      <c r="ED83" s="46"/>
      <c r="EE83" s="46"/>
      <c r="EF83" s="46"/>
      <c r="EG83" s="46"/>
      <c r="EH83" s="46"/>
      <c r="EI83" s="46"/>
      <c r="EJ83" s="46"/>
      <c r="EK83" s="46"/>
      <c r="EL83" s="46"/>
      <c r="EM83" s="46"/>
      <c r="EN83" s="46"/>
      <c r="EO83" s="46"/>
      <c r="EP83" s="46"/>
      <c r="EQ83" s="46"/>
      <c r="ER83" s="3"/>
      <c r="ES83" s="3"/>
      <c r="ET83" s="3"/>
    </row>
    <row r="84" spans="4:150" ht="15.75" customHeight="1" x14ac:dyDescent="0.25">
      <c r="D84" s="44"/>
      <c r="E84" s="44"/>
      <c r="F84" s="45"/>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46"/>
      <c r="CK84" s="46"/>
      <c r="CL84" s="46"/>
      <c r="CM84" s="46"/>
      <c r="CN84" s="46"/>
      <c r="CO84" s="46"/>
      <c r="CP84" s="46"/>
      <c r="CQ84" s="46"/>
      <c r="CR84" s="46"/>
      <c r="CS84" s="46"/>
      <c r="CT84" s="46"/>
      <c r="CU84" s="46"/>
      <c r="CV84" s="46"/>
      <c r="CW84" s="46"/>
      <c r="CX84" s="46"/>
      <c r="CY84" s="46"/>
      <c r="CZ84" s="46"/>
      <c r="DA84" s="46"/>
      <c r="DB84" s="46"/>
      <c r="DC84" s="46"/>
      <c r="DD84" s="46"/>
      <c r="DE84" s="46"/>
      <c r="DF84" s="46"/>
      <c r="DG84" s="46"/>
      <c r="DH84" s="46"/>
      <c r="DI84" s="46"/>
      <c r="DJ84" s="46"/>
      <c r="DK84" s="46"/>
      <c r="DL84" s="46"/>
      <c r="DM84" s="46"/>
      <c r="DN84" s="46"/>
      <c r="DO84" s="46"/>
      <c r="DP84" s="46"/>
      <c r="DQ84" s="46"/>
      <c r="DR84" s="46"/>
      <c r="DS84" s="46"/>
      <c r="DT84" s="46"/>
      <c r="DU84" s="46"/>
      <c r="DV84" s="46"/>
      <c r="DW84" s="46"/>
      <c r="DX84" s="46"/>
      <c r="DY84" s="46"/>
      <c r="DZ84" s="46"/>
      <c r="EA84" s="46"/>
      <c r="EB84" s="46"/>
      <c r="EC84" s="46"/>
      <c r="ED84" s="46"/>
      <c r="EE84" s="46"/>
      <c r="EF84" s="46"/>
      <c r="EG84" s="46"/>
      <c r="EH84" s="46"/>
      <c r="EI84" s="46"/>
      <c r="EJ84" s="46"/>
      <c r="EK84" s="46"/>
      <c r="EL84" s="46"/>
      <c r="EM84" s="46"/>
      <c r="EN84" s="46"/>
      <c r="EO84" s="46"/>
      <c r="EP84" s="46"/>
      <c r="EQ84" s="46"/>
      <c r="ER84" s="3"/>
      <c r="ES84" s="3"/>
      <c r="ET84" s="3"/>
    </row>
    <row r="85" spans="4:150" ht="15.75" customHeight="1" x14ac:dyDescent="0.25">
      <c r="D85" s="44"/>
      <c r="E85" s="44"/>
      <c r="F85" s="45"/>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46"/>
      <c r="CL85" s="46"/>
      <c r="CM85" s="46"/>
      <c r="CN85" s="46"/>
      <c r="CO85" s="46"/>
      <c r="CP85" s="46"/>
      <c r="CQ85" s="46"/>
      <c r="CR85" s="46"/>
      <c r="CS85" s="46"/>
      <c r="CT85" s="46"/>
      <c r="CU85" s="46"/>
      <c r="CV85" s="46"/>
      <c r="CW85" s="46"/>
      <c r="CX85" s="46"/>
      <c r="CY85" s="46"/>
      <c r="CZ85" s="46"/>
      <c r="DA85" s="46"/>
      <c r="DB85" s="46"/>
      <c r="DC85" s="46"/>
      <c r="DD85" s="46"/>
      <c r="DE85" s="46"/>
      <c r="DF85" s="46"/>
      <c r="DG85" s="46"/>
      <c r="DH85" s="46"/>
      <c r="DI85" s="46"/>
      <c r="DJ85" s="46"/>
      <c r="DK85" s="46"/>
      <c r="DL85" s="46"/>
      <c r="DM85" s="46"/>
      <c r="DN85" s="46"/>
      <c r="DO85" s="46"/>
      <c r="DP85" s="46"/>
      <c r="DQ85" s="46"/>
      <c r="DR85" s="46"/>
      <c r="DS85" s="46"/>
      <c r="DT85" s="46"/>
      <c r="DU85" s="46"/>
      <c r="DV85" s="46"/>
      <c r="DW85" s="46"/>
      <c r="DX85" s="46"/>
      <c r="DY85" s="46"/>
      <c r="DZ85" s="46"/>
      <c r="EA85" s="46"/>
      <c r="EB85" s="46"/>
      <c r="EC85" s="46"/>
      <c r="ED85" s="46"/>
      <c r="EE85" s="46"/>
      <c r="EF85" s="46"/>
      <c r="EG85" s="46"/>
      <c r="EH85" s="46"/>
      <c r="EI85" s="46"/>
      <c r="EJ85" s="46"/>
      <c r="EK85" s="46"/>
      <c r="EL85" s="46"/>
      <c r="EM85" s="46"/>
      <c r="EN85" s="46"/>
      <c r="EO85" s="46"/>
      <c r="EP85" s="46"/>
      <c r="EQ85" s="46"/>
      <c r="ER85" s="3"/>
      <c r="ES85" s="3"/>
      <c r="ET85" s="3"/>
    </row>
    <row r="86" spans="4:150" ht="15.75" customHeight="1" x14ac:dyDescent="0.25">
      <c r="D86" s="44"/>
      <c r="E86" s="44"/>
      <c r="F86" s="45"/>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46"/>
      <c r="CL86" s="46"/>
      <c r="CM86" s="46"/>
      <c r="CN86" s="46"/>
      <c r="CO86" s="46"/>
      <c r="CP86" s="46"/>
      <c r="CQ86" s="46"/>
      <c r="CR86" s="46"/>
      <c r="CS86" s="46"/>
      <c r="CT86" s="46"/>
      <c r="CU86" s="46"/>
      <c r="CV86" s="46"/>
      <c r="CW86" s="46"/>
      <c r="CX86" s="46"/>
      <c r="CY86" s="46"/>
      <c r="CZ86" s="46"/>
      <c r="DA86" s="46"/>
      <c r="DB86" s="46"/>
      <c r="DC86" s="46"/>
      <c r="DD86" s="46"/>
      <c r="DE86" s="46"/>
      <c r="DF86" s="46"/>
      <c r="DG86" s="46"/>
      <c r="DH86" s="46"/>
      <c r="DI86" s="46"/>
      <c r="DJ86" s="46"/>
      <c r="DK86" s="46"/>
      <c r="DL86" s="46"/>
      <c r="DM86" s="46"/>
      <c r="DN86" s="46"/>
      <c r="DO86" s="46"/>
      <c r="DP86" s="46"/>
      <c r="DQ86" s="46"/>
      <c r="DR86" s="46"/>
      <c r="DS86" s="46"/>
      <c r="DT86" s="46"/>
      <c r="DU86" s="46"/>
      <c r="DV86" s="46"/>
      <c r="DW86" s="46"/>
      <c r="DX86" s="46"/>
      <c r="DY86" s="46"/>
      <c r="DZ86" s="46"/>
      <c r="EA86" s="46"/>
      <c r="EB86" s="46"/>
      <c r="EC86" s="46"/>
      <c r="ED86" s="46"/>
      <c r="EE86" s="46"/>
      <c r="EF86" s="46"/>
      <c r="EG86" s="46"/>
      <c r="EH86" s="46"/>
      <c r="EI86" s="46"/>
      <c r="EJ86" s="46"/>
      <c r="EK86" s="46"/>
      <c r="EL86" s="46"/>
      <c r="EM86" s="46"/>
      <c r="EN86" s="46"/>
      <c r="EO86" s="46"/>
      <c r="EP86" s="46"/>
      <c r="EQ86" s="46"/>
      <c r="ER86" s="3"/>
      <c r="ES86" s="3"/>
      <c r="ET86" s="3"/>
    </row>
    <row r="87" spans="4:150" ht="15.75" customHeight="1" x14ac:dyDescent="0.25">
      <c r="D87" s="44"/>
      <c r="E87" s="44"/>
      <c r="F87" s="45"/>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c r="DD87" s="46"/>
      <c r="DE87" s="46"/>
      <c r="DF87" s="46"/>
      <c r="DG87" s="46"/>
      <c r="DH87" s="46"/>
      <c r="DI87" s="46"/>
      <c r="DJ87" s="46"/>
      <c r="DK87" s="46"/>
      <c r="DL87" s="46"/>
      <c r="DM87" s="46"/>
      <c r="DN87" s="46"/>
      <c r="DO87" s="46"/>
      <c r="DP87" s="46"/>
      <c r="DQ87" s="46"/>
      <c r="DR87" s="46"/>
      <c r="DS87" s="46"/>
      <c r="DT87" s="46"/>
      <c r="DU87" s="46"/>
      <c r="DV87" s="46"/>
      <c r="DW87" s="46"/>
      <c r="DX87" s="46"/>
      <c r="DY87" s="46"/>
      <c r="DZ87" s="46"/>
      <c r="EA87" s="46"/>
      <c r="EB87" s="46"/>
      <c r="EC87" s="46"/>
      <c r="ED87" s="46"/>
      <c r="EE87" s="46"/>
      <c r="EF87" s="46"/>
      <c r="EG87" s="46"/>
      <c r="EH87" s="46"/>
      <c r="EI87" s="46"/>
      <c r="EJ87" s="46"/>
      <c r="EK87" s="46"/>
      <c r="EL87" s="46"/>
      <c r="EM87" s="46"/>
      <c r="EN87" s="46"/>
      <c r="EO87" s="46"/>
      <c r="EP87" s="46"/>
      <c r="EQ87" s="46"/>
      <c r="ER87" s="3"/>
      <c r="ES87" s="3"/>
      <c r="ET87" s="3"/>
    </row>
    <row r="88" spans="4:150" ht="15.75" customHeight="1" x14ac:dyDescent="0.25">
      <c r="D88" s="44"/>
      <c r="E88" s="44"/>
      <c r="F88" s="45"/>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c r="DD88" s="46"/>
      <c r="DE88" s="46"/>
      <c r="DF88" s="46"/>
      <c r="DG88" s="46"/>
      <c r="DH88" s="46"/>
      <c r="DI88" s="46"/>
      <c r="DJ88" s="46"/>
      <c r="DK88" s="46"/>
      <c r="DL88" s="46"/>
      <c r="DM88" s="46"/>
      <c r="DN88" s="46"/>
      <c r="DO88" s="46"/>
      <c r="DP88" s="46"/>
      <c r="DQ88" s="46"/>
      <c r="DR88" s="46"/>
      <c r="DS88" s="46"/>
      <c r="DT88" s="46"/>
      <c r="DU88" s="46"/>
      <c r="DV88" s="46"/>
      <c r="DW88" s="46"/>
      <c r="DX88" s="46"/>
      <c r="DY88" s="46"/>
      <c r="DZ88" s="46"/>
      <c r="EA88" s="46"/>
      <c r="EB88" s="46"/>
      <c r="EC88" s="46"/>
      <c r="ED88" s="46"/>
      <c r="EE88" s="46"/>
      <c r="EF88" s="46"/>
      <c r="EG88" s="46"/>
      <c r="EH88" s="46"/>
      <c r="EI88" s="46"/>
      <c r="EJ88" s="46"/>
      <c r="EK88" s="46"/>
      <c r="EL88" s="46"/>
      <c r="EM88" s="46"/>
      <c r="EN88" s="46"/>
      <c r="EO88" s="46"/>
      <c r="EP88" s="46"/>
      <c r="EQ88" s="46"/>
      <c r="ER88" s="3"/>
      <c r="ES88" s="3"/>
      <c r="ET88" s="3"/>
    </row>
    <row r="89" spans="4:150" ht="15.75" customHeight="1" x14ac:dyDescent="0.25">
      <c r="D89" s="44"/>
      <c r="E89" s="44"/>
      <c r="F89" s="45"/>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c r="DD89" s="46"/>
      <c r="DE89" s="46"/>
      <c r="DF89" s="46"/>
      <c r="DG89" s="46"/>
      <c r="DH89" s="46"/>
      <c r="DI89" s="46"/>
      <c r="DJ89" s="46"/>
      <c r="DK89" s="46"/>
      <c r="DL89" s="46"/>
      <c r="DM89" s="46"/>
      <c r="DN89" s="46"/>
      <c r="DO89" s="46"/>
      <c r="DP89" s="46"/>
      <c r="DQ89" s="46"/>
      <c r="DR89" s="46"/>
      <c r="DS89" s="46"/>
      <c r="DT89" s="46"/>
      <c r="DU89" s="46"/>
      <c r="DV89" s="46"/>
      <c r="DW89" s="46"/>
      <c r="DX89" s="46"/>
      <c r="DY89" s="46"/>
      <c r="DZ89" s="46"/>
      <c r="EA89" s="46"/>
      <c r="EB89" s="46"/>
      <c r="EC89" s="46"/>
      <c r="ED89" s="46"/>
      <c r="EE89" s="46"/>
      <c r="EF89" s="46"/>
      <c r="EG89" s="46"/>
      <c r="EH89" s="46"/>
      <c r="EI89" s="46"/>
      <c r="EJ89" s="46"/>
      <c r="EK89" s="46"/>
      <c r="EL89" s="46"/>
      <c r="EM89" s="46"/>
      <c r="EN89" s="46"/>
      <c r="EO89" s="46"/>
      <c r="EP89" s="46"/>
      <c r="EQ89" s="46"/>
      <c r="ER89" s="3"/>
      <c r="ES89" s="3"/>
      <c r="ET89" s="3"/>
    </row>
    <row r="90" spans="4:150" ht="15.75" customHeight="1" x14ac:dyDescent="0.25">
      <c r="D90" s="44"/>
      <c r="E90" s="44"/>
      <c r="F90" s="45"/>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c r="DD90" s="46"/>
      <c r="DE90" s="46"/>
      <c r="DF90" s="46"/>
      <c r="DG90" s="46"/>
      <c r="DH90" s="46"/>
      <c r="DI90" s="46"/>
      <c r="DJ90" s="46"/>
      <c r="DK90" s="46"/>
      <c r="DL90" s="46"/>
      <c r="DM90" s="46"/>
      <c r="DN90" s="46"/>
      <c r="DO90" s="46"/>
      <c r="DP90" s="46"/>
      <c r="DQ90" s="46"/>
      <c r="DR90" s="46"/>
      <c r="DS90" s="46"/>
      <c r="DT90" s="46"/>
      <c r="DU90" s="46"/>
      <c r="DV90" s="46"/>
      <c r="DW90" s="46"/>
      <c r="DX90" s="46"/>
      <c r="DY90" s="46"/>
      <c r="DZ90" s="46"/>
      <c r="EA90" s="46"/>
      <c r="EB90" s="46"/>
      <c r="EC90" s="46"/>
      <c r="ED90" s="46"/>
      <c r="EE90" s="46"/>
      <c r="EF90" s="46"/>
      <c r="EG90" s="46"/>
      <c r="EH90" s="46"/>
      <c r="EI90" s="46"/>
      <c r="EJ90" s="46"/>
      <c r="EK90" s="46"/>
      <c r="EL90" s="46"/>
      <c r="EM90" s="46"/>
      <c r="EN90" s="46"/>
      <c r="EO90" s="46"/>
      <c r="EP90" s="46"/>
      <c r="EQ90" s="46"/>
      <c r="ER90" s="3"/>
      <c r="ES90" s="3"/>
      <c r="ET90" s="3"/>
    </row>
    <row r="91" spans="4:150" ht="15.75" customHeight="1" x14ac:dyDescent="0.25">
      <c r="D91" s="44"/>
      <c r="E91" s="44"/>
      <c r="F91" s="45"/>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c r="DD91" s="46"/>
      <c r="DE91" s="46"/>
      <c r="DF91" s="46"/>
      <c r="DG91" s="46"/>
      <c r="DH91" s="46"/>
      <c r="DI91" s="46"/>
      <c r="DJ91" s="46"/>
      <c r="DK91" s="46"/>
      <c r="DL91" s="46"/>
      <c r="DM91" s="46"/>
      <c r="DN91" s="46"/>
      <c r="DO91" s="46"/>
      <c r="DP91" s="46"/>
      <c r="DQ91" s="46"/>
      <c r="DR91" s="46"/>
      <c r="DS91" s="46"/>
      <c r="DT91" s="46"/>
      <c r="DU91" s="46"/>
      <c r="DV91" s="46"/>
      <c r="DW91" s="46"/>
      <c r="DX91" s="46"/>
      <c r="DY91" s="46"/>
      <c r="DZ91" s="46"/>
      <c r="EA91" s="46"/>
      <c r="EB91" s="46"/>
      <c r="EC91" s="46"/>
      <c r="ED91" s="46"/>
      <c r="EE91" s="46"/>
      <c r="EF91" s="46"/>
      <c r="EG91" s="46"/>
      <c r="EH91" s="46"/>
      <c r="EI91" s="46"/>
      <c r="EJ91" s="46"/>
      <c r="EK91" s="46"/>
      <c r="EL91" s="46"/>
      <c r="EM91" s="46"/>
      <c r="EN91" s="46"/>
      <c r="EO91" s="46"/>
      <c r="EP91" s="46"/>
      <c r="EQ91" s="46"/>
      <c r="ER91" s="3"/>
      <c r="ES91" s="3"/>
      <c r="ET91" s="3"/>
    </row>
    <row r="92" spans="4:150" ht="15.75" customHeight="1" x14ac:dyDescent="0.25">
      <c r="D92" s="44"/>
      <c r="E92" s="44"/>
      <c r="F92" s="45"/>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46"/>
      <c r="CL92" s="46"/>
      <c r="CM92" s="46"/>
      <c r="CN92" s="46"/>
      <c r="CO92" s="46"/>
      <c r="CP92" s="46"/>
      <c r="CQ92" s="46"/>
      <c r="CR92" s="46"/>
      <c r="CS92" s="46"/>
      <c r="CT92" s="46"/>
      <c r="CU92" s="46"/>
      <c r="CV92" s="46"/>
      <c r="CW92" s="46"/>
      <c r="CX92" s="46"/>
      <c r="CY92" s="46"/>
      <c r="CZ92" s="46"/>
      <c r="DA92" s="46"/>
      <c r="DB92" s="46"/>
      <c r="DC92" s="46"/>
      <c r="DD92" s="46"/>
      <c r="DE92" s="46"/>
      <c r="DF92" s="46"/>
      <c r="DG92" s="46"/>
      <c r="DH92" s="46"/>
      <c r="DI92" s="46"/>
      <c r="DJ92" s="46"/>
      <c r="DK92" s="46"/>
      <c r="DL92" s="46"/>
      <c r="DM92" s="46"/>
      <c r="DN92" s="46"/>
      <c r="DO92" s="46"/>
      <c r="DP92" s="46"/>
      <c r="DQ92" s="46"/>
      <c r="DR92" s="46"/>
      <c r="DS92" s="46"/>
      <c r="DT92" s="46"/>
      <c r="DU92" s="46"/>
      <c r="DV92" s="46"/>
      <c r="DW92" s="46"/>
      <c r="DX92" s="46"/>
      <c r="DY92" s="46"/>
      <c r="DZ92" s="46"/>
      <c r="EA92" s="46"/>
      <c r="EB92" s="46"/>
      <c r="EC92" s="46"/>
      <c r="ED92" s="46"/>
      <c r="EE92" s="46"/>
      <c r="EF92" s="46"/>
      <c r="EG92" s="46"/>
      <c r="EH92" s="46"/>
      <c r="EI92" s="46"/>
      <c r="EJ92" s="46"/>
      <c r="EK92" s="46"/>
      <c r="EL92" s="46"/>
      <c r="EM92" s="46"/>
      <c r="EN92" s="46"/>
      <c r="EO92" s="46"/>
      <c r="EP92" s="46"/>
      <c r="EQ92" s="46"/>
      <c r="ER92" s="3"/>
      <c r="ES92" s="3"/>
      <c r="ET92" s="3"/>
    </row>
    <row r="93" spans="4:150" ht="15.75" customHeight="1" x14ac:dyDescent="0.25">
      <c r="D93" s="44"/>
      <c r="E93" s="44"/>
      <c r="F93" s="45"/>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46"/>
      <c r="CL93" s="46"/>
      <c r="CM93" s="46"/>
      <c r="CN93" s="46"/>
      <c r="CO93" s="46"/>
      <c r="CP93" s="46"/>
      <c r="CQ93" s="46"/>
      <c r="CR93" s="46"/>
      <c r="CS93" s="46"/>
      <c r="CT93" s="46"/>
      <c r="CU93" s="46"/>
      <c r="CV93" s="46"/>
      <c r="CW93" s="46"/>
      <c r="CX93" s="46"/>
      <c r="CY93" s="46"/>
      <c r="CZ93" s="46"/>
      <c r="DA93" s="46"/>
      <c r="DB93" s="46"/>
      <c r="DC93" s="46"/>
      <c r="DD93" s="46"/>
      <c r="DE93" s="46"/>
      <c r="DF93" s="46"/>
      <c r="DG93" s="46"/>
      <c r="DH93" s="46"/>
      <c r="DI93" s="46"/>
      <c r="DJ93" s="46"/>
      <c r="DK93" s="46"/>
      <c r="DL93" s="46"/>
      <c r="DM93" s="46"/>
      <c r="DN93" s="46"/>
      <c r="DO93" s="46"/>
      <c r="DP93" s="46"/>
      <c r="DQ93" s="46"/>
      <c r="DR93" s="46"/>
      <c r="DS93" s="46"/>
      <c r="DT93" s="46"/>
      <c r="DU93" s="46"/>
      <c r="DV93" s="46"/>
      <c r="DW93" s="46"/>
      <c r="DX93" s="46"/>
      <c r="DY93" s="46"/>
      <c r="DZ93" s="46"/>
      <c r="EA93" s="46"/>
      <c r="EB93" s="46"/>
      <c r="EC93" s="46"/>
      <c r="ED93" s="46"/>
      <c r="EE93" s="46"/>
      <c r="EF93" s="46"/>
      <c r="EG93" s="46"/>
      <c r="EH93" s="46"/>
      <c r="EI93" s="46"/>
      <c r="EJ93" s="46"/>
      <c r="EK93" s="46"/>
      <c r="EL93" s="46"/>
      <c r="EM93" s="46"/>
      <c r="EN93" s="46"/>
      <c r="EO93" s="46"/>
      <c r="EP93" s="46"/>
      <c r="EQ93" s="46"/>
      <c r="ER93" s="3"/>
      <c r="ES93" s="3"/>
      <c r="ET93" s="3"/>
    </row>
    <row r="94" spans="4:150" ht="15.75" customHeight="1" x14ac:dyDescent="0.25">
      <c r="D94" s="44"/>
      <c r="E94" s="44"/>
      <c r="F94" s="45"/>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46"/>
      <c r="CL94" s="46"/>
      <c r="CM94" s="46"/>
      <c r="CN94" s="46"/>
      <c r="CO94" s="46"/>
      <c r="CP94" s="46"/>
      <c r="CQ94" s="46"/>
      <c r="CR94" s="46"/>
      <c r="CS94" s="46"/>
      <c r="CT94" s="46"/>
      <c r="CU94" s="46"/>
      <c r="CV94" s="46"/>
      <c r="CW94" s="46"/>
      <c r="CX94" s="46"/>
      <c r="CY94" s="46"/>
      <c r="CZ94" s="46"/>
      <c r="DA94" s="46"/>
      <c r="DB94" s="46"/>
      <c r="DC94" s="46"/>
      <c r="DD94" s="46"/>
      <c r="DE94" s="46"/>
      <c r="DF94" s="46"/>
      <c r="DG94" s="46"/>
      <c r="DH94" s="46"/>
      <c r="DI94" s="46"/>
      <c r="DJ94" s="46"/>
      <c r="DK94" s="46"/>
      <c r="DL94" s="46"/>
      <c r="DM94" s="46"/>
      <c r="DN94" s="46"/>
      <c r="DO94" s="46"/>
      <c r="DP94" s="46"/>
      <c r="DQ94" s="46"/>
      <c r="DR94" s="46"/>
      <c r="DS94" s="46"/>
      <c r="DT94" s="46"/>
      <c r="DU94" s="46"/>
      <c r="DV94" s="46"/>
      <c r="DW94" s="46"/>
      <c r="DX94" s="46"/>
      <c r="DY94" s="46"/>
      <c r="DZ94" s="46"/>
      <c r="EA94" s="46"/>
      <c r="EB94" s="46"/>
      <c r="EC94" s="46"/>
      <c r="ED94" s="46"/>
      <c r="EE94" s="46"/>
      <c r="EF94" s="46"/>
      <c r="EG94" s="46"/>
      <c r="EH94" s="46"/>
      <c r="EI94" s="46"/>
      <c r="EJ94" s="46"/>
      <c r="EK94" s="46"/>
      <c r="EL94" s="46"/>
      <c r="EM94" s="46"/>
      <c r="EN94" s="46"/>
      <c r="EO94" s="46"/>
      <c r="EP94" s="46"/>
      <c r="EQ94" s="46"/>
      <c r="ER94" s="3"/>
      <c r="ES94" s="3"/>
      <c r="ET94" s="3"/>
    </row>
    <row r="95" spans="4:150" ht="15.75" customHeight="1" x14ac:dyDescent="0.25">
      <c r="D95" s="44"/>
      <c r="E95" s="44"/>
      <c r="F95" s="45"/>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46"/>
      <c r="CK95" s="46"/>
      <c r="CL95" s="46"/>
      <c r="CM95" s="46"/>
      <c r="CN95" s="46"/>
      <c r="CO95" s="46"/>
      <c r="CP95" s="46"/>
      <c r="CQ95" s="46"/>
      <c r="CR95" s="46"/>
      <c r="CS95" s="46"/>
      <c r="CT95" s="46"/>
      <c r="CU95" s="46"/>
      <c r="CV95" s="46"/>
      <c r="CW95" s="46"/>
      <c r="CX95" s="46"/>
      <c r="CY95" s="46"/>
      <c r="CZ95" s="46"/>
      <c r="DA95" s="46"/>
      <c r="DB95" s="46"/>
      <c r="DC95" s="46"/>
      <c r="DD95" s="46"/>
      <c r="DE95" s="46"/>
      <c r="DF95" s="46"/>
      <c r="DG95" s="46"/>
      <c r="DH95" s="46"/>
      <c r="DI95" s="46"/>
      <c r="DJ95" s="46"/>
      <c r="DK95" s="46"/>
      <c r="DL95" s="46"/>
      <c r="DM95" s="46"/>
      <c r="DN95" s="46"/>
      <c r="DO95" s="46"/>
      <c r="DP95" s="46"/>
      <c r="DQ95" s="46"/>
      <c r="DR95" s="46"/>
      <c r="DS95" s="46"/>
      <c r="DT95" s="46"/>
      <c r="DU95" s="46"/>
      <c r="DV95" s="46"/>
      <c r="DW95" s="46"/>
      <c r="DX95" s="46"/>
      <c r="DY95" s="46"/>
      <c r="DZ95" s="46"/>
      <c r="EA95" s="46"/>
      <c r="EB95" s="46"/>
      <c r="EC95" s="46"/>
      <c r="ED95" s="46"/>
      <c r="EE95" s="46"/>
      <c r="EF95" s="46"/>
      <c r="EG95" s="46"/>
      <c r="EH95" s="46"/>
      <c r="EI95" s="46"/>
      <c r="EJ95" s="46"/>
      <c r="EK95" s="46"/>
      <c r="EL95" s="46"/>
      <c r="EM95" s="46"/>
      <c r="EN95" s="46"/>
      <c r="EO95" s="46"/>
      <c r="EP95" s="46"/>
      <c r="EQ95" s="46"/>
      <c r="ER95" s="3"/>
      <c r="ES95" s="3"/>
      <c r="ET95" s="3"/>
    </row>
    <row r="96" spans="4:150" ht="15.75" customHeight="1" x14ac:dyDescent="0.25">
      <c r="D96" s="44"/>
      <c r="E96" s="44"/>
      <c r="F96" s="45"/>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46"/>
      <c r="CI96" s="46"/>
      <c r="CJ96" s="46"/>
      <c r="CK96" s="46"/>
      <c r="CL96" s="46"/>
      <c r="CM96" s="46"/>
      <c r="CN96" s="46"/>
      <c r="CO96" s="46"/>
      <c r="CP96" s="46"/>
      <c r="CQ96" s="46"/>
      <c r="CR96" s="46"/>
      <c r="CS96" s="46"/>
      <c r="CT96" s="46"/>
      <c r="CU96" s="46"/>
      <c r="CV96" s="46"/>
      <c r="CW96" s="46"/>
      <c r="CX96" s="46"/>
      <c r="CY96" s="46"/>
      <c r="CZ96" s="46"/>
      <c r="DA96" s="46"/>
      <c r="DB96" s="46"/>
      <c r="DC96" s="46"/>
      <c r="DD96" s="46"/>
      <c r="DE96" s="46"/>
      <c r="DF96" s="46"/>
      <c r="DG96" s="46"/>
      <c r="DH96" s="46"/>
      <c r="DI96" s="46"/>
      <c r="DJ96" s="46"/>
      <c r="DK96" s="46"/>
      <c r="DL96" s="46"/>
      <c r="DM96" s="46"/>
      <c r="DN96" s="46"/>
      <c r="DO96" s="46"/>
      <c r="DP96" s="46"/>
      <c r="DQ96" s="46"/>
      <c r="DR96" s="46"/>
      <c r="DS96" s="46"/>
      <c r="DT96" s="46"/>
      <c r="DU96" s="46"/>
      <c r="DV96" s="46"/>
      <c r="DW96" s="46"/>
      <c r="DX96" s="46"/>
      <c r="DY96" s="46"/>
      <c r="DZ96" s="46"/>
      <c r="EA96" s="46"/>
      <c r="EB96" s="46"/>
      <c r="EC96" s="46"/>
      <c r="ED96" s="46"/>
      <c r="EE96" s="46"/>
      <c r="EF96" s="46"/>
      <c r="EG96" s="46"/>
      <c r="EH96" s="46"/>
      <c r="EI96" s="46"/>
      <c r="EJ96" s="46"/>
      <c r="EK96" s="46"/>
      <c r="EL96" s="46"/>
      <c r="EM96" s="46"/>
      <c r="EN96" s="46"/>
      <c r="EO96" s="46"/>
      <c r="EP96" s="46"/>
      <c r="EQ96" s="46"/>
      <c r="ER96" s="3"/>
      <c r="ES96" s="3"/>
      <c r="ET96" s="3"/>
    </row>
    <row r="97" spans="4:150" ht="15.75" customHeight="1" x14ac:dyDescent="0.25">
      <c r="D97" s="44"/>
      <c r="E97" s="44"/>
      <c r="F97" s="45"/>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46"/>
      <c r="CI97" s="46"/>
      <c r="CJ97" s="46"/>
      <c r="CK97" s="46"/>
      <c r="CL97" s="46"/>
      <c r="CM97" s="46"/>
      <c r="CN97" s="46"/>
      <c r="CO97" s="46"/>
      <c r="CP97" s="46"/>
      <c r="CQ97" s="46"/>
      <c r="CR97" s="46"/>
      <c r="CS97" s="46"/>
      <c r="CT97" s="46"/>
      <c r="CU97" s="46"/>
      <c r="CV97" s="46"/>
      <c r="CW97" s="46"/>
      <c r="CX97" s="46"/>
      <c r="CY97" s="46"/>
      <c r="CZ97" s="46"/>
      <c r="DA97" s="46"/>
      <c r="DB97" s="46"/>
      <c r="DC97" s="46"/>
      <c r="DD97" s="46"/>
      <c r="DE97" s="46"/>
      <c r="DF97" s="46"/>
      <c r="DG97" s="46"/>
      <c r="DH97" s="46"/>
      <c r="DI97" s="46"/>
      <c r="DJ97" s="46"/>
      <c r="DK97" s="46"/>
      <c r="DL97" s="46"/>
      <c r="DM97" s="46"/>
      <c r="DN97" s="46"/>
      <c r="DO97" s="46"/>
      <c r="DP97" s="46"/>
      <c r="DQ97" s="46"/>
      <c r="DR97" s="46"/>
      <c r="DS97" s="46"/>
      <c r="DT97" s="46"/>
      <c r="DU97" s="46"/>
      <c r="DV97" s="46"/>
      <c r="DW97" s="46"/>
      <c r="DX97" s="46"/>
      <c r="DY97" s="46"/>
      <c r="DZ97" s="46"/>
      <c r="EA97" s="46"/>
      <c r="EB97" s="46"/>
      <c r="EC97" s="46"/>
      <c r="ED97" s="46"/>
      <c r="EE97" s="46"/>
      <c r="EF97" s="46"/>
      <c r="EG97" s="46"/>
      <c r="EH97" s="46"/>
      <c r="EI97" s="46"/>
      <c r="EJ97" s="46"/>
      <c r="EK97" s="46"/>
      <c r="EL97" s="46"/>
      <c r="EM97" s="46"/>
      <c r="EN97" s="46"/>
      <c r="EO97" s="46"/>
      <c r="EP97" s="46"/>
      <c r="EQ97" s="46"/>
      <c r="ER97" s="3"/>
      <c r="ES97" s="3"/>
      <c r="ET97" s="3"/>
    </row>
  </sheetData>
  <mergeCells count="72">
    <mergeCell ref="D24:D30"/>
    <mergeCell ref="A38:E40"/>
    <mergeCell ref="E42:U42"/>
    <mergeCell ref="D31:D37"/>
    <mergeCell ref="E31:E37"/>
    <mergeCell ref="B31:B37"/>
    <mergeCell ref="C31:C37"/>
    <mergeCell ref="E17:E23"/>
    <mergeCell ref="A10:A37"/>
    <mergeCell ref="EZ10:EZ16"/>
    <mergeCell ref="FA10:FA16"/>
    <mergeCell ref="FA17:FA23"/>
    <mergeCell ref="FA31:FA37"/>
    <mergeCell ref="D10:D16"/>
    <mergeCell ref="B10:B16"/>
    <mergeCell ref="C10:C16"/>
    <mergeCell ref="E10:E16"/>
    <mergeCell ref="E24:E30"/>
    <mergeCell ref="B17:B23"/>
    <mergeCell ref="B24:B30"/>
    <mergeCell ref="C17:C23"/>
    <mergeCell ref="D17:D23"/>
    <mergeCell ref="C24:C30"/>
    <mergeCell ref="EY31:EY37"/>
    <mergeCell ref="EW17:EW23"/>
    <mergeCell ref="EW31:EW37"/>
    <mergeCell ref="EW24:EW30"/>
    <mergeCell ref="EX24:EX30"/>
    <mergeCell ref="EY24:EY30"/>
    <mergeCell ref="EZ31:EZ37"/>
    <mergeCell ref="A4:E4"/>
    <mergeCell ref="F4:FA4"/>
    <mergeCell ref="A1:E3"/>
    <mergeCell ref="F1:FA1"/>
    <mergeCell ref="F2:FA2"/>
    <mergeCell ref="F3:EQ3"/>
    <mergeCell ref="ER3:FA3"/>
    <mergeCell ref="A5:E5"/>
    <mergeCell ref="EW10:EW16"/>
    <mergeCell ref="EZ17:EZ23"/>
    <mergeCell ref="EY10:EY16"/>
    <mergeCell ref="EX17:EX23"/>
    <mergeCell ref="EX10:EX16"/>
    <mergeCell ref="EY17:EY23"/>
    <mergeCell ref="EX31:EX37"/>
    <mergeCell ref="EZ24:EZ30"/>
    <mergeCell ref="FA24:FA30"/>
    <mergeCell ref="F5:FA5"/>
    <mergeCell ref="DN8:EQ8"/>
    <mergeCell ref="EX7:EX9"/>
    <mergeCell ref="ER38:FA40"/>
    <mergeCell ref="EY7:EY9"/>
    <mergeCell ref="EZ7:EZ9"/>
    <mergeCell ref="FA7:FA9"/>
    <mergeCell ref="A7:G8"/>
    <mergeCell ref="H7:EQ7"/>
    <mergeCell ref="ER7:ER9"/>
    <mergeCell ref="ES7:ES9"/>
    <mergeCell ref="ET7:ET9"/>
    <mergeCell ref="EU7:EU9"/>
    <mergeCell ref="EV7:EV9"/>
    <mergeCell ref="EW7:EW9"/>
    <mergeCell ref="H8:AA8"/>
    <mergeCell ref="AB8:BE8"/>
    <mergeCell ref="BF8:CI8"/>
    <mergeCell ref="CJ8:DM8"/>
    <mergeCell ref="E43:K43"/>
    <mergeCell ref="L43:R43"/>
    <mergeCell ref="E44:K44"/>
    <mergeCell ref="L44:R44"/>
    <mergeCell ref="E45:K45"/>
    <mergeCell ref="L45:R45"/>
  </mergeCells>
  <pageMargins left="0.7" right="0.7" top="0.75" bottom="0.75" header="0" footer="0"/>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
  <sheetViews>
    <sheetView zoomScale="64" zoomScaleNormal="64" workbookViewId="0">
      <selection activeCell="F7" sqref="F7:S7"/>
    </sheetView>
  </sheetViews>
  <sheetFormatPr baseColWidth="10" defaultColWidth="14.42578125" defaultRowHeight="15" customHeight="1" x14ac:dyDescent="0.25"/>
  <cols>
    <col min="1" max="1" width="10.28515625" customWidth="1"/>
    <col min="2" max="2" width="16.28515625" customWidth="1"/>
    <col min="3" max="3" width="38.28515625" customWidth="1"/>
    <col min="4" max="5" width="8" customWidth="1"/>
    <col min="6" max="6" width="7.7109375" customWidth="1"/>
    <col min="7" max="18" width="8.7109375" customWidth="1"/>
    <col min="19" max="19" width="7.42578125" customWidth="1"/>
    <col min="20" max="20" width="11.28515625" customWidth="1"/>
    <col min="21" max="21" width="16.28515625" customWidth="1"/>
    <col min="22" max="22" width="61.7109375" customWidth="1"/>
    <col min="23" max="26" width="10.85546875" customWidth="1"/>
  </cols>
  <sheetData>
    <row r="1" spans="1:26" ht="41.25" customHeight="1" x14ac:dyDescent="0.25">
      <c r="A1" s="811"/>
      <c r="B1" s="749"/>
      <c r="C1" s="749"/>
      <c r="D1" s="873" t="s">
        <v>0</v>
      </c>
      <c r="E1" s="716"/>
      <c r="F1" s="716"/>
      <c r="G1" s="716"/>
      <c r="H1" s="716"/>
      <c r="I1" s="716"/>
      <c r="J1" s="716"/>
      <c r="K1" s="716"/>
      <c r="L1" s="716"/>
      <c r="M1" s="716"/>
      <c r="N1" s="716"/>
      <c r="O1" s="716"/>
      <c r="P1" s="716"/>
      <c r="Q1" s="716"/>
      <c r="R1" s="716"/>
      <c r="S1" s="716"/>
      <c r="T1" s="716"/>
      <c r="U1" s="716"/>
      <c r="V1" s="815"/>
      <c r="W1" s="63"/>
      <c r="X1" s="63"/>
      <c r="Y1" s="63"/>
      <c r="Z1" s="63"/>
    </row>
    <row r="2" spans="1:26" ht="31.5" customHeight="1" x14ac:dyDescent="0.25">
      <c r="A2" s="750"/>
      <c r="B2" s="751"/>
      <c r="C2" s="751"/>
      <c r="D2" s="737" t="s">
        <v>630</v>
      </c>
      <c r="E2" s="771"/>
      <c r="F2" s="771"/>
      <c r="G2" s="771"/>
      <c r="H2" s="771"/>
      <c r="I2" s="771"/>
      <c r="J2" s="771"/>
      <c r="K2" s="771"/>
      <c r="L2" s="771"/>
      <c r="M2" s="771"/>
      <c r="N2" s="771"/>
      <c r="O2" s="771"/>
      <c r="P2" s="771"/>
      <c r="Q2" s="771"/>
      <c r="R2" s="771"/>
      <c r="S2" s="771"/>
      <c r="T2" s="771"/>
      <c r="U2" s="771"/>
      <c r="V2" s="874"/>
      <c r="W2" s="63"/>
      <c r="X2" s="63"/>
      <c r="Y2" s="63"/>
      <c r="Z2" s="63"/>
    </row>
    <row r="3" spans="1:26" ht="30.75" customHeight="1" x14ac:dyDescent="0.25">
      <c r="A3" s="752"/>
      <c r="B3" s="753"/>
      <c r="C3" s="753"/>
      <c r="D3" s="882" t="s">
        <v>114</v>
      </c>
      <c r="E3" s="746"/>
      <c r="F3" s="746"/>
      <c r="G3" s="746"/>
      <c r="H3" s="746"/>
      <c r="I3" s="746"/>
      <c r="J3" s="746"/>
      <c r="K3" s="746"/>
      <c r="L3" s="746"/>
      <c r="M3" s="746"/>
      <c r="N3" s="746"/>
      <c r="O3" s="746"/>
      <c r="P3" s="746"/>
      <c r="Q3" s="746"/>
      <c r="R3" s="746"/>
      <c r="S3" s="746"/>
      <c r="T3" s="746"/>
      <c r="U3" s="883"/>
      <c r="V3" s="449" t="s">
        <v>631</v>
      </c>
      <c r="W3" s="63"/>
      <c r="X3" s="63"/>
      <c r="Y3" s="63"/>
      <c r="Z3" s="63"/>
    </row>
    <row r="4" spans="1:26" ht="43.5" customHeight="1" x14ac:dyDescent="0.25">
      <c r="A4" s="715" t="s">
        <v>4</v>
      </c>
      <c r="B4" s="716"/>
      <c r="C4" s="815"/>
      <c r="D4" s="879" t="s">
        <v>5</v>
      </c>
      <c r="E4" s="880"/>
      <c r="F4" s="880"/>
      <c r="G4" s="880"/>
      <c r="H4" s="880"/>
      <c r="I4" s="880"/>
      <c r="J4" s="880"/>
      <c r="K4" s="880"/>
      <c r="L4" s="880"/>
      <c r="M4" s="880"/>
      <c r="N4" s="880"/>
      <c r="O4" s="880"/>
      <c r="P4" s="880"/>
      <c r="Q4" s="880"/>
      <c r="R4" s="880"/>
      <c r="S4" s="880"/>
      <c r="T4" s="880"/>
      <c r="U4" s="880"/>
      <c r="V4" s="881"/>
      <c r="W4" s="63"/>
      <c r="X4" s="63"/>
      <c r="Y4" s="63"/>
      <c r="Z4" s="63"/>
    </row>
    <row r="5" spans="1:26" ht="43.5" customHeight="1" x14ac:dyDescent="0.25">
      <c r="A5" s="865" t="s">
        <v>6</v>
      </c>
      <c r="B5" s="746"/>
      <c r="C5" s="747"/>
      <c r="D5" s="760" t="s">
        <v>7</v>
      </c>
      <c r="E5" s="742"/>
      <c r="F5" s="742"/>
      <c r="G5" s="742"/>
      <c r="H5" s="742"/>
      <c r="I5" s="742"/>
      <c r="J5" s="742"/>
      <c r="K5" s="742"/>
      <c r="L5" s="742"/>
      <c r="M5" s="742"/>
      <c r="N5" s="742"/>
      <c r="O5" s="742"/>
      <c r="P5" s="742"/>
      <c r="Q5" s="742"/>
      <c r="R5" s="742"/>
      <c r="S5" s="742"/>
      <c r="T5" s="742"/>
      <c r="U5" s="742"/>
      <c r="V5" s="744"/>
      <c r="W5" s="63"/>
      <c r="X5" s="63"/>
      <c r="Y5" s="63"/>
      <c r="Z5" s="63"/>
    </row>
    <row r="6" spans="1:26" ht="18.75" customHeight="1" x14ac:dyDescent="0.25">
      <c r="A6" s="856"/>
      <c r="B6" s="742"/>
      <c r="C6" s="742"/>
      <c r="D6" s="742"/>
      <c r="E6" s="742"/>
      <c r="F6" s="742"/>
      <c r="G6" s="742"/>
      <c r="H6" s="742"/>
      <c r="I6" s="742"/>
      <c r="J6" s="742"/>
      <c r="K6" s="742"/>
      <c r="L6" s="742"/>
      <c r="M6" s="742"/>
      <c r="N6" s="742"/>
      <c r="O6" s="742"/>
      <c r="P6" s="742"/>
      <c r="Q6" s="742"/>
      <c r="R6" s="742"/>
      <c r="S6" s="742"/>
      <c r="T6" s="742"/>
      <c r="U6" s="742"/>
      <c r="V6" s="744"/>
      <c r="W6" s="63"/>
      <c r="X6" s="63"/>
      <c r="Y6" s="63"/>
      <c r="Z6" s="63"/>
    </row>
    <row r="7" spans="1:26" ht="42.75" customHeight="1" x14ac:dyDescent="0.25">
      <c r="A7" s="857" t="s">
        <v>115</v>
      </c>
      <c r="B7" s="864" t="s">
        <v>116</v>
      </c>
      <c r="C7" s="864" t="s">
        <v>117</v>
      </c>
      <c r="D7" s="875" t="s">
        <v>118</v>
      </c>
      <c r="E7" s="876"/>
      <c r="F7" s="877" t="s">
        <v>119</v>
      </c>
      <c r="G7" s="716"/>
      <c r="H7" s="716"/>
      <c r="I7" s="716"/>
      <c r="J7" s="716"/>
      <c r="K7" s="716"/>
      <c r="L7" s="716"/>
      <c r="M7" s="716"/>
      <c r="N7" s="716"/>
      <c r="O7" s="716"/>
      <c r="P7" s="716"/>
      <c r="Q7" s="716"/>
      <c r="R7" s="716"/>
      <c r="S7" s="876"/>
      <c r="T7" s="878" t="s">
        <v>120</v>
      </c>
      <c r="U7" s="876"/>
      <c r="V7" s="884" t="s">
        <v>586</v>
      </c>
      <c r="W7" s="48"/>
      <c r="X7" s="48"/>
      <c r="Y7" s="48"/>
      <c r="Z7" s="48"/>
    </row>
    <row r="8" spans="1:26" ht="59.25" customHeight="1" x14ac:dyDescent="0.25">
      <c r="A8" s="858"/>
      <c r="B8" s="834"/>
      <c r="C8" s="834"/>
      <c r="D8" s="64" t="s">
        <v>121</v>
      </c>
      <c r="E8" s="64" t="s">
        <v>122</v>
      </c>
      <c r="F8" s="64" t="s">
        <v>123</v>
      </c>
      <c r="G8" s="65" t="s">
        <v>124</v>
      </c>
      <c r="H8" s="65" t="s">
        <v>125</v>
      </c>
      <c r="I8" s="65" t="s">
        <v>126</v>
      </c>
      <c r="J8" s="65" t="s">
        <v>127</v>
      </c>
      <c r="K8" s="65" t="s">
        <v>128</v>
      </c>
      <c r="L8" s="65" t="s">
        <v>129</v>
      </c>
      <c r="M8" s="65" t="s">
        <v>130</v>
      </c>
      <c r="N8" s="65" t="s">
        <v>131</v>
      </c>
      <c r="O8" s="65" t="s">
        <v>132</v>
      </c>
      <c r="P8" s="65" t="s">
        <v>133</v>
      </c>
      <c r="Q8" s="65" t="s">
        <v>134</v>
      </c>
      <c r="R8" s="65" t="s">
        <v>135</v>
      </c>
      <c r="S8" s="66" t="s">
        <v>136</v>
      </c>
      <c r="T8" s="66" t="s">
        <v>137</v>
      </c>
      <c r="U8" s="66" t="s">
        <v>138</v>
      </c>
      <c r="V8" s="885"/>
      <c r="W8" s="48"/>
      <c r="X8" s="48"/>
      <c r="Y8" s="48"/>
      <c r="Z8" s="48"/>
    </row>
    <row r="9" spans="1:26" ht="39.950000000000003" customHeight="1" x14ac:dyDescent="0.25">
      <c r="A9" s="859" t="s">
        <v>97</v>
      </c>
      <c r="B9" s="866" t="s">
        <v>59</v>
      </c>
      <c r="C9" s="854" t="s">
        <v>139</v>
      </c>
      <c r="D9" s="855"/>
      <c r="E9" s="855" t="s">
        <v>140</v>
      </c>
      <c r="F9" s="67" t="s">
        <v>141</v>
      </c>
      <c r="G9" s="714">
        <v>0.02</v>
      </c>
      <c r="H9" s="714">
        <v>0.02</v>
      </c>
      <c r="I9" s="714">
        <v>0.02</v>
      </c>
      <c r="J9" s="714">
        <v>0.03</v>
      </c>
      <c r="K9" s="714">
        <v>0.05</v>
      </c>
      <c r="L9" s="714">
        <v>0.05</v>
      </c>
      <c r="M9" s="714">
        <v>0.06</v>
      </c>
      <c r="N9" s="714">
        <v>0.1</v>
      </c>
      <c r="O9" s="714">
        <v>0.1</v>
      </c>
      <c r="P9" s="714">
        <v>0.15</v>
      </c>
      <c r="Q9" s="714">
        <v>0.2</v>
      </c>
      <c r="R9" s="714">
        <v>0.2</v>
      </c>
      <c r="S9" s="67">
        <f t="shared" ref="S9:S40" si="0">SUM(G9:R9)</f>
        <v>1</v>
      </c>
      <c r="T9" s="862">
        <f>U9+U11+U13+U15+U17+U19</f>
        <v>0.25</v>
      </c>
      <c r="U9" s="847">
        <v>0.01</v>
      </c>
      <c r="V9" s="845" t="s">
        <v>588</v>
      </c>
      <c r="W9" s="48"/>
      <c r="X9" s="48"/>
      <c r="Y9" s="48"/>
      <c r="Z9" s="48"/>
    </row>
    <row r="10" spans="1:26" ht="39.950000000000003" customHeight="1" x14ac:dyDescent="0.25">
      <c r="A10" s="860"/>
      <c r="B10" s="863"/>
      <c r="C10" s="848"/>
      <c r="D10" s="848"/>
      <c r="E10" s="848"/>
      <c r="F10" s="69" t="s">
        <v>142</v>
      </c>
      <c r="G10" s="714">
        <v>0.02</v>
      </c>
      <c r="H10" s="714">
        <v>0.02</v>
      </c>
      <c r="I10" s="714">
        <v>0.02</v>
      </c>
      <c r="J10" s="714"/>
      <c r="K10" s="714"/>
      <c r="L10" s="714"/>
      <c r="M10" s="714"/>
      <c r="N10" s="714"/>
      <c r="O10" s="714"/>
      <c r="P10" s="714"/>
      <c r="Q10" s="714"/>
      <c r="R10" s="714"/>
      <c r="S10" s="69">
        <f t="shared" si="0"/>
        <v>0.06</v>
      </c>
      <c r="T10" s="863"/>
      <c r="U10" s="848"/>
      <c r="V10" s="846"/>
      <c r="W10" s="48"/>
      <c r="X10" s="48"/>
      <c r="Y10" s="48"/>
      <c r="Z10" s="48"/>
    </row>
    <row r="11" spans="1:26" ht="39.950000000000003" customHeight="1" x14ac:dyDescent="0.25">
      <c r="A11" s="860"/>
      <c r="B11" s="863"/>
      <c r="C11" s="854" t="s">
        <v>143</v>
      </c>
      <c r="D11" s="855" t="s">
        <v>140</v>
      </c>
      <c r="E11" s="855" t="s">
        <v>140</v>
      </c>
      <c r="F11" s="67" t="s">
        <v>141</v>
      </c>
      <c r="G11" s="714">
        <v>0</v>
      </c>
      <c r="H11" s="714">
        <v>7.0000000000000007E-2</v>
      </c>
      <c r="I11" s="714">
        <v>7.0000000000000007E-2</v>
      </c>
      <c r="J11" s="714">
        <v>7.0000000000000007E-2</v>
      </c>
      <c r="K11" s="714">
        <v>0.02</v>
      </c>
      <c r="L11" s="714">
        <v>0.03</v>
      </c>
      <c r="M11" s="714">
        <v>0.05</v>
      </c>
      <c r="N11" s="714">
        <v>0.2</v>
      </c>
      <c r="O11" s="714">
        <v>0.2</v>
      </c>
      <c r="P11" s="714">
        <v>0.15</v>
      </c>
      <c r="Q11" s="714">
        <v>0.12</v>
      </c>
      <c r="R11" s="714">
        <v>0.02</v>
      </c>
      <c r="S11" s="67">
        <f t="shared" si="0"/>
        <v>1</v>
      </c>
      <c r="T11" s="863"/>
      <c r="U11" s="847">
        <v>0.05</v>
      </c>
      <c r="V11" s="886" t="s">
        <v>627</v>
      </c>
      <c r="W11" s="48"/>
      <c r="X11" s="48"/>
      <c r="Y11" s="48"/>
      <c r="Z11" s="48"/>
    </row>
    <row r="12" spans="1:26" ht="39.950000000000003" customHeight="1" x14ac:dyDescent="0.25">
      <c r="A12" s="860"/>
      <c r="B12" s="863"/>
      <c r="C12" s="848"/>
      <c r="D12" s="848"/>
      <c r="E12" s="848"/>
      <c r="F12" s="69" t="s">
        <v>142</v>
      </c>
      <c r="G12" s="714">
        <v>0</v>
      </c>
      <c r="H12" s="714">
        <v>7.0000000000000007E-2</v>
      </c>
      <c r="I12" s="714">
        <v>7.0000000000000007E-2</v>
      </c>
      <c r="J12" s="714"/>
      <c r="K12" s="714"/>
      <c r="L12" s="714"/>
      <c r="M12" s="714"/>
      <c r="N12" s="714"/>
      <c r="O12" s="714"/>
      <c r="P12" s="714"/>
      <c r="Q12" s="714"/>
      <c r="R12" s="714"/>
      <c r="S12" s="69">
        <f t="shared" si="0"/>
        <v>0.14000000000000001</v>
      </c>
      <c r="T12" s="863"/>
      <c r="U12" s="848"/>
      <c r="V12" s="887"/>
      <c r="W12" s="48"/>
      <c r="X12" s="48"/>
      <c r="Y12" s="48"/>
      <c r="Z12" s="48"/>
    </row>
    <row r="13" spans="1:26" ht="26.25" customHeight="1" x14ac:dyDescent="0.25">
      <c r="A13" s="860"/>
      <c r="B13" s="863"/>
      <c r="C13" s="854" t="s">
        <v>144</v>
      </c>
      <c r="D13" s="855" t="s">
        <v>140</v>
      </c>
      <c r="E13" s="868" t="s">
        <v>145</v>
      </c>
      <c r="F13" s="67" t="s">
        <v>141</v>
      </c>
      <c r="G13" s="714">
        <v>0</v>
      </c>
      <c r="H13" s="714">
        <v>0.05</v>
      </c>
      <c r="I13" s="714">
        <v>0.1</v>
      </c>
      <c r="J13" s="714">
        <v>0.1</v>
      </c>
      <c r="K13" s="714">
        <v>0.1</v>
      </c>
      <c r="L13" s="714">
        <v>0.1</v>
      </c>
      <c r="M13" s="714">
        <v>0.1</v>
      </c>
      <c r="N13" s="714">
        <v>0.1</v>
      </c>
      <c r="O13" s="714">
        <v>0.1</v>
      </c>
      <c r="P13" s="714">
        <v>0.1</v>
      </c>
      <c r="Q13" s="714">
        <v>0.1</v>
      </c>
      <c r="R13" s="714">
        <v>0.05</v>
      </c>
      <c r="S13" s="67">
        <f t="shared" si="0"/>
        <v>0.99999999999999989</v>
      </c>
      <c r="T13" s="863"/>
      <c r="U13" s="847">
        <v>0.04</v>
      </c>
      <c r="V13" s="845" t="s">
        <v>589</v>
      </c>
      <c r="W13" s="48"/>
      <c r="X13" s="48"/>
      <c r="Y13" s="48"/>
      <c r="Z13" s="48"/>
    </row>
    <row r="14" spans="1:26" ht="26.25" customHeight="1" x14ac:dyDescent="0.25">
      <c r="A14" s="860"/>
      <c r="B14" s="863"/>
      <c r="C14" s="848"/>
      <c r="D14" s="848"/>
      <c r="E14" s="848"/>
      <c r="F14" s="69" t="s">
        <v>142</v>
      </c>
      <c r="G14" s="714">
        <v>0</v>
      </c>
      <c r="H14" s="714">
        <v>0.05</v>
      </c>
      <c r="I14" s="714">
        <v>0.1</v>
      </c>
      <c r="J14" s="714"/>
      <c r="K14" s="714"/>
      <c r="L14" s="714"/>
      <c r="M14" s="714"/>
      <c r="N14" s="714"/>
      <c r="O14" s="714"/>
      <c r="P14" s="714"/>
      <c r="Q14" s="714"/>
      <c r="R14" s="714"/>
      <c r="S14" s="69">
        <f t="shared" si="0"/>
        <v>0.15000000000000002</v>
      </c>
      <c r="T14" s="863"/>
      <c r="U14" s="848"/>
      <c r="V14" s="846"/>
      <c r="W14" s="48"/>
      <c r="X14" s="48"/>
      <c r="Y14" s="48"/>
      <c r="Z14" s="48"/>
    </row>
    <row r="15" spans="1:26" ht="26.25" customHeight="1" x14ac:dyDescent="0.25">
      <c r="A15" s="860"/>
      <c r="B15" s="863"/>
      <c r="C15" s="854" t="s">
        <v>146</v>
      </c>
      <c r="D15" s="855" t="s">
        <v>140</v>
      </c>
      <c r="E15" s="855" t="s">
        <v>140</v>
      </c>
      <c r="F15" s="67" t="s">
        <v>141</v>
      </c>
      <c r="G15" s="714">
        <v>0</v>
      </c>
      <c r="H15" s="714">
        <v>0.02</v>
      </c>
      <c r="I15" s="714">
        <v>0.05</v>
      </c>
      <c r="J15" s="714">
        <v>0.05</v>
      </c>
      <c r="K15" s="714">
        <v>0.05</v>
      </c>
      <c r="L15" s="714">
        <v>0.1</v>
      </c>
      <c r="M15" s="714">
        <v>0.1</v>
      </c>
      <c r="N15" s="714">
        <v>0.1</v>
      </c>
      <c r="O15" s="714">
        <v>0.15</v>
      </c>
      <c r="P15" s="714">
        <v>0.15</v>
      </c>
      <c r="Q15" s="714">
        <v>0.15</v>
      </c>
      <c r="R15" s="714">
        <v>0.08</v>
      </c>
      <c r="S15" s="67">
        <f t="shared" si="0"/>
        <v>1</v>
      </c>
      <c r="T15" s="863"/>
      <c r="U15" s="847">
        <v>0.06</v>
      </c>
      <c r="V15" s="845" t="s">
        <v>590</v>
      </c>
      <c r="W15" s="48"/>
      <c r="X15" s="48"/>
      <c r="Y15" s="48"/>
      <c r="Z15" s="48"/>
    </row>
    <row r="16" spans="1:26" ht="26.25" customHeight="1" x14ac:dyDescent="0.25">
      <c r="A16" s="860"/>
      <c r="B16" s="863"/>
      <c r="C16" s="848"/>
      <c r="D16" s="848"/>
      <c r="E16" s="848"/>
      <c r="F16" s="69" t="s">
        <v>142</v>
      </c>
      <c r="G16" s="714">
        <v>0</v>
      </c>
      <c r="H16" s="714">
        <v>0.02</v>
      </c>
      <c r="I16" s="714">
        <v>0.05</v>
      </c>
      <c r="J16" s="714"/>
      <c r="K16" s="714"/>
      <c r="L16" s="714"/>
      <c r="M16" s="714"/>
      <c r="N16" s="714"/>
      <c r="O16" s="714"/>
      <c r="P16" s="714"/>
      <c r="Q16" s="714"/>
      <c r="R16" s="714"/>
      <c r="S16" s="69">
        <f t="shared" si="0"/>
        <v>7.0000000000000007E-2</v>
      </c>
      <c r="T16" s="863"/>
      <c r="U16" s="848"/>
      <c r="V16" s="846"/>
      <c r="W16" s="48"/>
      <c r="X16" s="48"/>
      <c r="Y16" s="48"/>
      <c r="Z16" s="48"/>
    </row>
    <row r="17" spans="1:26" ht="26.25" customHeight="1" x14ac:dyDescent="0.25">
      <c r="A17" s="860"/>
      <c r="B17" s="863"/>
      <c r="C17" s="854" t="s">
        <v>147</v>
      </c>
      <c r="D17" s="855"/>
      <c r="E17" s="855" t="s">
        <v>140</v>
      </c>
      <c r="F17" s="67" t="s">
        <v>141</v>
      </c>
      <c r="G17" s="714">
        <v>0</v>
      </c>
      <c r="H17" s="714">
        <v>0.02</v>
      </c>
      <c r="I17" s="714">
        <v>0.02</v>
      </c>
      <c r="J17" s="714">
        <v>0.05</v>
      </c>
      <c r="K17" s="714">
        <v>0.1</v>
      </c>
      <c r="L17" s="714">
        <v>0.15</v>
      </c>
      <c r="M17" s="714">
        <v>0.2</v>
      </c>
      <c r="N17" s="714">
        <v>0.1</v>
      </c>
      <c r="O17" s="714">
        <v>0.1</v>
      </c>
      <c r="P17" s="714">
        <v>0.1</v>
      </c>
      <c r="Q17" s="714">
        <v>0.1</v>
      </c>
      <c r="R17" s="714">
        <v>0.06</v>
      </c>
      <c r="S17" s="67">
        <f t="shared" si="0"/>
        <v>1</v>
      </c>
      <c r="T17" s="863"/>
      <c r="U17" s="847">
        <v>0.05</v>
      </c>
      <c r="V17" s="845" t="s">
        <v>591</v>
      </c>
      <c r="W17" s="48"/>
      <c r="X17" s="48"/>
      <c r="Y17" s="48"/>
      <c r="Z17" s="48"/>
    </row>
    <row r="18" spans="1:26" ht="26.25" customHeight="1" x14ac:dyDescent="0.25">
      <c r="A18" s="860"/>
      <c r="B18" s="863"/>
      <c r="C18" s="848"/>
      <c r="D18" s="848"/>
      <c r="E18" s="848"/>
      <c r="F18" s="69" t="s">
        <v>142</v>
      </c>
      <c r="G18" s="714">
        <v>0</v>
      </c>
      <c r="H18" s="714">
        <v>0.02</v>
      </c>
      <c r="I18" s="714">
        <v>0.02</v>
      </c>
      <c r="J18" s="714"/>
      <c r="K18" s="714"/>
      <c r="L18" s="714"/>
      <c r="M18" s="714"/>
      <c r="N18" s="714"/>
      <c r="O18" s="714"/>
      <c r="P18" s="714"/>
      <c r="Q18" s="714"/>
      <c r="R18" s="714"/>
      <c r="S18" s="69">
        <f t="shared" si="0"/>
        <v>0.04</v>
      </c>
      <c r="T18" s="863"/>
      <c r="U18" s="848"/>
      <c r="V18" s="846"/>
      <c r="W18" s="48"/>
      <c r="X18" s="48"/>
      <c r="Y18" s="48"/>
      <c r="Z18" s="48"/>
    </row>
    <row r="19" spans="1:26" ht="26.25" customHeight="1" x14ac:dyDescent="0.25">
      <c r="A19" s="860"/>
      <c r="B19" s="863"/>
      <c r="C19" s="854" t="s">
        <v>148</v>
      </c>
      <c r="D19" s="855" t="s">
        <v>140</v>
      </c>
      <c r="E19" s="868"/>
      <c r="F19" s="67" t="s">
        <v>141</v>
      </c>
      <c r="G19" s="714">
        <v>0</v>
      </c>
      <c r="H19" s="714">
        <v>0.02</v>
      </c>
      <c r="I19" s="714">
        <v>0.02</v>
      </c>
      <c r="J19" s="714">
        <v>0.02</v>
      </c>
      <c r="K19" s="714">
        <v>0.04</v>
      </c>
      <c r="L19" s="714">
        <v>0.04</v>
      </c>
      <c r="M19" s="714">
        <v>0.15</v>
      </c>
      <c r="N19" s="714">
        <v>0.15</v>
      </c>
      <c r="O19" s="714">
        <v>0.15</v>
      </c>
      <c r="P19" s="714">
        <v>0.2</v>
      </c>
      <c r="Q19" s="714">
        <v>0.18</v>
      </c>
      <c r="R19" s="714">
        <v>0.03</v>
      </c>
      <c r="S19" s="67">
        <f t="shared" si="0"/>
        <v>1</v>
      </c>
      <c r="T19" s="863"/>
      <c r="U19" s="847">
        <v>0.04</v>
      </c>
      <c r="V19" s="845" t="s">
        <v>592</v>
      </c>
      <c r="W19" s="48"/>
      <c r="X19" s="48"/>
      <c r="Y19" s="48"/>
      <c r="Z19" s="48"/>
    </row>
    <row r="20" spans="1:26" ht="26.25" customHeight="1" x14ac:dyDescent="0.25">
      <c r="A20" s="860"/>
      <c r="B20" s="848"/>
      <c r="C20" s="848"/>
      <c r="D20" s="848"/>
      <c r="E20" s="848"/>
      <c r="F20" s="69" t="s">
        <v>142</v>
      </c>
      <c r="G20" s="714">
        <v>0</v>
      </c>
      <c r="H20" s="714">
        <v>0.02</v>
      </c>
      <c r="I20" s="714">
        <v>0.02</v>
      </c>
      <c r="J20" s="714"/>
      <c r="K20" s="714"/>
      <c r="L20" s="714"/>
      <c r="M20" s="714"/>
      <c r="N20" s="714"/>
      <c r="O20" s="714"/>
      <c r="P20" s="714"/>
      <c r="Q20" s="714"/>
      <c r="R20" s="714"/>
      <c r="S20" s="69">
        <f t="shared" si="0"/>
        <v>0.04</v>
      </c>
      <c r="T20" s="848"/>
      <c r="U20" s="848"/>
      <c r="V20" s="846"/>
      <c r="W20" s="48"/>
      <c r="X20" s="48"/>
      <c r="Y20" s="48"/>
      <c r="Z20" s="48"/>
    </row>
    <row r="21" spans="1:26" ht="39.950000000000003" customHeight="1" x14ac:dyDescent="0.25">
      <c r="A21" s="860"/>
      <c r="B21" s="871" t="s">
        <v>108</v>
      </c>
      <c r="C21" s="854" t="s">
        <v>149</v>
      </c>
      <c r="D21" s="855" t="s">
        <v>140</v>
      </c>
      <c r="E21" s="855" t="s">
        <v>140</v>
      </c>
      <c r="F21" s="67" t="s">
        <v>141</v>
      </c>
      <c r="G21" s="714">
        <v>0</v>
      </c>
      <c r="H21" s="714">
        <v>0</v>
      </c>
      <c r="I21" s="714">
        <v>0.1</v>
      </c>
      <c r="J21" s="714">
        <v>0.2</v>
      </c>
      <c r="K21" s="714">
        <v>0.2</v>
      </c>
      <c r="L21" s="714">
        <v>0.3</v>
      </c>
      <c r="M21" s="714">
        <v>0.2</v>
      </c>
      <c r="N21" s="714">
        <v>0</v>
      </c>
      <c r="O21" s="714">
        <v>0</v>
      </c>
      <c r="P21" s="714">
        <v>0</v>
      </c>
      <c r="Q21" s="714">
        <v>0</v>
      </c>
      <c r="R21" s="714">
        <v>0</v>
      </c>
      <c r="S21" s="67">
        <f t="shared" si="0"/>
        <v>1</v>
      </c>
      <c r="T21" s="862">
        <v>0.35</v>
      </c>
      <c r="U21" s="847">
        <v>0.1167</v>
      </c>
      <c r="V21" s="845" t="s">
        <v>624</v>
      </c>
      <c r="W21" s="48"/>
      <c r="X21" s="48"/>
      <c r="Y21" s="48"/>
      <c r="Z21" s="48"/>
    </row>
    <row r="22" spans="1:26" ht="39.950000000000003" customHeight="1" x14ac:dyDescent="0.25">
      <c r="A22" s="860"/>
      <c r="B22" s="863"/>
      <c r="C22" s="848"/>
      <c r="D22" s="848"/>
      <c r="E22" s="848"/>
      <c r="F22" s="69" t="s">
        <v>142</v>
      </c>
      <c r="G22" s="714">
        <v>0</v>
      </c>
      <c r="H22" s="714">
        <v>0</v>
      </c>
      <c r="I22" s="714">
        <v>0.1</v>
      </c>
      <c r="J22" s="714"/>
      <c r="K22" s="714"/>
      <c r="L22" s="714"/>
      <c r="M22" s="714"/>
      <c r="N22" s="714"/>
      <c r="O22" s="714"/>
      <c r="P22" s="714"/>
      <c r="Q22" s="714"/>
      <c r="R22" s="714"/>
      <c r="S22" s="69">
        <f t="shared" si="0"/>
        <v>0.1</v>
      </c>
      <c r="T22" s="863"/>
      <c r="U22" s="848"/>
      <c r="V22" s="846"/>
      <c r="W22" s="48"/>
      <c r="X22" s="48"/>
      <c r="Y22" s="48"/>
      <c r="Z22" s="48"/>
    </row>
    <row r="23" spans="1:26" ht="39.950000000000003" customHeight="1" x14ac:dyDescent="0.25">
      <c r="A23" s="860"/>
      <c r="B23" s="863"/>
      <c r="C23" s="854" t="s">
        <v>150</v>
      </c>
      <c r="D23" s="855" t="s">
        <v>140</v>
      </c>
      <c r="E23" s="855" t="s">
        <v>140</v>
      </c>
      <c r="F23" s="713" t="s">
        <v>141</v>
      </c>
      <c r="G23" s="714">
        <v>0</v>
      </c>
      <c r="H23" s="714">
        <v>0</v>
      </c>
      <c r="I23" s="714">
        <v>0</v>
      </c>
      <c r="J23" s="714">
        <v>0</v>
      </c>
      <c r="K23" s="714">
        <v>0.1</v>
      </c>
      <c r="L23" s="714">
        <v>0.2</v>
      </c>
      <c r="M23" s="714">
        <v>0.3</v>
      </c>
      <c r="N23" s="714">
        <v>0.4</v>
      </c>
      <c r="O23" s="714">
        <v>0</v>
      </c>
      <c r="P23" s="714">
        <v>0</v>
      </c>
      <c r="Q23" s="714">
        <v>0</v>
      </c>
      <c r="R23" s="714">
        <v>0</v>
      </c>
      <c r="S23" s="713">
        <f t="shared" si="0"/>
        <v>1</v>
      </c>
      <c r="T23" s="863"/>
      <c r="U23" s="847">
        <v>0.1167</v>
      </c>
      <c r="V23" s="851" t="s">
        <v>625</v>
      </c>
      <c r="W23" s="48"/>
      <c r="X23" s="48"/>
      <c r="Y23" s="48"/>
      <c r="Z23" s="48"/>
    </row>
    <row r="24" spans="1:26" ht="39.950000000000003" customHeight="1" x14ac:dyDescent="0.25">
      <c r="A24" s="860"/>
      <c r="B24" s="863"/>
      <c r="C24" s="848"/>
      <c r="D24" s="848"/>
      <c r="E24" s="848"/>
      <c r="F24" s="69" t="s">
        <v>142</v>
      </c>
      <c r="G24" s="714">
        <v>0</v>
      </c>
      <c r="H24" s="714">
        <v>0</v>
      </c>
      <c r="I24" s="714">
        <v>0</v>
      </c>
      <c r="J24" s="714"/>
      <c r="K24" s="714"/>
      <c r="L24" s="714"/>
      <c r="M24" s="714"/>
      <c r="N24" s="714"/>
      <c r="O24" s="714"/>
      <c r="P24" s="714"/>
      <c r="Q24" s="714"/>
      <c r="R24" s="714"/>
      <c r="S24" s="69">
        <f t="shared" si="0"/>
        <v>0</v>
      </c>
      <c r="T24" s="863"/>
      <c r="U24" s="848"/>
      <c r="V24" s="846"/>
      <c r="W24" s="48"/>
      <c r="X24" s="48"/>
      <c r="Y24" s="48"/>
      <c r="Z24" s="48"/>
    </row>
    <row r="25" spans="1:26" ht="26.25" customHeight="1" x14ac:dyDescent="0.25">
      <c r="A25" s="860"/>
      <c r="B25" s="863"/>
      <c r="C25" s="854" t="s">
        <v>151</v>
      </c>
      <c r="D25" s="855" t="s">
        <v>140</v>
      </c>
      <c r="E25" s="855" t="s">
        <v>140</v>
      </c>
      <c r="F25" s="67" t="s">
        <v>141</v>
      </c>
      <c r="G25" s="714">
        <v>0</v>
      </c>
      <c r="H25" s="714">
        <v>0</v>
      </c>
      <c r="I25" s="714">
        <v>0.01</v>
      </c>
      <c r="J25" s="714">
        <v>2.69E-2</v>
      </c>
      <c r="K25" s="714">
        <v>8.0699999999999994E-2</v>
      </c>
      <c r="L25" s="714">
        <v>8.5099999999999995E-2</v>
      </c>
      <c r="M25" s="714">
        <v>5.3800000000000001E-2</v>
      </c>
      <c r="N25" s="714">
        <v>5.3800000000000001E-2</v>
      </c>
      <c r="O25" s="714">
        <v>2.5000000000000001E-3</v>
      </c>
      <c r="P25" s="714">
        <v>2.7000000000000001E-3</v>
      </c>
      <c r="Q25" s="714">
        <v>0.32290000000000002</v>
      </c>
      <c r="R25" s="714">
        <v>0.36159999999999998</v>
      </c>
      <c r="S25" s="71">
        <f t="shared" si="0"/>
        <v>1</v>
      </c>
      <c r="T25" s="863"/>
      <c r="U25" s="847">
        <v>0.1166</v>
      </c>
      <c r="V25" s="845" t="s">
        <v>609</v>
      </c>
      <c r="W25" s="48"/>
      <c r="X25" s="48"/>
      <c r="Y25" s="48"/>
      <c r="Z25" s="48"/>
    </row>
    <row r="26" spans="1:26" ht="26.25" customHeight="1" x14ac:dyDescent="0.25">
      <c r="A26" s="860"/>
      <c r="B26" s="848"/>
      <c r="C26" s="848"/>
      <c r="D26" s="872"/>
      <c r="E26" s="872"/>
      <c r="F26" s="72" t="s">
        <v>142</v>
      </c>
      <c r="G26" s="714">
        <v>0</v>
      </c>
      <c r="H26" s="714">
        <v>5.0000000000000001E-4</v>
      </c>
      <c r="I26" s="714">
        <v>0.01</v>
      </c>
      <c r="J26" s="714"/>
      <c r="K26" s="714"/>
      <c r="L26" s="714"/>
      <c r="M26" s="714"/>
      <c r="N26" s="714"/>
      <c r="O26" s="714"/>
      <c r="P26" s="714"/>
      <c r="Q26" s="714"/>
      <c r="R26" s="714"/>
      <c r="S26" s="73">
        <f t="shared" si="0"/>
        <v>1.0500000000000001E-2</v>
      </c>
      <c r="T26" s="848"/>
      <c r="U26" s="848"/>
      <c r="V26" s="846"/>
      <c r="W26" s="48"/>
      <c r="X26" s="48"/>
      <c r="Y26" s="48"/>
      <c r="Z26" s="48"/>
    </row>
    <row r="27" spans="1:26" ht="39.75" customHeight="1" x14ac:dyDescent="0.25">
      <c r="A27" s="860"/>
      <c r="B27" s="871" t="s">
        <v>73</v>
      </c>
      <c r="C27" s="854" t="s">
        <v>152</v>
      </c>
      <c r="D27" s="855" t="s">
        <v>140</v>
      </c>
      <c r="E27" s="855" t="s">
        <v>140</v>
      </c>
      <c r="F27" s="67" t="s">
        <v>141</v>
      </c>
      <c r="G27" s="714">
        <v>0</v>
      </c>
      <c r="H27" s="714">
        <v>0</v>
      </c>
      <c r="I27" s="714">
        <v>0</v>
      </c>
      <c r="J27" s="714">
        <v>0</v>
      </c>
      <c r="K27" s="714">
        <v>0.1</v>
      </c>
      <c r="L27" s="714">
        <v>0.1</v>
      </c>
      <c r="M27" s="714">
        <v>0.2</v>
      </c>
      <c r="N27" s="714">
        <v>0.3</v>
      </c>
      <c r="O27" s="714">
        <v>0.3</v>
      </c>
      <c r="P27" s="714">
        <v>0</v>
      </c>
      <c r="Q27" s="714">
        <v>0</v>
      </c>
      <c r="R27" s="714">
        <v>0</v>
      </c>
      <c r="S27" s="71">
        <f t="shared" si="0"/>
        <v>1</v>
      </c>
      <c r="T27" s="862">
        <v>0.25</v>
      </c>
      <c r="U27" s="849">
        <v>8.3299999999999999E-2</v>
      </c>
      <c r="V27" s="851" t="s">
        <v>626</v>
      </c>
      <c r="W27" s="63"/>
      <c r="X27" s="63"/>
      <c r="Y27" s="63"/>
      <c r="Z27" s="63"/>
    </row>
    <row r="28" spans="1:26" ht="39.75" customHeight="1" x14ac:dyDescent="0.25">
      <c r="A28" s="860"/>
      <c r="B28" s="863"/>
      <c r="C28" s="848"/>
      <c r="D28" s="848"/>
      <c r="E28" s="848"/>
      <c r="F28" s="69" t="s">
        <v>142</v>
      </c>
      <c r="G28" s="714">
        <v>0</v>
      </c>
      <c r="H28" s="714">
        <v>0</v>
      </c>
      <c r="I28" s="714">
        <v>0</v>
      </c>
      <c r="J28" s="714"/>
      <c r="K28" s="714"/>
      <c r="L28" s="714"/>
      <c r="M28" s="714"/>
      <c r="N28" s="714"/>
      <c r="O28" s="714"/>
      <c r="P28" s="714"/>
      <c r="Q28" s="714"/>
      <c r="R28" s="714"/>
      <c r="S28" s="74">
        <f t="shared" si="0"/>
        <v>0</v>
      </c>
      <c r="T28" s="863"/>
      <c r="U28" s="850"/>
      <c r="V28" s="846"/>
      <c r="W28" s="63"/>
      <c r="X28" s="63"/>
      <c r="Y28" s="63"/>
      <c r="Z28" s="63"/>
    </row>
    <row r="29" spans="1:26" ht="36" customHeight="1" x14ac:dyDescent="0.25">
      <c r="A29" s="860"/>
      <c r="B29" s="863"/>
      <c r="C29" s="854" t="s">
        <v>153</v>
      </c>
      <c r="D29" s="855" t="s">
        <v>140</v>
      </c>
      <c r="E29" s="855" t="s">
        <v>140</v>
      </c>
      <c r="F29" s="67" t="s">
        <v>141</v>
      </c>
      <c r="G29" s="714">
        <v>0</v>
      </c>
      <c r="H29" s="714">
        <v>0</v>
      </c>
      <c r="I29" s="714">
        <v>0</v>
      </c>
      <c r="J29" s="714">
        <v>0</v>
      </c>
      <c r="K29" s="714">
        <v>0</v>
      </c>
      <c r="L29" s="714">
        <v>0</v>
      </c>
      <c r="M29" s="714">
        <v>0.03</v>
      </c>
      <c r="N29" s="714">
        <v>5.0000000000000001E-3</v>
      </c>
      <c r="O29" s="714">
        <v>0.22500000000000001</v>
      </c>
      <c r="P29" s="714">
        <v>0.25</v>
      </c>
      <c r="Q29" s="714">
        <v>0.25</v>
      </c>
      <c r="R29" s="714">
        <v>0.24</v>
      </c>
      <c r="S29" s="67">
        <f t="shared" si="0"/>
        <v>1</v>
      </c>
      <c r="T29" s="863"/>
      <c r="U29" s="849">
        <v>8.3400000000000002E-2</v>
      </c>
      <c r="V29" s="851" t="s">
        <v>595</v>
      </c>
      <c r="W29" s="63"/>
      <c r="X29" s="63"/>
      <c r="Y29" s="63"/>
      <c r="Z29" s="63"/>
    </row>
    <row r="30" spans="1:26" ht="37.5" customHeight="1" x14ac:dyDescent="0.25">
      <c r="A30" s="860"/>
      <c r="B30" s="863"/>
      <c r="C30" s="848"/>
      <c r="D30" s="848"/>
      <c r="E30" s="848"/>
      <c r="F30" s="69" t="s">
        <v>142</v>
      </c>
      <c r="G30" s="714">
        <v>0</v>
      </c>
      <c r="H30" s="714">
        <v>0</v>
      </c>
      <c r="I30" s="714">
        <v>0</v>
      </c>
      <c r="J30" s="714"/>
      <c r="K30" s="714"/>
      <c r="L30" s="714"/>
      <c r="M30" s="714"/>
      <c r="N30" s="714"/>
      <c r="O30" s="714"/>
      <c r="P30" s="714"/>
      <c r="Q30" s="714"/>
      <c r="R30" s="714"/>
      <c r="S30" s="75">
        <f t="shared" si="0"/>
        <v>0</v>
      </c>
      <c r="T30" s="863"/>
      <c r="U30" s="850"/>
      <c r="V30" s="846"/>
      <c r="W30" s="63"/>
      <c r="X30" s="63"/>
      <c r="Y30" s="63"/>
      <c r="Z30" s="63"/>
    </row>
    <row r="31" spans="1:26" ht="26.25" customHeight="1" x14ac:dyDescent="0.25">
      <c r="A31" s="860"/>
      <c r="B31" s="863"/>
      <c r="C31" s="854" t="s">
        <v>154</v>
      </c>
      <c r="D31" s="855" t="s">
        <v>140</v>
      </c>
      <c r="E31" s="855" t="s">
        <v>140</v>
      </c>
      <c r="F31" s="67" t="s">
        <v>141</v>
      </c>
      <c r="G31" s="714">
        <v>8.3299999999999999E-2</v>
      </c>
      <c r="H31" s="714">
        <v>8.3299999999999999E-2</v>
      </c>
      <c r="I31" s="714">
        <v>8.3299999999999999E-2</v>
      </c>
      <c r="J31" s="714">
        <v>8.3299999999999999E-2</v>
      </c>
      <c r="K31" s="714">
        <v>8.3299999999999999E-2</v>
      </c>
      <c r="L31" s="714">
        <v>8.3299999999999999E-2</v>
      </c>
      <c r="M31" s="714">
        <v>8.3299999999999999E-2</v>
      </c>
      <c r="N31" s="714">
        <v>8.3299999999999999E-2</v>
      </c>
      <c r="O31" s="714">
        <v>8.3299999999999999E-2</v>
      </c>
      <c r="P31" s="714">
        <v>8.3299999999999999E-2</v>
      </c>
      <c r="Q31" s="714">
        <v>8.3299999999999999E-2</v>
      </c>
      <c r="R31" s="714">
        <v>8.3699999999999997E-2</v>
      </c>
      <c r="S31" s="76">
        <f t="shared" si="0"/>
        <v>1</v>
      </c>
      <c r="T31" s="863"/>
      <c r="U31" s="849">
        <v>8.3299999999999999E-2</v>
      </c>
      <c r="V31" s="845" t="s">
        <v>596</v>
      </c>
      <c r="W31" s="63"/>
      <c r="X31" s="63"/>
      <c r="Y31" s="63"/>
      <c r="Z31" s="63"/>
    </row>
    <row r="32" spans="1:26" ht="26.25" customHeight="1" x14ac:dyDescent="0.25">
      <c r="A32" s="860"/>
      <c r="B32" s="848"/>
      <c r="C32" s="848"/>
      <c r="D32" s="848"/>
      <c r="E32" s="848"/>
      <c r="F32" s="69" t="s">
        <v>142</v>
      </c>
      <c r="G32" s="714">
        <v>8.3299999999999999E-2</v>
      </c>
      <c r="H32" s="714">
        <v>8.3299999999999999E-2</v>
      </c>
      <c r="I32" s="714">
        <v>8.3299999999999999E-2</v>
      </c>
      <c r="J32" s="714"/>
      <c r="K32" s="714"/>
      <c r="L32" s="714"/>
      <c r="M32" s="714"/>
      <c r="N32" s="714"/>
      <c r="O32" s="714"/>
      <c r="P32" s="714"/>
      <c r="Q32" s="714"/>
      <c r="R32" s="714"/>
      <c r="S32" s="75">
        <f t="shared" si="0"/>
        <v>0.24990000000000001</v>
      </c>
      <c r="T32" s="848"/>
      <c r="U32" s="850"/>
      <c r="V32" s="846"/>
      <c r="W32" s="63"/>
      <c r="X32" s="63"/>
      <c r="Y32" s="63"/>
      <c r="Z32" s="63"/>
    </row>
    <row r="33" spans="1:26" ht="26.25" customHeight="1" x14ac:dyDescent="0.25">
      <c r="A33" s="860"/>
      <c r="B33" s="871" t="s">
        <v>155</v>
      </c>
      <c r="C33" s="854" t="s">
        <v>156</v>
      </c>
      <c r="D33" s="855" t="s">
        <v>140</v>
      </c>
      <c r="E33" s="855"/>
      <c r="F33" s="67" t="s">
        <v>141</v>
      </c>
      <c r="G33" s="714">
        <v>0</v>
      </c>
      <c r="H33" s="714">
        <v>0.05</v>
      </c>
      <c r="I33" s="714">
        <v>0.1</v>
      </c>
      <c r="J33" s="714">
        <v>0.1</v>
      </c>
      <c r="K33" s="714">
        <v>0.1</v>
      </c>
      <c r="L33" s="714">
        <v>0.1</v>
      </c>
      <c r="M33" s="714">
        <v>0.1</v>
      </c>
      <c r="N33" s="714">
        <v>0.1</v>
      </c>
      <c r="O33" s="714">
        <v>0.1</v>
      </c>
      <c r="P33" s="714">
        <v>0.1</v>
      </c>
      <c r="Q33" s="714">
        <v>0.1</v>
      </c>
      <c r="R33" s="714">
        <v>0.05</v>
      </c>
      <c r="S33" s="67">
        <f t="shared" si="0"/>
        <v>0.99999999999999989</v>
      </c>
      <c r="T33" s="862">
        <v>0.15</v>
      </c>
      <c r="U33" s="847">
        <v>0.05</v>
      </c>
      <c r="V33" s="852" t="s">
        <v>599</v>
      </c>
      <c r="W33" s="63"/>
      <c r="X33" s="63"/>
      <c r="Y33" s="63"/>
      <c r="Z33" s="63"/>
    </row>
    <row r="34" spans="1:26" ht="26.25" customHeight="1" x14ac:dyDescent="0.25">
      <c r="A34" s="860"/>
      <c r="B34" s="863"/>
      <c r="C34" s="848"/>
      <c r="D34" s="848"/>
      <c r="E34" s="848"/>
      <c r="F34" s="69" t="s">
        <v>142</v>
      </c>
      <c r="G34" s="714">
        <v>0</v>
      </c>
      <c r="H34" s="714">
        <v>0.05</v>
      </c>
      <c r="I34" s="714">
        <v>0.1</v>
      </c>
      <c r="J34" s="714"/>
      <c r="K34" s="714"/>
      <c r="L34" s="714"/>
      <c r="M34" s="714"/>
      <c r="N34" s="714"/>
      <c r="O34" s="714"/>
      <c r="P34" s="714"/>
      <c r="Q34" s="714"/>
      <c r="R34" s="714"/>
      <c r="S34" s="69">
        <f t="shared" si="0"/>
        <v>0.15000000000000002</v>
      </c>
      <c r="T34" s="863"/>
      <c r="U34" s="848"/>
      <c r="V34" s="853"/>
      <c r="W34" s="63"/>
      <c r="X34" s="63"/>
      <c r="Y34" s="63"/>
      <c r="Z34" s="63"/>
    </row>
    <row r="35" spans="1:26" ht="26.25" customHeight="1" x14ac:dyDescent="0.25">
      <c r="A35" s="860"/>
      <c r="B35" s="863"/>
      <c r="C35" s="854" t="s">
        <v>157</v>
      </c>
      <c r="D35" s="855" t="s">
        <v>140</v>
      </c>
      <c r="E35" s="855"/>
      <c r="F35" s="67" t="s">
        <v>141</v>
      </c>
      <c r="G35" s="714">
        <v>0</v>
      </c>
      <c r="H35" s="714">
        <v>0.05</v>
      </c>
      <c r="I35" s="714">
        <v>0.1</v>
      </c>
      <c r="J35" s="714">
        <v>0.1</v>
      </c>
      <c r="K35" s="714">
        <v>0.1</v>
      </c>
      <c r="L35" s="714">
        <v>0.1</v>
      </c>
      <c r="M35" s="714">
        <v>0.1</v>
      </c>
      <c r="N35" s="714">
        <v>0.1</v>
      </c>
      <c r="O35" s="714">
        <v>0.1</v>
      </c>
      <c r="P35" s="714">
        <v>0.1</v>
      </c>
      <c r="Q35" s="714">
        <v>0.1</v>
      </c>
      <c r="R35" s="714">
        <v>0.05</v>
      </c>
      <c r="S35" s="67">
        <f t="shared" si="0"/>
        <v>0.99999999999999989</v>
      </c>
      <c r="T35" s="863"/>
      <c r="U35" s="847">
        <v>0.05</v>
      </c>
      <c r="V35" s="852" t="s">
        <v>600</v>
      </c>
      <c r="W35" s="63"/>
      <c r="X35" s="63"/>
      <c r="Y35" s="63"/>
      <c r="Z35" s="63"/>
    </row>
    <row r="36" spans="1:26" ht="26.25" customHeight="1" x14ac:dyDescent="0.25">
      <c r="A36" s="860"/>
      <c r="B36" s="863"/>
      <c r="C36" s="848"/>
      <c r="D36" s="848"/>
      <c r="E36" s="848"/>
      <c r="F36" s="69" t="s">
        <v>142</v>
      </c>
      <c r="G36" s="714">
        <v>0</v>
      </c>
      <c r="H36" s="714">
        <v>0.05</v>
      </c>
      <c r="I36" s="714">
        <v>0.1</v>
      </c>
      <c r="J36" s="714"/>
      <c r="K36" s="714"/>
      <c r="L36" s="714"/>
      <c r="M36" s="714"/>
      <c r="N36" s="714"/>
      <c r="O36" s="714"/>
      <c r="P36" s="714"/>
      <c r="Q36" s="714"/>
      <c r="R36" s="714"/>
      <c r="S36" s="69">
        <f t="shared" si="0"/>
        <v>0.15000000000000002</v>
      </c>
      <c r="T36" s="863"/>
      <c r="U36" s="848"/>
      <c r="V36" s="853"/>
      <c r="W36" s="63"/>
      <c r="X36" s="63"/>
      <c r="Y36" s="63"/>
      <c r="Z36" s="63"/>
    </row>
    <row r="37" spans="1:26" ht="26.25" customHeight="1" x14ac:dyDescent="0.25">
      <c r="A37" s="860"/>
      <c r="B37" s="863"/>
      <c r="C37" s="854" t="s">
        <v>158</v>
      </c>
      <c r="D37" s="855" t="s">
        <v>140</v>
      </c>
      <c r="E37" s="855"/>
      <c r="F37" s="67" t="s">
        <v>141</v>
      </c>
      <c r="G37" s="714">
        <v>0</v>
      </c>
      <c r="H37" s="714">
        <v>0.05</v>
      </c>
      <c r="I37" s="714">
        <v>7.0000000000000007E-2</v>
      </c>
      <c r="J37" s="714">
        <v>0.1</v>
      </c>
      <c r="K37" s="714">
        <v>0.1</v>
      </c>
      <c r="L37" s="714">
        <v>0.1</v>
      </c>
      <c r="M37" s="714">
        <v>0.1</v>
      </c>
      <c r="N37" s="714">
        <v>0.1</v>
      </c>
      <c r="O37" s="714">
        <v>0.1</v>
      </c>
      <c r="P37" s="714">
        <v>0.1</v>
      </c>
      <c r="Q37" s="714">
        <v>0.1</v>
      </c>
      <c r="R37" s="714">
        <v>0.08</v>
      </c>
      <c r="S37" s="67">
        <f t="shared" si="0"/>
        <v>0.99999999999999989</v>
      </c>
      <c r="T37" s="863"/>
      <c r="U37" s="847">
        <v>0.05</v>
      </c>
      <c r="V37" s="852" t="s">
        <v>601</v>
      </c>
      <c r="W37" s="63"/>
      <c r="X37" s="63"/>
      <c r="Y37" s="63"/>
      <c r="Z37" s="63"/>
    </row>
    <row r="38" spans="1:26" ht="26.25" customHeight="1" x14ac:dyDescent="0.25">
      <c r="A38" s="860"/>
      <c r="B38" s="863"/>
      <c r="C38" s="848"/>
      <c r="D38" s="848"/>
      <c r="E38" s="848"/>
      <c r="F38" s="69" t="s">
        <v>142</v>
      </c>
      <c r="G38" s="714">
        <v>0</v>
      </c>
      <c r="H38" s="714">
        <v>0.05</v>
      </c>
      <c r="I38" s="714">
        <v>7.0000000000000007E-2</v>
      </c>
      <c r="J38" s="714"/>
      <c r="K38" s="714"/>
      <c r="L38" s="714"/>
      <c r="M38" s="714"/>
      <c r="N38" s="714"/>
      <c r="O38" s="714"/>
      <c r="P38" s="714"/>
      <c r="Q38" s="714"/>
      <c r="R38" s="714"/>
      <c r="S38" s="75">
        <f t="shared" si="0"/>
        <v>0.12000000000000001</v>
      </c>
      <c r="T38" s="863"/>
      <c r="U38" s="848"/>
      <c r="V38" s="853"/>
      <c r="W38" s="63"/>
      <c r="X38" s="63"/>
      <c r="Y38" s="63"/>
      <c r="Z38" s="63"/>
    </row>
    <row r="39" spans="1:26" ht="36.75" hidden="1" customHeight="1" x14ac:dyDescent="0.25">
      <c r="A39" s="860"/>
      <c r="B39" s="863"/>
      <c r="C39" s="854" t="s">
        <v>159</v>
      </c>
      <c r="D39" s="855" t="s">
        <v>145</v>
      </c>
      <c r="E39" s="855"/>
      <c r="F39" s="67" t="s">
        <v>141</v>
      </c>
      <c r="G39" s="77">
        <v>0</v>
      </c>
      <c r="H39" s="77">
        <v>0</v>
      </c>
      <c r="I39" s="77">
        <v>0</v>
      </c>
      <c r="J39" s="77">
        <v>0</v>
      </c>
      <c r="K39" s="77">
        <v>0</v>
      </c>
      <c r="L39" s="77">
        <v>0</v>
      </c>
      <c r="M39" s="77">
        <v>0</v>
      </c>
      <c r="N39" s="77">
        <v>0</v>
      </c>
      <c r="O39" s="77">
        <v>0</v>
      </c>
      <c r="P39" s="77">
        <v>0</v>
      </c>
      <c r="Q39" s="77">
        <v>0</v>
      </c>
      <c r="R39" s="77">
        <v>0</v>
      </c>
      <c r="S39" s="67">
        <f t="shared" si="0"/>
        <v>0</v>
      </c>
      <c r="T39" s="863"/>
      <c r="U39" s="847">
        <v>0</v>
      </c>
      <c r="V39" s="867"/>
      <c r="W39" s="63"/>
      <c r="X39" s="63"/>
      <c r="Y39" s="63"/>
      <c r="Z39" s="63"/>
    </row>
    <row r="40" spans="1:26" ht="12.75" hidden="1" customHeight="1" x14ac:dyDescent="0.25">
      <c r="A40" s="861"/>
      <c r="B40" s="848"/>
      <c r="C40" s="848"/>
      <c r="D40" s="848"/>
      <c r="E40" s="848"/>
      <c r="F40" s="69" t="s">
        <v>142</v>
      </c>
      <c r="G40" s="70"/>
      <c r="H40" s="70"/>
      <c r="I40" s="70"/>
      <c r="J40" s="70"/>
      <c r="K40" s="70"/>
      <c r="L40" s="70"/>
      <c r="M40" s="70"/>
      <c r="N40" s="70"/>
      <c r="O40" s="70"/>
      <c r="P40" s="70"/>
      <c r="Q40" s="70"/>
      <c r="R40" s="70"/>
      <c r="S40" s="69">
        <f t="shared" si="0"/>
        <v>0</v>
      </c>
      <c r="T40" s="848"/>
      <c r="U40" s="848"/>
      <c r="V40" s="848"/>
      <c r="W40" s="63"/>
      <c r="X40" s="63"/>
      <c r="Y40" s="63"/>
      <c r="Z40" s="63"/>
    </row>
    <row r="41" spans="1:26" ht="18.75" customHeight="1" x14ac:dyDescent="0.25">
      <c r="A41" s="869" t="s">
        <v>160</v>
      </c>
      <c r="B41" s="762"/>
      <c r="C41" s="762"/>
      <c r="D41" s="762"/>
      <c r="E41" s="762"/>
      <c r="F41" s="762"/>
      <c r="G41" s="762"/>
      <c r="H41" s="762"/>
      <c r="I41" s="762"/>
      <c r="J41" s="762"/>
      <c r="K41" s="762"/>
      <c r="L41" s="762"/>
      <c r="M41" s="762"/>
      <c r="N41" s="762"/>
      <c r="O41" s="762"/>
      <c r="P41" s="762"/>
      <c r="Q41" s="762"/>
      <c r="R41" s="762"/>
      <c r="S41" s="870"/>
      <c r="T41" s="78">
        <f t="shared" ref="T41:U41" si="1">SUM(T9:T40)</f>
        <v>1</v>
      </c>
      <c r="U41" s="79">
        <f t="shared" si="1"/>
        <v>1.0000000000000002</v>
      </c>
      <c r="V41" s="80"/>
      <c r="W41" s="81"/>
      <c r="X41" s="81"/>
      <c r="Y41" s="81"/>
      <c r="Z41" s="81"/>
    </row>
    <row r="42" spans="1:26" ht="12.75" customHeight="1" x14ac:dyDescent="0.25">
      <c r="A42" s="48"/>
      <c r="B42" s="48"/>
      <c r="C42" s="82"/>
      <c r="D42" s="48"/>
      <c r="E42" s="48"/>
      <c r="F42" s="48"/>
      <c r="G42" s="48"/>
      <c r="H42" s="48"/>
      <c r="I42" s="48"/>
      <c r="J42" s="48"/>
      <c r="K42" s="48"/>
      <c r="L42" s="48"/>
      <c r="M42" s="48"/>
      <c r="N42" s="59"/>
      <c r="O42" s="59"/>
      <c r="P42" s="59"/>
      <c r="Q42" s="59"/>
      <c r="R42" s="59"/>
      <c r="S42" s="59"/>
      <c r="T42" s="59"/>
      <c r="U42" s="83"/>
      <c r="V42" s="84"/>
      <c r="W42" s="63"/>
      <c r="X42" s="63"/>
      <c r="Y42" s="63"/>
      <c r="Z42" s="63"/>
    </row>
    <row r="43" spans="1:26" ht="12.75" customHeight="1" x14ac:dyDescent="0.25">
      <c r="A43" s="48"/>
      <c r="B43" s="48"/>
      <c r="C43" s="82"/>
      <c r="D43" s="48"/>
      <c r="E43" s="48"/>
      <c r="F43" s="48"/>
      <c r="G43" s="48"/>
      <c r="H43" s="48"/>
      <c r="I43" s="48"/>
      <c r="J43" s="48"/>
      <c r="K43" s="48"/>
      <c r="L43" s="48"/>
      <c r="M43" s="48"/>
      <c r="N43" s="59"/>
      <c r="O43" s="59"/>
      <c r="P43" s="59"/>
      <c r="Q43" s="59"/>
      <c r="R43" s="59"/>
      <c r="S43" s="59"/>
      <c r="T43" s="59"/>
      <c r="U43" s="59"/>
      <c r="V43" s="84"/>
      <c r="W43" s="63"/>
      <c r="X43" s="63"/>
      <c r="Y43" s="63"/>
      <c r="Z43" s="63"/>
    </row>
    <row r="44" spans="1:26" ht="12.75" customHeight="1" x14ac:dyDescent="0.25">
      <c r="A44" s="48"/>
      <c r="B44" s="48"/>
      <c r="C44" s="82"/>
      <c r="D44" s="48"/>
      <c r="E44" s="48"/>
      <c r="F44" s="48"/>
      <c r="G44" s="48"/>
      <c r="H44" s="48"/>
      <c r="I44" s="48"/>
      <c r="J44" s="48"/>
      <c r="K44" s="48"/>
      <c r="L44" s="48"/>
      <c r="M44" s="48"/>
      <c r="N44" s="59"/>
      <c r="O44" s="59"/>
      <c r="P44" s="59"/>
      <c r="Q44" s="59"/>
      <c r="R44" s="59"/>
      <c r="S44" s="59"/>
      <c r="T44" s="59"/>
      <c r="U44" s="59"/>
      <c r="V44" s="84"/>
      <c r="W44" s="63"/>
      <c r="X44" s="63"/>
      <c r="Y44" s="63"/>
      <c r="Z44" s="63"/>
    </row>
    <row r="45" spans="1:26" ht="12.75" customHeight="1" x14ac:dyDescent="0.25">
      <c r="A45" s="48"/>
      <c r="B45" s="48"/>
      <c r="C45" s="841"/>
      <c r="D45" s="842"/>
      <c r="E45" s="842"/>
      <c r="F45" s="842"/>
      <c r="G45" s="842"/>
      <c r="H45" s="842"/>
      <c r="I45" s="842"/>
      <c r="J45" s="842"/>
      <c r="K45" s="842"/>
      <c r="L45" s="842"/>
      <c r="M45" s="842"/>
      <c r="N45" s="842"/>
      <c r="O45" s="842"/>
      <c r="P45" s="842"/>
      <c r="Q45" s="842"/>
      <c r="R45" s="842"/>
      <c r="S45" s="843"/>
      <c r="T45" s="59"/>
      <c r="U45" s="59"/>
      <c r="V45" s="84"/>
      <c r="W45" s="63"/>
      <c r="X45" s="63"/>
      <c r="Y45" s="63"/>
      <c r="Z45" s="63"/>
    </row>
    <row r="46" spans="1:26" ht="26.25" customHeight="1" x14ac:dyDescent="0.25">
      <c r="A46" s="63"/>
      <c r="B46" s="32" t="s">
        <v>81</v>
      </c>
      <c r="C46" s="770" t="s">
        <v>82</v>
      </c>
      <c r="D46" s="771"/>
      <c r="E46" s="771"/>
      <c r="F46" s="771"/>
      <c r="G46" s="771"/>
      <c r="H46" s="771"/>
      <c r="I46" s="772"/>
      <c r="J46" s="773" t="s">
        <v>83</v>
      </c>
      <c r="K46" s="771"/>
      <c r="L46" s="771"/>
      <c r="M46" s="771"/>
      <c r="N46" s="771"/>
      <c r="O46" s="771"/>
      <c r="P46" s="772"/>
      <c r="Q46" s="59"/>
      <c r="R46" s="59"/>
      <c r="S46" s="59"/>
      <c r="T46" s="59"/>
      <c r="U46" s="59"/>
      <c r="V46" s="84"/>
      <c r="W46" s="48"/>
      <c r="X46" s="48"/>
      <c r="Y46" s="48"/>
      <c r="Z46" s="48"/>
    </row>
    <row r="47" spans="1:26" ht="25.5" customHeight="1" x14ac:dyDescent="0.25">
      <c r="A47" s="48"/>
      <c r="B47" s="34">
        <v>13</v>
      </c>
      <c r="C47" s="774" t="s">
        <v>161</v>
      </c>
      <c r="D47" s="771"/>
      <c r="E47" s="771"/>
      <c r="F47" s="771"/>
      <c r="G47" s="771"/>
      <c r="H47" s="771"/>
      <c r="I47" s="772"/>
      <c r="J47" s="774" t="s">
        <v>84</v>
      </c>
      <c r="K47" s="771"/>
      <c r="L47" s="771"/>
      <c r="M47" s="771"/>
      <c r="N47" s="771"/>
      <c r="O47" s="771"/>
      <c r="P47" s="772"/>
      <c r="Q47" s="59"/>
      <c r="R47" s="59"/>
      <c r="S47" s="59"/>
      <c r="T47" s="59"/>
      <c r="U47" s="59"/>
      <c r="V47" s="84"/>
      <c r="W47" s="48"/>
      <c r="X47" s="48"/>
      <c r="Y47" s="48"/>
      <c r="Z47" s="48"/>
    </row>
    <row r="48" spans="1:26" ht="26.25" customHeight="1" x14ac:dyDescent="0.25">
      <c r="A48" s="48"/>
      <c r="B48" s="34">
        <v>14</v>
      </c>
      <c r="C48" s="774" t="s">
        <v>85</v>
      </c>
      <c r="D48" s="771"/>
      <c r="E48" s="771"/>
      <c r="F48" s="771"/>
      <c r="G48" s="771"/>
      <c r="H48" s="771"/>
      <c r="I48" s="772"/>
      <c r="J48" s="775" t="s">
        <v>162</v>
      </c>
      <c r="K48" s="771"/>
      <c r="L48" s="771"/>
      <c r="M48" s="771"/>
      <c r="N48" s="771"/>
      <c r="O48" s="771"/>
      <c r="P48" s="772"/>
      <c r="Q48" s="59"/>
      <c r="R48" s="59"/>
      <c r="S48" s="59"/>
      <c r="T48" s="59"/>
      <c r="U48" s="59"/>
      <c r="V48" s="84"/>
      <c r="W48" s="48"/>
      <c r="X48" s="48"/>
      <c r="Y48" s="48"/>
      <c r="Z48" s="48"/>
    </row>
    <row r="49" spans="1:26" ht="12.75" customHeight="1" x14ac:dyDescent="0.25">
      <c r="A49" s="48"/>
      <c r="B49" s="48"/>
      <c r="C49" s="82"/>
      <c r="D49" s="48"/>
      <c r="E49" s="48"/>
      <c r="F49" s="48"/>
      <c r="G49" s="48"/>
      <c r="H49" s="48"/>
      <c r="I49" s="48"/>
      <c r="J49" s="48"/>
      <c r="K49" s="48"/>
      <c r="L49" s="48"/>
      <c r="M49" s="48"/>
      <c r="N49" s="59"/>
      <c r="O49" s="59"/>
      <c r="P49" s="59"/>
      <c r="Q49" s="59"/>
      <c r="R49" s="59"/>
      <c r="S49" s="59"/>
      <c r="T49" s="59"/>
      <c r="U49" s="59"/>
      <c r="V49" s="84"/>
      <c r="W49" s="63"/>
      <c r="X49" s="63"/>
      <c r="Y49" s="63"/>
      <c r="Z49" s="63"/>
    </row>
    <row r="50" spans="1:26" ht="12.75" customHeight="1" x14ac:dyDescent="0.25">
      <c r="A50" s="48"/>
      <c r="B50" s="48"/>
      <c r="C50" s="82"/>
      <c r="D50" s="48"/>
      <c r="E50" s="48"/>
      <c r="F50" s="48"/>
      <c r="G50" s="48"/>
      <c r="H50" s="48"/>
      <c r="I50" s="48"/>
      <c r="J50" s="48"/>
      <c r="K50" s="48"/>
      <c r="L50" s="48"/>
      <c r="M50" s="48"/>
      <c r="N50" s="59"/>
      <c r="O50" s="59"/>
      <c r="P50" s="59"/>
      <c r="Q50" s="59"/>
      <c r="R50" s="59"/>
      <c r="S50" s="59"/>
      <c r="T50" s="59"/>
      <c r="U50" s="59"/>
      <c r="V50" s="84"/>
      <c r="W50" s="63"/>
      <c r="X50" s="63"/>
      <c r="Y50" s="63"/>
      <c r="Z50" s="63"/>
    </row>
    <row r="51" spans="1:26" ht="12.75" customHeight="1" x14ac:dyDescent="0.25">
      <c r="A51" s="48"/>
      <c r="B51" s="48"/>
      <c r="C51" s="82"/>
      <c r="D51" s="48"/>
      <c r="E51" s="48"/>
      <c r="F51" s="48"/>
      <c r="G51" s="48"/>
      <c r="H51" s="48"/>
      <c r="I51" s="48"/>
      <c r="J51" s="48"/>
      <c r="K51" s="48"/>
      <c r="L51" s="48"/>
      <c r="M51" s="48"/>
      <c r="N51" s="59"/>
      <c r="O51" s="59"/>
      <c r="P51" s="59"/>
      <c r="Q51" s="59"/>
      <c r="R51" s="59"/>
      <c r="S51" s="59"/>
      <c r="T51" s="59"/>
      <c r="U51" s="59"/>
      <c r="V51" s="84"/>
      <c r="W51" s="63"/>
      <c r="X51" s="63"/>
      <c r="Y51" s="63"/>
      <c r="Z51" s="63"/>
    </row>
    <row r="52" spans="1:26" ht="12.75" customHeight="1" x14ac:dyDescent="0.25">
      <c r="A52" s="48"/>
      <c r="B52" s="48"/>
      <c r="C52" s="82"/>
      <c r="D52" s="48"/>
      <c r="E52" s="48"/>
      <c r="F52" s="48"/>
      <c r="G52" s="48"/>
      <c r="H52" s="48"/>
      <c r="I52" s="48"/>
      <c r="J52" s="48"/>
      <c r="K52" s="48"/>
      <c r="L52" s="48"/>
      <c r="M52" s="48"/>
      <c r="N52" s="59"/>
      <c r="O52" s="59"/>
      <c r="P52" s="59"/>
      <c r="Q52" s="59"/>
      <c r="R52" s="59"/>
      <c r="S52" s="59"/>
      <c r="T52" s="59"/>
      <c r="U52" s="59"/>
      <c r="V52" s="84"/>
      <c r="W52" s="63"/>
      <c r="X52" s="63"/>
      <c r="Y52" s="63"/>
      <c r="Z52" s="63"/>
    </row>
    <row r="53" spans="1:26" ht="12.75" customHeight="1" x14ac:dyDescent="0.25">
      <c r="A53" s="48"/>
      <c r="B53" s="48"/>
      <c r="C53" s="82"/>
      <c r="D53" s="48"/>
      <c r="E53" s="48"/>
      <c r="F53" s="48"/>
      <c r="G53" s="48"/>
      <c r="H53" s="48"/>
      <c r="I53" s="48"/>
      <c r="J53" s="48"/>
      <c r="K53" s="48"/>
      <c r="L53" s="48"/>
      <c r="M53" s="48"/>
      <c r="N53" s="59"/>
      <c r="O53" s="59"/>
      <c r="P53" s="59"/>
      <c r="Q53" s="59"/>
      <c r="R53" s="59"/>
      <c r="S53" s="59"/>
      <c r="T53" s="59"/>
      <c r="U53" s="59"/>
      <c r="V53" s="84"/>
      <c r="W53" s="63"/>
      <c r="X53" s="63"/>
      <c r="Y53" s="63"/>
      <c r="Z53" s="63"/>
    </row>
    <row r="54" spans="1:26" ht="12.75" customHeight="1" x14ac:dyDescent="0.25">
      <c r="A54" s="48"/>
      <c r="B54" s="48"/>
      <c r="C54" s="82"/>
      <c r="D54" s="48"/>
      <c r="E54" s="48"/>
      <c r="F54" s="48"/>
      <c r="G54" s="48"/>
      <c r="H54" s="48"/>
      <c r="I54" s="48"/>
      <c r="J54" s="48"/>
      <c r="K54" s="48"/>
      <c r="L54" s="48"/>
      <c r="M54" s="48"/>
      <c r="N54" s="59"/>
      <c r="O54" s="59"/>
      <c r="P54" s="59"/>
      <c r="Q54" s="59"/>
      <c r="R54" s="59"/>
      <c r="S54" s="59"/>
      <c r="T54" s="59"/>
      <c r="U54" s="59"/>
      <c r="V54" s="84"/>
      <c r="W54" s="63"/>
      <c r="X54" s="63"/>
      <c r="Y54" s="63"/>
      <c r="Z54" s="63"/>
    </row>
    <row r="55" spans="1:26" ht="12.75" customHeight="1" x14ac:dyDescent="0.25">
      <c r="A55" s="48"/>
      <c r="B55" s="48"/>
      <c r="C55" s="82"/>
      <c r="D55" s="48"/>
      <c r="E55" s="48"/>
      <c r="F55" s="48"/>
      <c r="G55" s="48"/>
      <c r="H55" s="48"/>
      <c r="I55" s="48"/>
      <c r="J55" s="48"/>
      <c r="K55" s="48"/>
      <c r="L55" s="48"/>
      <c r="M55" s="48"/>
      <c r="N55" s="59"/>
      <c r="O55" s="59"/>
      <c r="P55" s="59"/>
      <c r="Q55" s="59"/>
      <c r="R55" s="59"/>
      <c r="S55" s="59"/>
      <c r="T55" s="59"/>
      <c r="U55" s="59"/>
      <c r="V55" s="84"/>
      <c r="W55" s="63"/>
      <c r="X55" s="63"/>
      <c r="Y55" s="63"/>
      <c r="Z55" s="63"/>
    </row>
    <row r="56" spans="1:26" ht="12.75" customHeight="1" x14ac:dyDescent="0.25">
      <c r="A56" s="48"/>
      <c r="B56" s="48"/>
      <c r="C56" s="82"/>
      <c r="D56" s="48"/>
      <c r="E56" s="48"/>
      <c r="F56" s="48"/>
      <c r="G56" s="48"/>
      <c r="H56" s="48"/>
      <c r="I56" s="48"/>
      <c r="J56" s="48"/>
      <c r="K56" s="48"/>
      <c r="L56" s="48"/>
      <c r="M56" s="48"/>
      <c r="N56" s="59"/>
      <c r="O56" s="59"/>
      <c r="P56" s="59"/>
      <c r="Q56" s="59"/>
      <c r="R56" s="59"/>
      <c r="S56" s="59"/>
      <c r="T56" s="59"/>
      <c r="U56" s="59"/>
      <c r="V56" s="84"/>
      <c r="W56" s="63"/>
      <c r="X56" s="63"/>
      <c r="Y56" s="63"/>
      <c r="Z56" s="63"/>
    </row>
    <row r="57" spans="1:26" ht="12.75" customHeight="1" x14ac:dyDescent="0.25">
      <c r="A57" s="48"/>
      <c r="B57" s="48"/>
      <c r="C57" s="82"/>
      <c r="D57" s="48"/>
      <c r="E57" s="48"/>
      <c r="F57" s="48"/>
      <c r="G57" s="48"/>
      <c r="H57" s="48"/>
      <c r="I57" s="48"/>
      <c r="J57" s="48"/>
      <c r="K57" s="48"/>
      <c r="L57" s="48"/>
      <c r="M57" s="48"/>
      <c r="N57" s="59"/>
      <c r="O57" s="59"/>
      <c r="P57" s="59"/>
      <c r="Q57" s="59"/>
      <c r="R57" s="59"/>
      <c r="S57" s="59"/>
      <c r="T57" s="59"/>
      <c r="U57" s="59"/>
      <c r="V57" s="84"/>
      <c r="W57" s="63"/>
      <c r="X57" s="63"/>
      <c r="Y57" s="63"/>
      <c r="Z57" s="63"/>
    </row>
    <row r="58" spans="1:26" ht="12.75" customHeight="1" x14ac:dyDescent="0.25">
      <c r="A58" s="48"/>
      <c r="B58" s="48"/>
      <c r="C58" s="82"/>
      <c r="D58" s="48"/>
      <c r="E58" s="48"/>
      <c r="F58" s="48"/>
      <c r="G58" s="48"/>
      <c r="H58" s="48"/>
      <c r="I58" s="48"/>
      <c r="J58" s="48"/>
      <c r="K58" s="48"/>
      <c r="L58" s="48"/>
      <c r="M58" s="48"/>
      <c r="N58" s="59"/>
      <c r="O58" s="59"/>
      <c r="P58" s="59"/>
      <c r="Q58" s="59"/>
      <c r="R58" s="59"/>
      <c r="S58" s="59"/>
      <c r="T58" s="59"/>
      <c r="U58" s="59"/>
      <c r="V58" s="84"/>
      <c r="W58" s="63"/>
      <c r="X58" s="63"/>
      <c r="Y58" s="63"/>
      <c r="Z58" s="63"/>
    </row>
    <row r="59" spans="1:26" ht="12.75" customHeight="1" x14ac:dyDescent="0.25">
      <c r="A59" s="48"/>
      <c r="B59" s="48"/>
      <c r="C59" s="82"/>
      <c r="D59" s="48"/>
      <c r="E59" s="48"/>
      <c r="F59" s="48"/>
      <c r="G59" s="48"/>
      <c r="H59" s="48"/>
      <c r="I59" s="48"/>
      <c r="J59" s="48"/>
      <c r="K59" s="48"/>
      <c r="L59" s="48"/>
      <c r="M59" s="48"/>
      <c r="N59" s="59"/>
      <c r="O59" s="59"/>
      <c r="P59" s="59"/>
      <c r="Q59" s="59"/>
      <c r="R59" s="59"/>
      <c r="S59" s="59"/>
      <c r="T59" s="59"/>
      <c r="U59" s="59"/>
      <c r="V59" s="84"/>
      <c r="W59" s="63"/>
      <c r="X59" s="63"/>
      <c r="Y59" s="63"/>
      <c r="Z59" s="63"/>
    </row>
    <row r="60" spans="1:26" ht="12.75" customHeight="1" x14ac:dyDescent="0.25">
      <c r="A60" s="48"/>
      <c r="B60" s="48"/>
      <c r="C60" s="82"/>
      <c r="D60" s="48"/>
      <c r="E60" s="48"/>
      <c r="F60" s="48"/>
      <c r="G60" s="48"/>
      <c r="H60" s="48"/>
      <c r="I60" s="48"/>
      <c r="J60" s="48"/>
      <c r="K60" s="48"/>
      <c r="L60" s="48"/>
      <c r="M60" s="48"/>
      <c r="N60" s="59"/>
      <c r="O60" s="59"/>
      <c r="P60" s="59"/>
      <c r="Q60" s="59"/>
      <c r="R60" s="59"/>
      <c r="S60" s="59"/>
      <c r="T60" s="59"/>
      <c r="U60" s="59"/>
      <c r="V60" s="84"/>
      <c r="W60" s="63"/>
      <c r="X60" s="63"/>
      <c r="Y60" s="63"/>
      <c r="Z60" s="63"/>
    </row>
    <row r="61" spans="1:26" ht="12.75" customHeight="1" x14ac:dyDescent="0.25">
      <c r="A61" s="48"/>
      <c r="B61" s="48"/>
      <c r="C61" s="82"/>
      <c r="D61" s="48"/>
      <c r="E61" s="48"/>
      <c r="F61" s="48"/>
      <c r="G61" s="48"/>
      <c r="H61" s="48"/>
      <c r="I61" s="48"/>
      <c r="J61" s="48"/>
      <c r="K61" s="48"/>
      <c r="L61" s="48"/>
      <c r="M61" s="48"/>
      <c r="N61" s="59"/>
      <c r="O61" s="59"/>
      <c r="P61" s="59"/>
      <c r="Q61" s="59"/>
      <c r="R61" s="59"/>
      <c r="S61" s="59"/>
      <c r="T61" s="59"/>
      <c r="U61" s="59"/>
      <c r="V61" s="84"/>
      <c r="W61" s="63"/>
      <c r="X61" s="63"/>
      <c r="Y61" s="63"/>
      <c r="Z61" s="63"/>
    </row>
    <row r="62" spans="1:26" ht="12.75" customHeight="1" x14ac:dyDescent="0.25">
      <c r="A62" s="48"/>
      <c r="B62" s="48"/>
      <c r="C62" s="82"/>
      <c r="D62" s="48"/>
      <c r="E62" s="48"/>
      <c r="F62" s="48"/>
      <c r="G62" s="48"/>
      <c r="H62" s="48"/>
      <c r="I62" s="48"/>
      <c r="J62" s="48"/>
      <c r="K62" s="48"/>
      <c r="L62" s="48"/>
      <c r="M62" s="48"/>
      <c r="N62" s="59"/>
      <c r="O62" s="59"/>
      <c r="P62" s="59"/>
      <c r="Q62" s="59"/>
      <c r="R62" s="59"/>
      <c r="S62" s="59"/>
      <c r="T62" s="59"/>
      <c r="U62" s="59"/>
      <c r="V62" s="84"/>
      <c r="W62" s="63"/>
      <c r="X62" s="63"/>
      <c r="Y62" s="63"/>
      <c r="Z62" s="63"/>
    </row>
    <row r="63" spans="1:26" ht="12.75" customHeight="1" x14ac:dyDescent="0.25">
      <c r="A63" s="48"/>
      <c r="B63" s="48"/>
      <c r="C63" s="82"/>
      <c r="D63" s="48"/>
      <c r="E63" s="48"/>
      <c r="F63" s="48"/>
      <c r="G63" s="48"/>
      <c r="H63" s="48"/>
      <c r="I63" s="48"/>
      <c r="J63" s="48"/>
      <c r="K63" s="48"/>
      <c r="L63" s="48"/>
      <c r="M63" s="48"/>
      <c r="N63" s="59"/>
      <c r="O63" s="59"/>
      <c r="P63" s="59"/>
      <c r="Q63" s="59"/>
      <c r="R63" s="59"/>
      <c r="S63" s="59"/>
      <c r="T63" s="59"/>
      <c r="U63" s="59"/>
      <c r="V63" s="84"/>
      <c r="W63" s="63"/>
      <c r="X63" s="63"/>
      <c r="Y63" s="63"/>
      <c r="Z63" s="63"/>
    </row>
    <row r="64" spans="1:26" ht="12.75" customHeight="1" x14ac:dyDescent="0.25">
      <c r="A64" s="48"/>
      <c r="B64" s="48"/>
      <c r="C64" s="82"/>
      <c r="D64" s="48"/>
      <c r="E64" s="48"/>
      <c r="F64" s="48"/>
      <c r="G64" s="48"/>
      <c r="H64" s="48"/>
      <c r="I64" s="48"/>
      <c r="J64" s="48"/>
      <c r="K64" s="48"/>
      <c r="L64" s="48"/>
      <c r="M64" s="48"/>
      <c r="N64" s="59"/>
      <c r="O64" s="59"/>
      <c r="P64" s="59"/>
      <c r="Q64" s="59"/>
      <c r="R64" s="59"/>
      <c r="S64" s="59"/>
      <c r="T64" s="59"/>
      <c r="U64" s="59"/>
      <c r="V64" s="84"/>
      <c r="W64" s="63"/>
      <c r="X64" s="63"/>
      <c r="Y64" s="63"/>
      <c r="Z64" s="63"/>
    </row>
    <row r="65" spans="1:26" ht="12.75" customHeight="1" x14ac:dyDescent="0.25">
      <c r="A65" s="48"/>
      <c r="B65" s="48"/>
      <c r="C65" s="82"/>
      <c r="D65" s="48"/>
      <c r="E65" s="48"/>
      <c r="F65" s="48"/>
      <c r="G65" s="48"/>
      <c r="H65" s="48"/>
      <c r="I65" s="48"/>
      <c r="J65" s="48"/>
      <c r="K65" s="48"/>
      <c r="L65" s="48"/>
      <c r="M65" s="48"/>
      <c r="N65" s="59"/>
      <c r="O65" s="59"/>
      <c r="P65" s="59"/>
      <c r="Q65" s="59"/>
      <c r="R65" s="59"/>
      <c r="S65" s="59"/>
      <c r="T65" s="59"/>
      <c r="U65" s="59"/>
      <c r="V65" s="84"/>
      <c r="W65" s="63"/>
      <c r="X65" s="63"/>
      <c r="Y65" s="63"/>
      <c r="Z65" s="63"/>
    </row>
    <row r="66" spans="1:26" ht="12.75" customHeight="1" x14ac:dyDescent="0.25">
      <c r="A66" s="48"/>
      <c r="B66" s="48"/>
      <c r="C66" s="82"/>
      <c r="D66" s="48"/>
      <c r="E66" s="48"/>
      <c r="F66" s="48"/>
      <c r="G66" s="48"/>
      <c r="H66" s="48"/>
      <c r="I66" s="48"/>
      <c r="J66" s="48"/>
      <c r="K66" s="48"/>
      <c r="L66" s="48"/>
      <c r="M66" s="48"/>
      <c r="N66" s="59"/>
      <c r="O66" s="59"/>
      <c r="P66" s="59"/>
      <c r="Q66" s="59"/>
      <c r="R66" s="59"/>
      <c r="S66" s="59"/>
      <c r="T66" s="59"/>
      <c r="U66" s="59"/>
      <c r="V66" s="84"/>
      <c r="W66" s="63"/>
      <c r="X66" s="63"/>
      <c r="Y66" s="63"/>
      <c r="Z66" s="63"/>
    </row>
    <row r="67" spans="1:26" ht="12.75" customHeight="1" x14ac:dyDescent="0.25">
      <c r="A67" s="48"/>
      <c r="B67" s="48"/>
      <c r="C67" s="82"/>
      <c r="D67" s="48"/>
      <c r="E67" s="48"/>
      <c r="F67" s="48"/>
      <c r="G67" s="48"/>
      <c r="H67" s="48"/>
      <c r="I67" s="48"/>
      <c r="J67" s="48"/>
      <c r="K67" s="48"/>
      <c r="L67" s="48"/>
      <c r="M67" s="48"/>
      <c r="N67" s="59"/>
      <c r="O67" s="59"/>
      <c r="P67" s="59"/>
      <c r="Q67" s="59"/>
      <c r="R67" s="59"/>
      <c r="S67" s="59"/>
      <c r="T67" s="59"/>
      <c r="U67" s="59"/>
      <c r="V67" s="84"/>
      <c r="W67" s="63"/>
      <c r="X67" s="63"/>
      <c r="Y67" s="63"/>
      <c r="Z67" s="63"/>
    </row>
    <row r="68" spans="1:26" ht="12.75" customHeight="1" x14ac:dyDescent="0.25">
      <c r="A68" s="48"/>
      <c r="B68" s="48"/>
      <c r="C68" s="82"/>
      <c r="D68" s="48"/>
      <c r="E68" s="48"/>
      <c r="F68" s="48"/>
      <c r="G68" s="48"/>
      <c r="H68" s="48"/>
      <c r="I68" s="48"/>
      <c r="J68" s="48"/>
      <c r="K68" s="48"/>
      <c r="L68" s="48"/>
      <c r="M68" s="48"/>
      <c r="N68" s="59"/>
      <c r="O68" s="59"/>
      <c r="P68" s="59"/>
      <c r="Q68" s="59"/>
      <c r="R68" s="59"/>
      <c r="S68" s="59"/>
      <c r="T68" s="59"/>
      <c r="U68" s="59"/>
      <c r="V68" s="84"/>
      <c r="W68" s="63"/>
      <c r="X68" s="63"/>
      <c r="Y68" s="63"/>
      <c r="Z68" s="63"/>
    </row>
    <row r="69" spans="1:26" ht="12.75" customHeight="1" x14ac:dyDescent="0.25">
      <c r="A69" s="48"/>
      <c r="B69" s="48"/>
      <c r="C69" s="82"/>
      <c r="D69" s="48"/>
      <c r="E69" s="48"/>
      <c r="F69" s="48"/>
      <c r="G69" s="48"/>
      <c r="H69" s="48"/>
      <c r="I69" s="48"/>
      <c r="J69" s="48"/>
      <c r="K69" s="48"/>
      <c r="L69" s="48"/>
      <c r="M69" s="48"/>
      <c r="N69" s="59"/>
      <c r="O69" s="59"/>
      <c r="P69" s="59"/>
      <c r="Q69" s="59"/>
      <c r="R69" s="59"/>
      <c r="S69" s="59"/>
      <c r="T69" s="59"/>
      <c r="U69" s="59"/>
      <c r="V69" s="84"/>
      <c r="W69" s="63"/>
      <c r="X69" s="63"/>
      <c r="Y69" s="63"/>
      <c r="Z69" s="63"/>
    </row>
    <row r="70" spans="1:26" ht="12.75" customHeight="1" x14ac:dyDescent="0.25">
      <c r="A70" s="48"/>
      <c r="B70" s="48"/>
      <c r="C70" s="82"/>
      <c r="D70" s="48"/>
      <c r="E70" s="48"/>
      <c r="F70" s="48"/>
      <c r="G70" s="48"/>
      <c r="H70" s="48"/>
      <c r="I70" s="48"/>
      <c r="J70" s="48"/>
      <c r="K70" s="48"/>
      <c r="L70" s="48"/>
      <c r="M70" s="48"/>
      <c r="N70" s="59"/>
      <c r="O70" s="59"/>
      <c r="P70" s="59"/>
      <c r="Q70" s="59"/>
      <c r="R70" s="59"/>
      <c r="S70" s="59"/>
      <c r="T70" s="59"/>
      <c r="U70" s="59"/>
      <c r="V70" s="84"/>
      <c r="W70" s="63"/>
      <c r="X70" s="63"/>
      <c r="Y70" s="63"/>
      <c r="Z70" s="63"/>
    </row>
    <row r="71" spans="1:26" ht="12.75" customHeight="1" x14ac:dyDescent="0.25">
      <c r="A71" s="48"/>
      <c r="B71" s="48"/>
      <c r="C71" s="82"/>
      <c r="D71" s="48"/>
      <c r="E71" s="48"/>
      <c r="F71" s="48"/>
      <c r="G71" s="48"/>
      <c r="H71" s="48"/>
      <c r="I71" s="48"/>
      <c r="J71" s="48"/>
      <c r="K71" s="48"/>
      <c r="L71" s="48"/>
      <c r="M71" s="48"/>
      <c r="N71" s="59"/>
      <c r="O71" s="59"/>
      <c r="P71" s="59"/>
      <c r="Q71" s="59"/>
      <c r="R71" s="59"/>
      <c r="S71" s="59"/>
      <c r="T71" s="59"/>
      <c r="U71" s="59"/>
      <c r="V71" s="84"/>
      <c r="W71" s="63"/>
      <c r="X71" s="63"/>
      <c r="Y71" s="63"/>
      <c r="Z71" s="63"/>
    </row>
    <row r="72" spans="1:26" ht="12.75" customHeight="1" x14ac:dyDescent="0.25">
      <c r="A72" s="48"/>
      <c r="B72" s="48"/>
      <c r="C72" s="82"/>
      <c r="D72" s="48"/>
      <c r="E72" s="48"/>
      <c r="F72" s="48"/>
      <c r="G72" s="48"/>
      <c r="H72" s="48"/>
      <c r="I72" s="48"/>
      <c r="J72" s="48"/>
      <c r="K72" s="48"/>
      <c r="L72" s="48"/>
      <c r="M72" s="48"/>
      <c r="N72" s="59"/>
      <c r="O72" s="59"/>
      <c r="P72" s="59"/>
      <c r="Q72" s="59"/>
      <c r="R72" s="59"/>
      <c r="S72" s="59"/>
      <c r="T72" s="59"/>
      <c r="U72" s="59"/>
      <c r="V72" s="84"/>
      <c r="W72" s="63"/>
      <c r="X72" s="63"/>
      <c r="Y72" s="63"/>
      <c r="Z72" s="63"/>
    </row>
    <row r="73" spans="1:26" ht="12.75" customHeight="1" x14ac:dyDescent="0.25">
      <c r="A73" s="48"/>
      <c r="B73" s="48"/>
      <c r="C73" s="82"/>
      <c r="D73" s="48"/>
      <c r="E73" s="48"/>
      <c r="F73" s="48"/>
      <c r="G73" s="48"/>
      <c r="H73" s="48"/>
      <c r="I73" s="48"/>
      <c r="J73" s="48"/>
      <c r="K73" s="48"/>
      <c r="L73" s="48"/>
      <c r="M73" s="48"/>
      <c r="N73" s="59"/>
      <c r="O73" s="59"/>
      <c r="P73" s="59"/>
      <c r="Q73" s="59"/>
      <c r="R73" s="59"/>
      <c r="S73" s="59"/>
      <c r="T73" s="59"/>
      <c r="U73" s="59"/>
      <c r="V73" s="84"/>
      <c r="W73" s="63"/>
      <c r="X73" s="63"/>
      <c r="Y73" s="63"/>
      <c r="Z73" s="63"/>
    </row>
    <row r="74" spans="1:26" ht="12.75" customHeight="1" x14ac:dyDescent="0.25">
      <c r="A74" s="48"/>
      <c r="B74" s="48"/>
      <c r="C74" s="82"/>
      <c r="D74" s="48"/>
      <c r="E74" s="48"/>
      <c r="F74" s="48"/>
      <c r="G74" s="48"/>
      <c r="H74" s="48"/>
      <c r="I74" s="48"/>
      <c r="J74" s="48"/>
      <c r="K74" s="48"/>
      <c r="L74" s="48"/>
      <c r="M74" s="48"/>
      <c r="N74" s="59"/>
      <c r="O74" s="59"/>
      <c r="P74" s="59"/>
      <c r="Q74" s="59"/>
      <c r="R74" s="59"/>
      <c r="S74" s="59"/>
      <c r="T74" s="59"/>
      <c r="U74" s="59"/>
      <c r="V74" s="84"/>
      <c r="W74" s="63"/>
      <c r="X74" s="63"/>
      <c r="Y74" s="63"/>
      <c r="Z74" s="63"/>
    </row>
    <row r="75" spans="1:26" ht="12.75" customHeight="1" x14ac:dyDescent="0.25">
      <c r="A75" s="48"/>
      <c r="B75" s="48"/>
      <c r="C75" s="82"/>
      <c r="D75" s="48"/>
      <c r="E75" s="48"/>
      <c r="F75" s="48"/>
      <c r="G75" s="48"/>
      <c r="H75" s="48"/>
      <c r="I75" s="48"/>
      <c r="J75" s="48"/>
      <c r="K75" s="48"/>
      <c r="L75" s="48"/>
      <c r="M75" s="48"/>
      <c r="N75" s="59"/>
      <c r="O75" s="59"/>
      <c r="P75" s="59"/>
      <c r="Q75" s="59"/>
      <c r="R75" s="59"/>
      <c r="S75" s="59"/>
      <c r="T75" s="59"/>
      <c r="U75" s="59"/>
      <c r="V75" s="84"/>
      <c r="W75" s="63"/>
      <c r="X75" s="63"/>
      <c r="Y75" s="63"/>
      <c r="Z75" s="63"/>
    </row>
    <row r="76" spans="1:26" ht="12.75" customHeight="1" x14ac:dyDescent="0.25">
      <c r="A76" s="48"/>
      <c r="B76" s="48"/>
      <c r="C76" s="82"/>
      <c r="D76" s="48"/>
      <c r="E76" s="48"/>
      <c r="F76" s="48"/>
      <c r="G76" s="48"/>
      <c r="H76" s="48"/>
      <c r="I76" s="48"/>
      <c r="J76" s="48"/>
      <c r="K76" s="48"/>
      <c r="L76" s="48"/>
      <c r="M76" s="48"/>
      <c r="N76" s="59"/>
      <c r="O76" s="59"/>
      <c r="P76" s="59"/>
      <c r="Q76" s="59"/>
      <c r="R76" s="59"/>
      <c r="S76" s="59"/>
      <c r="T76" s="59"/>
      <c r="U76" s="59"/>
      <c r="V76" s="84"/>
      <c r="W76" s="63"/>
      <c r="X76" s="63"/>
      <c r="Y76" s="63"/>
      <c r="Z76" s="63"/>
    </row>
    <row r="77" spans="1:26" ht="12.75" customHeight="1" x14ac:dyDescent="0.25">
      <c r="A77" s="48"/>
      <c r="B77" s="48"/>
      <c r="C77" s="82"/>
      <c r="D77" s="48"/>
      <c r="E77" s="48"/>
      <c r="F77" s="48"/>
      <c r="G77" s="48"/>
      <c r="H77" s="48"/>
      <c r="I77" s="48"/>
      <c r="J77" s="48"/>
      <c r="K77" s="48"/>
      <c r="L77" s="48"/>
      <c r="M77" s="48"/>
      <c r="N77" s="59"/>
      <c r="O77" s="59"/>
      <c r="P77" s="59"/>
      <c r="Q77" s="59"/>
      <c r="R77" s="59"/>
      <c r="S77" s="59"/>
      <c r="T77" s="59"/>
      <c r="U77" s="59"/>
      <c r="V77" s="84"/>
      <c r="W77" s="63"/>
      <c r="X77" s="63"/>
      <c r="Y77" s="63"/>
      <c r="Z77" s="63"/>
    </row>
    <row r="78" spans="1:26" ht="12.75" customHeight="1" x14ac:dyDescent="0.25">
      <c r="A78" s="48"/>
      <c r="B78" s="48"/>
      <c r="C78" s="82"/>
      <c r="D78" s="48"/>
      <c r="E78" s="48"/>
      <c r="F78" s="48"/>
      <c r="G78" s="48"/>
      <c r="H78" s="48"/>
      <c r="I78" s="48"/>
      <c r="J78" s="48"/>
      <c r="K78" s="48"/>
      <c r="L78" s="48"/>
      <c r="M78" s="48"/>
      <c r="N78" s="59"/>
      <c r="O78" s="59"/>
      <c r="P78" s="59"/>
      <c r="Q78" s="59"/>
      <c r="R78" s="59"/>
      <c r="S78" s="59"/>
      <c r="T78" s="59"/>
      <c r="U78" s="59"/>
      <c r="V78" s="84"/>
      <c r="W78" s="63"/>
      <c r="X78" s="63"/>
      <c r="Y78" s="63"/>
      <c r="Z78" s="63"/>
    </row>
    <row r="79" spans="1:26" ht="12.75" customHeight="1" x14ac:dyDescent="0.25">
      <c r="A79" s="48"/>
      <c r="B79" s="48"/>
      <c r="C79" s="82"/>
      <c r="D79" s="48"/>
      <c r="E79" s="48"/>
      <c r="F79" s="48"/>
      <c r="G79" s="48"/>
      <c r="H79" s="48"/>
      <c r="I79" s="48"/>
      <c r="J79" s="48"/>
      <c r="K79" s="48"/>
      <c r="L79" s="48"/>
      <c r="M79" s="48"/>
      <c r="N79" s="59"/>
      <c r="O79" s="59"/>
      <c r="P79" s="59"/>
      <c r="Q79" s="59"/>
      <c r="R79" s="59"/>
      <c r="S79" s="59"/>
      <c r="T79" s="59"/>
      <c r="U79" s="59"/>
      <c r="V79" s="84"/>
      <c r="W79" s="63"/>
      <c r="X79" s="63"/>
      <c r="Y79" s="63"/>
      <c r="Z79" s="63"/>
    </row>
    <row r="80" spans="1:26" ht="12.75" customHeight="1" x14ac:dyDescent="0.25">
      <c r="A80" s="48"/>
      <c r="B80" s="48"/>
      <c r="C80" s="82"/>
      <c r="D80" s="48"/>
      <c r="E80" s="48"/>
      <c r="F80" s="48"/>
      <c r="G80" s="48"/>
      <c r="H80" s="48"/>
      <c r="I80" s="48"/>
      <c r="J80" s="48"/>
      <c r="K80" s="48"/>
      <c r="L80" s="48"/>
      <c r="M80" s="48"/>
      <c r="N80" s="59"/>
      <c r="O80" s="59"/>
      <c r="P80" s="59"/>
      <c r="Q80" s="59"/>
      <c r="R80" s="59"/>
      <c r="S80" s="59"/>
      <c r="T80" s="59"/>
      <c r="U80" s="59"/>
      <c r="V80" s="84"/>
      <c r="W80" s="63"/>
      <c r="X80" s="63"/>
      <c r="Y80" s="63"/>
      <c r="Z80" s="63"/>
    </row>
    <row r="81" spans="1:26" ht="12.75" customHeight="1" x14ac:dyDescent="0.25">
      <c r="A81" s="48"/>
      <c r="B81" s="48"/>
      <c r="C81" s="82"/>
      <c r="D81" s="48"/>
      <c r="E81" s="48"/>
      <c r="F81" s="48"/>
      <c r="G81" s="48"/>
      <c r="H81" s="48"/>
      <c r="I81" s="48"/>
      <c r="J81" s="48"/>
      <c r="K81" s="48"/>
      <c r="L81" s="48"/>
      <c r="M81" s="48"/>
      <c r="N81" s="59"/>
      <c r="O81" s="59"/>
      <c r="P81" s="59"/>
      <c r="Q81" s="59"/>
      <c r="R81" s="59"/>
      <c r="S81" s="59"/>
      <c r="T81" s="59"/>
      <c r="U81" s="59"/>
      <c r="V81" s="84"/>
      <c r="W81" s="63"/>
      <c r="X81" s="63"/>
      <c r="Y81" s="63"/>
      <c r="Z81" s="63"/>
    </row>
    <row r="82" spans="1:26" ht="12.75" customHeight="1" x14ac:dyDescent="0.25">
      <c r="A82" s="48"/>
      <c r="B82" s="48"/>
      <c r="C82" s="82"/>
      <c r="D82" s="48"/>
      <c r="E82" s="48"/>
      <c r="F82" s="48"/>
      <c r="G82" s="48"/>
      <c r="H82" s="48"/>
      <c r="I82" s="48"/>
      <c r="J82" s="48"/>
      <c r="K82" s="48"/>
      <c r="L82" s="48"/>
      <c r="M82" s="48"/>
      <c r="N82" s="59"/>
      <c r="O82" s="59"/>
      <c r="P82" s="59"/>
      <c r="Q82" s="59"/>
      <c r="R82" s="59"/>
      <c r="S82" s="59"/>
      <c r="T82" s="59"/>
      <c r="U82" s="59"/>
      <c r="V82" s="84"/>
      <c r="W82" s="63"/>
      <c r="X82" s="63"/>
      <c r="Y82" s="63"/>
      <c r="Z82" s="63"/>
    </row>
    <row r="83" spans="1:26" ht="12.75" customHeight="1" x14ac:dyDescent="0.25">
      <c r="A83" s="48"/>
      <c r="B83" s="48"/>
      <c r="C83" s="82"/>
      <c r="D83" s="48"/>
      <c r="E83" s="48"/>
      <c r="F83" s="48"/>
      <c r="G83" s="48"/>
      <c r="H83" s="48"/>
      <c r="I83" s="48"/>
      <c r="J83" s="48"/>
      <c r="K83" s="48"/>
      <c r="L83" s="48"/>
      <c r="M83" s="48"/>
      <c r="N83" s="59"/>
      <c r="O83" s="59"/>
      <c r="P83" s="59"/>
      <c r="Q83" s="59"/>
      <c r="R83" s="59"/>
      <c r="S83" s="59"/>
      <c r="T83" s="59"/>
      <c r="U83" s="59"/>
      <c r="V83" s="84"/>
      <c r="W83" s="63"/>
      <c r="X83" s="63"/>
      <c r="Y83" s="63"/>
      <c r="Z83" s="63"/>
    </row>
    <row r="84" spans="1:26" ht="12.75" customHeight="1" x14ac:dyDescent="0.25">
      <c r="A84" s="48"/>
      <c r="B84" s="48"/>
      <c r="C84" s="82"/>
      <c r="D84" s="48"/>
      <c r="E84" s="48"/>
      <c r="F84" s="48"/>
      <c r="G84" s="48"/>
      <c r="H84" s="48"/>
      <c r="I84" s="48"/>
      <c r="J84" s="48"/>
      <c r="K84" s="48"/>
      <c r="L84" s="48"/>
      <c r="M84" s="48"/>
      <c r="N84" s="59"/>
      <c r="O84" s="59"/>
      <c r="P84" s="59"/>
      <c r="Q84" s="59"/>
      <c r="R84" s="59"/>
      <c r="S84" s="59"/>
      <c r="T84" s="59"/>
      <c r="U84" s="59"/>
      <c r="V84" s="84"/>
      <c r="W84" s="63"/>
      <c r="X84" s="63"/>
      <c r="Y84" s="63"/>
      <c r="Z84" s="63"/>
    </row>
    <row r="85" spans="1:26" ht="12.75" customHeight="1" x14ac:dyDescent="0.25">
      <c r="A85" s="48"/>
      <c r="B85" s="48"/>
      <c r="C85" s="82"/>
      <c r="D85" s="48"/>
      <c r="E85" s="48"/>
      <c r="F85" s="48"/>
      <c r="G85" s="48"/>
      <c r="H85" s="48"/>
      <c r="I85" s="48"/>
      <c r="J85" s="48"/>
      <c r="K85" s="48"/>
      <c r="L85" s="48"/>
      <c r="M85" s="48"/>
      <c r="N85" s="59"/>
      <c r="O85" s="59"/>
      <c r="P85" s="59"/>
      <c r="Q85" s="59"/>
      <c r="R85" s="59"/>
      <c r="S85" s="59"/>
      <c r="T85" s="59"/>
      <c r="U85" s="59"/>
      <c r="V85" s="84"/>
      <c r="W85" s="63"/>
      <c r="X85" s="63"/>
      <c r="Y85" s="63"/>
      <c r="Z85" s="63"/>
    </row>
    <row r="86" spans="1:26" ht="12.75" customHeight="1" x14ac:dyDescent="0.25">
      <c r="A86" s="48"/>
      <c r="B86" s="48"/>
      <c r="C86" s="82"/>
      <c r="D86" s="48"/>
      <c r="E86" s="48"/>
      <c r="F86" s="48"/>
      <c r="G86" s="48"/>
      <c r="H86" s="48"/>
      <c r="I86" s="48"/>
      <c r="J86" s="48"/>
      <c r="K86" s="48"/>
      <c r="L86" s="48"/>
      <c r="M86" s="48"/>
      <c r="N86" s="59"/>
      <c r="O86" s="59"/>
      <c r="P86" s="59"/>
      <c r="Q86" s="59"/>
      <c r="R86" s="59"/>
      <c r="S86" s="59"/>
      <c r="T86" s="59"/>
      <c r="U86" s="59"/>
      <c r="V86" s="84"/>
      <c r="W86" s="63"/>
      <c r="X86" s="63"/>
      <c r="Y86" s="63"/>
      <c r="Z86" s="63"/>
    </row>
    <row r="87" spans="1:26" ht="12.75" customHeight="1" x14ac:dyDescent="0.25">
      <c r="A87" s="63"/>
      <c r="B87" s="63"/>
      <c r="C87" s="82"/>
      <c r="D87" s="48"/>
      <c r="E87" s="48"/>
      <c r="F87" s="48"/>
      <c r="G87" s="48"/>
      <c r="H87" s="48"/>
      <c r="I87" s="48"/>
      <c r="J87" s="48"/>
      <c r="K87" s="48"/>
      <c r="L87" s="48"/>
      <c r="M87" s="48"/>
      <c r="N87" s="59"/>
      <c r="O87" s="85"/>
      <c r="P87" s="85"/>
      <c r="Q87" s="85"/>
      <c r="R87" s="85"/>
      <c r="S87" s="85"/>
      <c r="T87" s="85"/>
      <c r="U87" s="85"/>
      <c r="V87" s="84"/>
      <c r="W87" s="63"/>
      <c r="X87" s="63"/>
      <c r="Y87" s="63"/>
      <c r="Z87" s="63"/>
    </row>
    <row r="88" spans="1:26" ht="12.75" customHeight="1" x14ac:dyDescent="0.25">
      <c r="A88" s="63"/>
      <c r="B88" s="63"/>
      <c r="C88" s="82"/>
      <c r="D88" s="48"/>
      <c r="E88" s="48"/>
      <c r="F88" s="48"/>
      <c r="G88" s="48"/>
      <c r="H88" s="48"/>
      <c r="I88" s="48"/>
      <c r="J88" s="48"/>
      <c r="K88" s="48"/>
      <c r="L88" s="48"/>
      <c r="M88" s="48"/>
      <c r="N88" s="59"/>
      <c r="O88" s="85"/>
      <c r="P88" s="85"/>
      <c r="Q88" s="85"/>
      <c r="R88" s="85"/>
      <c r="S88" s="85"/>
      <c r="T88" s="85"/>
      <c r="U88" s="85"/>
      <c r="V88" s="84"/>
      <c r="W88" s="63"/>
      <c r="X88" s="63"/>
      <c r="Y88" s="63"/>
      <c r="Z88" s="63"/>
    </row>
    <row r="89" spans="1:26" ht="12.75" customHeight="1" x14ac:dyDescent="0.25">
      <c r="A89" s="63"/>
      <c r="B89" s="63"/>
      <c r="C89" s="82"/>
      <c r="D89" s="48"/>
      <c r="E89" s="48"/>
      <c r="F89" s="48"/>
      <c r="G89" s="48"/>
      <c r="H89" s="48"/>
      <c r="I89" s="48"/>
      <c r="J89" s="48"/>
      <c r="K89" s="48"/>
      <c r="L89" s="48"/>
      <c r="M89" s="48"/>
      <c r="N89" s="59"/>
      <c r="O89" s="85"/>
      <c r="P89" s="85"/>
      <c r="Q89" s="85"/>
      <c r="R89" s="85"/>
      <c r="S89" s="85"/>
      <c r="T89" s="85"/>
      <c r="U89" s="85"/>
      <c r="V89" s="84"/>
      <c r="W89" s="63"/>
      <c r="X89" s="63"/>
      <c r="Y89" s="63"/>
      <c r="Z89" s="63"/>
    </row>
    <row r="90" spans="1:26" ht="12.75" customHeight="1" x14ac:dyDescent="0.25">
      <c r="A90" s="63"/>
      <c r="B90" s="63"/>
      <c r="C90" s="82"/>
      <c r="D90" s="48"/>
      <c r="E90" s="48"/>
      <c r="F90" s="48"/>
      <c r="G90" s="48"/>
      <c r="H90" s="48"/>
      <c r="I90" s="48"/>
      <c r="J90" s="48"/>
      <c r="K90" s="48"/>
      <c r="L90" s="48"/>
      <c r="M90" s="48"/>
      <c r="N90" s="59"/>
      <c r="O90" s="85"/>
      <c r="P90" s="85"/>
      <c r="Q90" s="85"/>
      <c r="R90" s="85"/>
      <c r="S90" s="85"/>
      <c r="T90" s="85"/>
      <c r="U90" s="85"/>
      <c r="V90" s="84"/>
      <c r="W90" s="63"/>
      <c r="X90" s="63"/>
      <c r="Y90" s="63"/>
      <c r="Z90" s="63"/>
    </row>
    <row r="91" spans="1:26" ht="12.75" customHeight="1" x14ac:dyDescent="0.25">
      <c r="A91" s="63"/>
      <c r="B91" s="63"/>
      <c r="C91" s="86"/>
      <c r="D91" s="63"/>
      <c r="E91" s="63"/>
      <c r="F91" s="63"/>
      <c r="G91" s="63"/>
      <c r="H91" s="63"/>
      <c r="I91" s="63"/>
      <c r="J91" s="63"/>
      <c r="K91" s="63"/>
      <c r="L91" s="63"/>
      <c r="M91" s="63"/>
      <c r="N91" s="85"/>
      <c r="O91" s="85"/>
      <c r="P91" s="85"/>
      <c r="Q91" s="85"/>
      <c r="R91" s="85"/>
      <c r="S91" s="85"/>
      <c r="T91" s="85"/>
      <c r="U91" s="85"/>
      <c r="V91" s="84"/>
      <c r="W91" s="63"/>
      <c r="X91" s="63"/>
      <c r="Y91" s="63"/>
      <c r="Z91" s="63"/>
    </row>
    <row r="92" spans="1:26" ht="12.75" customHeight="1" x14ac:dyDescent="0.25">
      <c r="A92" s="63"/>
      <c r="B92" s="63"/>
      <c r="C92" s="86"/>
      <c r="D92" s="63"/>
      <c r="E92" s="63"/>
      <c r="F92" s="63"/>
      <c r="G92" s="63"/>
      <c r="H92" s="63"/>
      <c r="I92" s="63"/>
      <c r="J92" s="63"/>
      <c r="K92" s="63"/>
      <c r="L92" s="63"/>
      <c r="M92" s="63"/>
      <c r="N92" s="85"/>
      <c r="O92" s="85"/>
      <c r="P92" s="85"/>
      <c r="Q92" s="85"/>
      <c r="R92" s="85"/>
      <c r="S92" s="85"/>
      <c r="T92" s="85"/>
      <c r="U92" s="85"/>
      <c r="V92" s="84"/>
      <c r="W92" s="63"/>
      <c r="X92" s="63"/>
      <c r="Y92" s="63"/>
      <c r="Z92" s="63"/>
    </row>
    <row r="93" spans="1:26" ht="12.75" customHeight="1" x14ac:dyDescent="0.25">
      <c r="A93" s="63"/>
      <c r="B93" s="63"/>
      <c r="C93" s="86"/>
      <c r="D93" s="63"/>
      <c r="E93" s="63"/>
      <c r="F93" s="63"/>
      <c r="G93" s="63"/>
      <c r="H93" s="63"/>
      <c r="I93" s="63"/>
      <c r="J93" s="63"/>
      <c r="K93" s="63"/>
      <c r="L93" s="63"/>
      <c r="M93" s="63"/>
      <c r="N93" s="85"/>
      <c r="O93" s="85"/>
      <c r="P93" s="85"/>
      <c r="Q93" s="85"/>
      <c r="R93" s="85"/>
      <c r="S93" s="85"/>
      <c r="T93" s="85"/>
      <c r="U93" s="85"/>
      <c r="V93" s="84"/>
      <c r="W93" s="63"/>
      <c r="X93" s="63"/>
      <c r="Y93" s="63"/>
      <c r="Z93" s="63"/>
    </row>
    <row r="94" spans="1:26" ht="12.75" customHeight="1" x14ac:dyDescent="0.25">
      <c r="A94" s="63"/>
      <c r="B94" s="63"/>
      <c r="C94" s="86"/>
      <c r="D94" s="63"/>
      <c r="E94" s="63"/>
      <c r="F94" s="63"/>
      <c r="G94" s="63"/>
      <c r="H94" s="63"/>
      <c r="I94" s="63"/>
      <c r="J94" s="63"/>
      <c r="K94" s="63"/>
      <c r="L94" s="63"/>
      <c r="M94" s="63"/>
      <c r="N94" s="85"/>
      <c r="O94" s="85"/>
      <c r="P94" s="85"/>
      <c r="Q94" s="85"/>
      <c r="R94" s="85"/>
      <c r="S94" s="85"/>
      <c r="T94" s="85"/>
      <c r="U94" s="85"/>
      <c r="V94" s="84"/>
      <c r="W94" s="63"/>
      <c r="X94" s="63"/>
      <c r="Y94" s="63"/>
      <c r="Z94" s="63"/>
    </row>
    <row r="95" spans="1:26" ht="12.75" customHeight="1" x14ac:dyDescent="0.25">
      <c r="A95" s="63"/>
      <c r="B95" s="63"/>
      <c r="C95" s="86"/>
      <c r="D95" s="63"/>
      <c r="E95" s="63"/>
      <c r="F95" s="63"/>
      <c r="G95" s="63"/>
      <c r="H95" s="63"/>
      <c r="I95" s="63"/>
      <c r="J95" s="63"/>
      <c r="K95" s="63"/>
      <c r="L95" s="63"/>
      <c r="M95" s="63"/>
      <c r="N95" s="85"/>
      <c r="O95" s="85"/>
      <c r="P95" s="85"/>
      <c r="Q95" s="85"/>
      <c r="R95" s="85"/>
      <c r="S95" s="85"/>
      <c r="T95" s="85"/>
      <c r="U95" s="85"/>
      <c r="V95" s="84"/>
      <c r="W95" s="63"/>
      <c r="X95" s="63"/>
      <c r="Y95" s="63"/>
      <c r="Z95" s="63"/>
    </row>
    <row r="96" spans="1:26" ht="12.75" customHeight="1" x14ac:dyDescent="0.25">
      <c r="A96" s="63"/>
      <c r="B96" s="63"/>
      <c r="C96" s="86"/>
      <c r="D96" s="63"/>
      <c r="E96" s="63"/>
      <c r="F96" s="63"/>
      <c r="G96" s="63"/>
      <c r="H96" s="63"/>
      <c r="I96" s="63"/>
      <c r="J96" s="63"/>
      <c r="K96" s="63"/>
      <c r="L96" s="63"/>
      <c r="M96" s="63"/>
      <c r="N96" s="85"/>
      <c r="O96" s="85"/>
      <c r="P96" s="85"/>
      <c r="Q96" s="85"/>
      <c r="R96" s="85"/>
      <c r="S96" s="85"/>
      <c r="T96" s="85"/>
      <c r="U96" s="85"/>
      <c r="V96" s="84"/>
      <c r="W96" s="63"/>
      <c r="X96" s="63"/>
      <c r="Y96" s="63"/>
      <c r="Z96" s="63"/>
    </row>
    <row r="97" spans="1:26" ht="12.75" customHeight="1" x14ac:dyDescent="0.25">
      <c r="A97" s="63"/>
      <c r="B97" s="63"/>
      <c r="C97" s="86"/>
      <c r="D97" s="63"/>
      <c r="E97" s="63"/>
      <c r="F97" s="63"/>
      <c r="G97" s="63"/>
      <c r="H97" s="63"/>
      <c r="I97" s="63"/>
      <c r="J97" s="63"/>
      <c r="K97" s="63"/>
      <c r="L97" s="63"/>
      <c r="M97" s="63"/>
      <c r="N97" s="85"/>
      <c r="O97" s="85"/>
      <c r="P97" s="85"/>
      <c r="Q97" s="85"/>
      <c r="R97" s="85"/>
      <c r="S97" s="85"/>
      <c r="T97" s="85"/>
      <c r="U97" s="85"/>
      <c r="V97" s="84"/>
      <c r="W97" s="63"/>
      <c r="X97" s="63"/>
      <c r="Y97" s="63"/>
      <c r="Z97" s="63"/>
    </row>
    <row r="98" spans="1:26" ht="12.75" customHeight="1" x14ac:dyDescent="0.25">
      <c r="A98" s="63"/>
      <c r="B98" s="63"/>
      <c r="C98" s="86"/>
      <c r="D98" s="63"/>
      <c r="E98" s="63"/>
      <c r="F98" s="63"/>
      <c r="G98" s="63"/>
      <c r="H98" s="63"/>
      <c r="I98" s="63"/>
      <c r="J98" s="63"/>
      <c r="K98" s="63"/>
      <c r="L98" s="63"/>
      <c r="M98" s="63"/>
      <c r="N98" s="85"/>
      <c r="O98" s="85"/>
      <c r="P98" s="85"/>
      <c r="Q98" s="85"/>
      <c r="R98" s="85"/>
      <c r="S98" s="85"/>
      <c r="T98" s="85"/>
      <c r="U98" s="85"/>
      <c r="V98" s="84"/>
      <c r="W98" s="63"/>
      <c r="X98" s="63"/>
      <c r="Y98" s="63"/>
      <c r="Z98" s="63"/>
    </row>
    <row r="99" spans="1:26" ht="12.75" customHeight="1" x14ac:dyDescent="0.25">
      <c r="A99" s="63"/>
      <c r="B99" s="63"/>
      <c r="C99" s="86"/>
      <c r="D99" s="63"/>
      <c r="E99" s="63"/>
      <c r="F99" s="63"/>
      <c r="G99" s="63"/>
      <c r="H99" s="63"/>
      <c r="I99" s="63"/>
      <c r="J99" s="63"/>
      <c r="K99" s="63"/>
      <c r="L99" s="63"/>
      <c r="M99" s="63"/>
      <c r="N99" s="85"/>
      <c r="O99" s="85"/>
      <c r="P99" s="85"/>
      <c r="Q99" s="85"/>
      <c r="R99" s="85"/>
      <c r="S99" s="85"/>
      <c r="T99" s="85"/>
      <c r="U99" s="85"/>
      <c r="V99" s="84"/>
      <c r="W99" s="63"/>
      <c r="X99" s="63"/>
      <c r="Y99" s="63"/>
      <c r="Z99" s="63"/>
    </row>
    <row r="100" spans="1:26" ht="12.75" customHeight="1" x14ac:dyDescent="0.25">
      <c r="A100" s="63"/>
      <c r="B100" s="63"/>
      <c r="C100" s="86"/>
      <c r="D100" s="63"/>
      <c r="E100" s="63"/>
      <c r="F100" s="63"/>
      <c r="G100" s="63"/>
      <c r="H100" s="63"/>
      <c r="I100" s="63"/>
      <c r="J100" s="63"/>
      <c r="K100" s="63"/>
      <c r="L100" s="63"/>
      <c r="M100" s="63"/>
      <c r="N100" s="85"/>
      <c r="O100" s="85"/>
      <c r="P100" s="85"/>
      <c r="Q100" s="85"/>
      <c r="R100" s="85"/>
      <c r="S100" s="85"/>
      <c r="T100" s="85"/>
      <c r="U100" s="85"/>
      <c r="V100" s="84"/>
      <c r="W100" s="63"/>
      <c r="X100" s="63"/>
      <c r="Y100" s="63"/>
      <c r="Z100" s="63"/>
    </row>
  </sheetData>
  <mergeCells count="113">
    <mergeCell ref="D1:V1"/>
    <mergeCell ref="D2:V2"/>
    <mergeCell ref="D7:E7"/>
    <mergeCell ref="F7:S7"/>
    <mergeCell ref="D5:V5"/>
    <mergeCell ref="T7:U7"/>
    <mergeCell ref="E23:E24"/>
    <mergeCell ref="D4:V4"/>
    <mergeCell ref="D3:U3"/>
    <mergeCell ref="V9:V10"/>
    <mergeCell ref="V7:V8"/>
    <mergeCell ref="D9:D10"/>
    <mergeCell ref="E9:E10"/>
    <mergeCell ref="U9:U10"/>
    <mergeCell ref="U11:U12"/>
    <mergeCell ref="V11:V12"/>
    <mergeCell ref="V23:V24"/>
    <mergeCell ref="C46:I46"/>
    <mergeCell ref="B27:B32"/>
    <mergeCell ref="C21:C22"/>
    <mergeCell ref="D21:D22"/>
    <mergeCell ref="E17:E18"/>
    <mergeCell ref="E19:E20"/>
    <mergeCell ref="D17:D18"/>
    <mergeCell ref="C19:C20"/>
    <mergeCell ref="D19:D20"/>
    <mergeCell ref="B21:B26"/>
    <mergeCell ref="C17:C18"/>
    <mergeCell ref="E21:E22"/>
    <mergeCell ref="D25:D26"/>
    <mergeCell ref="E25:E26"/>
    <mergeCell ref="D23:D24"/>
    <mergeCell ref="C47:I47"/>
    <mergeCell ref="J47:P47"/>
    <mergeCell ref="C48:I48"/>
    <mergeCell ref="J48:P48"/>
    <mergeCell ref="D39:D40"/>
    <mergeCell ref="E39:E40"/>
    <mergeCell ref="D27:D28"/>
    <mergeCell ref="D29:D30"/>
    <mergeCell ref="C23:C24"/>
    <mergeCell ref="C25:C26"/>
    <mergeCell ref="C27:C28"/>
    <mergeCell ref="C29:C30"/>
    <mergeCell ref="E27:E28"/>
    <mergeCell ref="E29:E30"/>
    <mergeCell ref="J46:P46"/>
    <mergeCell ref="A41:S41"/>
    <mergeCell ref="C45:S45"/>
    <mergeCell ref="C31:C32"/>
    <mergeCell ref="B33:B40"/>
    <mergeCell ref="C37:C38"/>
    <mergeCell ref="C39:C40"/>
    <mergeCell ref="C33:C34"/>
    <mergeCell ref="C35:C36"/>
    <mergeCell ref="D31:D32"/>
    <mergeCell ref="A1:C3"/>
    <mergeCell ref="C7:C8"/>
    <mergeCell ref="A5:C5"/>
    <mergeCell ref="A4:C4"/>
    <mergeCell ref="B7:B8"/>
    <mergeCell ref="C11:C12"/>
    <mergeCell ref="B9:B20"/>
    <mergeCell ref="V35:V36"/>
    <mergeCell ref="V37:V38"/>
    <mergeCell ref="T21:T26"/>
    <mergeCell ref="T27:T32"/>
    <mergeCell ref="T33:T40"/>
    <mergeCell ref="U39:U40"/>
    <mergeCell ref="V39:V40"/>
    <mergeCell ref="E31:E32"/>
    <mergeCell ref="E35:E36"/>
    <mergeCell ref="E37:E38"/>
    <mergeCell ref="E33:E34"/>
    <mergeCell ref="D35:D36"/>
    <mergeCell ref="D37:D38"/>
    <mergeCell ref="D33:D34"/>
    <mergeCell ref="E15:E16"/>
    <mergeCell ref="E11:E12"/>
    <mergeCell ref="E13:E14"/>
    <mergeCell ref="U31:U32"/>
    <mergeCell ref="U33:U34"/>
    <mergeCell ref="V31:V32"/>
    <mergeCell ref="V33:V34"/>
    <mergeCell ref="U37:U38"/>
    <mergeCell ref="U35:U36"/>
    <mergeCell ref="C15:C16"/>
    <mergeCell ref="D15:D16"/>
    <mergeCell ref="A6:V6"/>
    <mergeCell ref="C9:C10"/>
    <mergeCell ref="A7:A8"/>
    <mergeCell ref="A9:A40"/>
    <mergeCell ref="C13:C14"/>
    <mergeCell ref="D11:D12"/>
    <mergeCell ref="D13:D14"/>
    <mergeCell ref="V19:V20"/>
    <mergeCell ref="V15:V16"/>
    <mergeCell ref="V13:V14"/>
    <mergeCell ref="V17:V18"/>
    <mergeCell ref="T9:T20"/>
    <mergeCell ref="U17:U18"/>
    <mergeCell ref="U13:U14"/>
    <mergeCell ref="U19:U20"/>
    <mergeCell ref="U15:U16"/>
    <mergeCell ref="V25:V26"/>
    <mergeCell ref="U21:U22"/>
    <mergeCell ref="U23:U24"/>
    <mergeCell ref="U27:U28"/>
    <mergeCell ref="V21:V22"/>
    <mergeCell ref="V29:V30"/>
    <mergeCell ref="U25:U26"/>
    <mergeCell ref="V27:V28"/>
    <mergeCell ref="U29:U30"/>
  </mergeCells>
  <printOptions horizontalCentered="1" verticalCentered="1"/>
  <pageMargins left="0" right="0" top="0.55118110236220474" bottom="0" header="0" footer="0"/>
  <pageSetup scale="35"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DB5D5-D8C4-4D79-9C8F-1C3F8422FC5C}">
  <dimension ref="A1:AY280"/>
  <sheetViews>
    <sheetView zoomScale="69" zoomScaleNormal="69" workbookViewId="0">
      <selection activeCell="G13" sqref="G13"/>
    </sheetView>
  </sheetViews>
  <sheetFormatPr baseColWidth="10" defaultColWidth="14.42578125" defaultRowHeight="15" x14ac:dyDescent="0.25"/>
  <cols>
    <col min="1" max="1" width="5.7109375" style="400" customWidth="1"/>
    <col min="2" max="2" width="16.140625" style="400" customWidth="1"/>
    <col min="3" max="3" width="17.5703125" style="400" customWidth="1"/>
    <col min="4" max="4" width="9.7109375" style="400" customWidth="1"/>
    <col min="5" max="9" width="22" style="400" customWidth="1"/>
    <col min="10" max="11" width="19.140625" style="400" hidden="1" customWidth="1"/>
    <col min="12" max="12" width="19.42578125" style="400" hidden="1" customWidth="1"/>
    <col min="13" max="13" width="22" style="400" hidden="1" customWidth="1"/>
    <col min="14" max="14" width="21.42578125" style="400" hidden="1" customWidth="1"/>
    <col min="15" max="15" width="20.7109375" style="400" hidden="1" customWidth="1"/>
    <col min="16" max="16" width="20.28515625" style="400" hidden="1" customWidth="1"/>
    <col min="17" max="17" width="16.42578125" style="400" hidden="1" customWidth="1"/>
    <col min="18" max="18" width="20.28515625" style="400" hidden="1" customWidth="1"/>
    <col min="19" max="19" width="12.42578125" style="400" customWidth="1"/>
    <col min="20" max="22" width="21.42578125" style="400" customWidth="1"/>
    <col min="23" max="23" width="18.7109375" style="400" hidden="1" customWidth="1"/>
    <col min="24" max="24" width="19.42578125" style="400" hidden="1" customWidth="1"/>
    <col min="25" max="25" width="19" style="400" hidden="1" customWidth="1"/>
    <col min="26" max="26" width="18.42578125" style="400" hidden="1" customWidth="1"/>
    <col min="27" max="27" width="20.42578125" style="400" hidden="1" customWidth="1"/>
    <col min="28" max="28" width="17.85546875" style="400" hidden="1" customWidth="1"/>
    <col min="29" max="29" width="16.42578125" style="400" hidden="1" customWidth="1"/>
    <col min="30" max="30" width="16.28515625" style="400" hidden="1" customWidth="1"/>
    <col min="31" max="31" width="9.42578125" style="400" customWidth="1"/>
    <col min="32" max="32" width="19.7109375" style="400" customWidth="1"/>
    <col min="33" max="33" width="18.7109375" style="400" customWidth="1"/>
    <col min="34" max="34" width="32.42578125" style="400" customWidth="1"/>
    <col min="35" max="35" width="11.42578125" style="400" customWidth="1"/>
    <col min="36" max="36" width="30.85546875" style="400" customWidth="1"/>
    <col min="37" max="37" width="26" style="400" customWidth="1"/>
    <col min="38" max="38" width="13.28515625" style="400" customWidth="1"/>
    <col min="39" max="39" width="33.7109375" style="400" customWidth="1"/>
    <col min="40" max="40" width="15.42578125" style="400" customWidth="1"/>
    <col min="41" max="48" width="11.42578125" style="400" customWidth="1"/>
    <col min="49" max="49" width="14.85546875" style="400" customWidth="1"/>
    <col min="50" max="50" width="15.85546875" style="400" customWidth="1"/>
    <col min="51" max="51" width="17.7109375" style="400" customWidth="1"/>
    <col min="52" max="16384" width="14.42578125" style="400"/>
  </cols>
  <sheetData>
    <row r="1" spans="1:51" ht="25.5" customHeight="1" x14ac:dyDescent="0.25">
      <c r="A1" s="888"/>
      <c r="B1" s="889"/>
      <c r="C1" s="889"/>
      <c r="D1" s="889"/>
      <c r="E1" s="891" t="s">
        <v>0</v>
      </c>
      <c r="F1" s="739"/>
      <c r="G1" s="739"/>
      <c r="H1" s="739"/>
      <c r="I1" s="739"/>
      <c r="J1" s="739"/>
      <c r="K1" s="739"/>
      <c r="L1" s="739"/>
      <c r="M1" s="739"/>
      <c r="N1" s="739"/>
      <c r="O1" s="739"/>
      <c r="P1" s="739"/>
      <c r="Q1" s="739"/>
      <c r="R1" s="739"/>
      <c r="S1" s="739"/>
      <c r="T1" s="739"/>
      <c r="U1" s="739"/>
      <c r="V1" s="739"/>
      <c r="W1" s="739"/>
      <c r="X1" s="739"/>
      <c r="Y1" s="739"/>
      <c r="Z1" s="739"/>
      <c r="AA1" s="739"/>
      <c r="AB1" s="739"/>
      <c r="AC1" s="739"/>
      <c r="AD1" s="739"/>
      <c r="AE1" s="739"/>
      <c r="AF1" s="739"/>
      <c r="AG1" s="739"/>
      <c r="AH1" s="739"/>
      <c r="AI1" s="739"/>
      <c r="AJ1" s="739"/>
      <c r="AK1" s="739"/>
      <c r="AL1" s="739"/>
      <c r="AM1" s="739"/>
      <c r="AN1" s="739"/>
      <c r="AO1" s="739"/>
      <c r="AP1" s="739"/>
      <c r="AQ1" s="739"/>
      <c r="AR1" s="739"/>
      <c r="AS1" s="739"/>
      <c r="AT1" s="739"/>
      <c r="AU1" s="739"/>
      <c r="AV1" s="739"/>
      <c r="AW1" s="739"/>
      <c r="AX1" s="739"/>
      <c r="AY1" s="892"/>
    </row>
    <row r="2" spans="1:51" ht="27.75" customHeight="1" thickBot="1" x14ac:dyDescent="0.3">
      <c r="A2" s="890"/>
      <c r="B2" s="751"/>
      <c r="C2" s="751"/>
      <c r="D2" s="751"/>
      <c r="E2" s="893" t="s">
        <v>663</v>
      </c>
      <c r="F2" s="894"/>
      <c r="G2" s="894"/>
      <c r="H2" s="894"/>
      <c r="I2" s="894"/>
      <c r="J2" s="894"/>
      <c r="K2" s="894"/>
      <c r="L2" s="894"/>
      <c r="M2" s="894"/>
      <c r="N2" s="894"/>
      <c r="O2" s="894"/>
      <c r="P2" s="894"/>
      <c r="Q2" s="894"/>
      <c r="R2" s="894"/>
      <c r="S2" s="894"/>
      <c r="T2" s="894"/>
      <c r="U2" s="894"/>
      <c r="V2" s="894"/>
      <c r="W2" s="894"/>
      <c r="X2" s="894"/>
      <c r="Y2" s="894"/>
      <c r="Z2" s="894"/>
      <c r="AA2" s="894"/>
      <c r="AB2" s="894"/>
      <c r="AC2" s="894"/>
      <c r="AD2" s="894"/>
      <c r="AE2" s="894"/>
      <c r="AF2" s="894"/>
      <c r="AG2" s="894"/>
      <c r="AH2" s="894"/>
      <c r="AI2" s="894"/>
      <c r="AJ2" s="894"/>
      <c r="AK2" s="894"/>
      <c r="AL2" s="894"/>
      <c r="AM2" s="894"/>
      <c r="AN2" s="894"/>
      <c r="AO2" s="894"/>
      <c r="AP2" s="894"/>
      <c r="AQ2" s="894"/>
      <c r="AR2" s="894"/>
      <c r="AS2" s="894"/>
      <c r="AT2" s="894"/>
      <c r="AU2" s="894"/>
      <c r="AV2" s="894"/>
      <c r="AW2" s="894"/>
      <c r="AX2" s="894"/>
      <c r="AY2" s="895"/>
    </row>
    <row r="3" spans="1:51" ht="27.75" customHeight="1" thickBot="1" x14ac:dyDescent="0.3">
      <c r="A3" s="890"/>
      <c r="B3" s="751"/>
      <c r="C3" s="751"/>
      <c r="D3" s="751"/>
      <c r="E3" s="896" t="s">
        <v>114</v>
      </c>
      <c r="F3" s="889"/>
      <c r="G3" s="889"/>
      <c r="H3" s="889"/>
      <c r="I3" s="889"/>
      <c r="J3" s="889"/>
      <c r="K3" s="889"/>
      <c r="L3" s="889"/>
      <c r="M3" s="889"/>
      <c r="N3" s="889"/>
      <c r="O3" s="889"/>
      <c r="P3" s="889"/>
      <c r="Q3" s="889"/>
      <c r="R3" s="889"/>
      <c r="S3" s="889"/>
      <c r="T3" s="889"/>
      <c r="U3" s="889"/>
      <c r="V3" s="889"/>
      <c r="W3" s="889"/>
      <c r="X3" s="889"/>
      <c r="Y3" s="889"/>
      <c r="Z3" s="889"/>
      <c r="AA3" s="889"/>
      <c r="AB3" s="889"/>
      <c r="AC3" s="889"/>
      <c r="AD3" s="897"/>
      <c r="AE3" s="898" t="s">
        <v>3</v>
      </c>
      <c r="AF3" s="889"/>
      <c r="AG3" s="889"/>
      <c r="AH3" s="889"/>
      <c r="AI3" s="889"/>
      <c r="AJ3" s="889"/>
      <c r="AK3" s="889"/>
      <c r="AL3" s="889"/>
      <c r="AM3" s="889"/>
      <c r="AN3" s="889"/>
      <c r="AO3" s="889"/>
      <c r="AP3" s="889"/>
      <c r="AQ3" s="889"/>
      <c r="AR3" s="889"/>
      <c r="AS3" s="889"/>
      <c r="AT3" s="889"/>
      <c r="AU3" s="889"/>
      <c r="AV3" s="889"/>
      <c r="AW3" s="889"/>
      <c r="AX3" s="889"/>
      <c r="AY3" s="897"/>
    </row>
    <row r="4" spans="1:51" ht="15.75" customHeight="1" thickBot="1" x14ac:dyDescent="0.3">
      <c r="A4" s="899" t="s">
        <v>4</v>
      </c>
      <c r="B4" s="900"/>
      <c r="C4" s="900"/>
      <c r="D4" s="901"/>
      <c r="E4" s="902" t="s">
        <v>5</v>
      </c>
      <c r="F4" s="900"/>
      <c r="G4" s="900"/>
      <c r="H4" s="900"/>
      <c r="I4" s="900"/>
      <c r="J4" s="900"/>
      <c r="K4" s="900"/>
      <c r="L4" s="900"/>
      <c r="M4" s="900"/>
      <c r="N4" s="900"/>
      <c r="O4" s="900"/>
      <c r="P4" s="900"/>
      <c r="Q4" s="900"/>
      <c r="R4" s="900"/>
      <c r="S4" s="900"/>
      <c r="T4" s="900"/>
      <c r="U4" s="900"/>
      <c r="V4" s="900"/>
      <c r="W4" s="900"/>
      <c r="X4" s="900"/>
      <c r="Y4" s="900"/>
      <c r="Z4" s="900"/>
      <c r="AA4" s="900"/>
      <c r="AB4" s="900"/>
      <c r="AC4" s="900"/>
      <c r="AD4" s="900"/>
      <c r="AE4" s="900"/>
      <c r="AF4" s="900"/>
      <c r="AG4" s="900"/>
      <c r="AH4" s="900"/>
      <c r="AI4" s="900"/>
      <c r="AJ4" s="900"/>
      <c r="AK4" s="900"/>
      <c r="AL4" s="900"/>
      <c r="AM4" s="900"/>
      <c r="AN4" s="900"/>
      <c r="AO4" s="900"/>
      <c r="AP4" s="900"/>
      <c r="AQ4" s="900"/>
      <c r="AR4" s="900"/>
      <c r="AS4" s="900"/>
      <c r="AT4" s="900"/>
      <c r="AU4" s="900"/>
      <c r="AV4" s="900"/>
      <c r="AW4" s="900"/>
      <c r="AX4" s="900"/>
      <c r="AY4" s="901"/>
    </row>
    <row r="5" spans="1:51" ht="15.75" customHeight="1" thickBot="1" x14ac:dyDescent="0.3">
      <c r="A5" s="903" t="s">
        <v>6</v>
      </c>
      <c r="B5" s="900"/>
      <c r="C5" s="900"/>
      <c r="D5" s="901"/>
      <c r="E5" s="904" t="s">
        <v>7</v>
      </c>
      <c r="F5" s="900"/>
      <c r="G5" s="900"/>
      <c r="H5" s="900"/>
      <c r="I5" s="900"/>
      <c r="J5" s="900"/>
      <c r="K5" s="900"/>
      <c r="L5" s="900"/>
      <c r="M5" s="900"/>
      <c r="N5" s="900"/>
      <c r="O5" s="900"/>
      <c r="P5" s="900"/>
      <c r="Q5" s="900"/>
      <c r="R5" s="900"/>
      <c r="S5" s="900"/>
      <c r="T5" s="900"/>
      <c r="U5" s="900"/>
      <c r="V5" s="900"/>
      <c r="W5" s="900"/>
      <c r="X5" s="900"/>
      <c r="Y5" s="900"/>
      <c r="Z5" s="900"/>
      <c r="AA5" s="900"/>
      <c r="AB5" s="900"/>
      <c r="AC5" s="900"/>
      <c r="AD5" s="900"/>
      <c r="AE5" s="900"/>
      <c r="AF5" s="900"/>
      <c r="AG5" s="900"/>
      <c r="AH5" s="900"/>
      <c r="AI5" s="900"/>
      <c r="AJ5" s="900"/>
      <c r="AK5" s="900"/>
      <c r="AL5" s="900"/>
      <c r="AM5" s="900"/>
      <c r="AN5" s="900"/>
      <c r="AO5" s="900"/>
      <c r="AP5" s="900"/>
      <c r="AQ5" s="900"/>
      <c r="AR5" s="900"/>
      <c r="AS5" s="900"/>
      <c r="AT5" s="900"/>
      <c r="AU5" s="900"/>
      <c r="AV5" s="900"/>
      <c r="AW5" s="900"/>
      <c r="AX5" s="900"/>
      <c r="AY5" s="901"/>
    </row>
    <row r="6" spans="1:51" ht="15.75" customHeight="1" thickBot="1" x14ac:dyDescent="0.3">
      <c r="A6" s="905" t="s">
        <v>163</v>
      </c>
      <c r="B6" s="906"/>
      <c r="C6" s="906"/>
      <c r="D6" s="907"/>
      <c r="E6" s="908" t="s">
        <v>662</v>
      </c>
      <c r="F6" s="900"/>
      <c r="G6" s="900"/>
      <c r="H6" s="900"/>
      <c r="I6" s="900"/>
      <c r="J6" s="900"/>
      <c r="K6" s="900"/>
      <c r="L6" s="900"/>
      <c r="M6" s="900"/>
      <c r="N6" s="900"/>
      <c r="O6" s="900"/>
      <c r="P6" s="900"/>
      <c r="Q6" s="900"/>
      <c r="R6" s="900"/>
      <c r="S6" s="900"/>
      <c r="T6" s="900"/>
      <c r="U6" s="900"/>
      <c r="V6" s="900"/>
      <c r="W6" s="900"/>
      <c r="X6" s="900"/>
      <c r="Y6" s="900"/>
      <c r="Z6" s="900"/>
      <c r="AA6" s="900"/>
      <c r="AB6" s="900"/>
      <c r="AC6" s="900"/>
      <c r="AD6" s="900"/>
      <c r="AE6" s="900"/>
      <c r="AF6" s="900"/>
      <c r="AG6" s="900"/>
      <c r="AH6" s="900"/>
      <c r="AI6" s="900"/>
      <c r="AJ6" s="900"/>
      <c r="AK6" s="900"/>
      <c r="AL6" s="900"/>
      <c r="AM6" s="900"/>
      <c r="AN6" s="900"/>
      <c r="AO6" s="900"/>
      <c r="AP6" s="900"/>
      <c r="AQ6" s="900"/>
      <c r="AR6" s="900"/>
      <c r="AS6" s="900"/>
      <c r="AT6" s="900"/>
      <c r="AU6" s="900"/>
      <c r="AV6" s="900"/>
      <c r="AW6" s="900"/>
      <c r="AX6" s="900"/>
      <c r="AY6" s="901"/>
    </row>
    <row r="7" spans="1:51" ht="22.5" customHeight="1" thickBot="1" x14ac:dyDescent="0.3">
      <c r="A7" s="909"/>
      <c r="B7" s="900"/>
      <c r="C7" s="900"/>
      <c r="D7" s="900"/>
      <c r="E7" s="900"/>
      <c r="F7" s="900"/>
      <c r="G7" s="900"/>
      <c r="H7" s="900"/>
      <c r="I7" s="900"/>
      <c r="J7" s="900"/>
      <c r="K7" s="900"/>
      <c r="L7" s="900"/>
      <c r="M7" s="900"/>
      <c r="N7" s="900"/>
      <c r="O7" s="900"/>
      <c r="P7" s="900"/>
      <c r="Q7" s="900"/>
      <c r="R7" s="900"/>
      <c r="S7" s="900"/>
      <c r="T7" s="900"/>
      <c r="U7" s="900"/>
      <c r="V7" s="900"/>
      <c r="W7" s="900"/>
      <c r="X7" s="900"/>
      <c r="Y7" s="900"/>
      <c r="Z7" s="900"/>
      <c r="AA7" s="900"/>
      <c r="AB7" s="900"/>
      <c r="AC7" s="900"/>
      <c r="AD7" s="900"/>
      <c r="AE7" s="900"/>
      <c r="AF7" s="900"/>
      <c r="AG7" s="900"/>
      <c r="AH7" s="900"/>
      <c r="AI7" s="900"/>
      <c r="AJ7" s="900"/>
      <c r="AK7" s="900"/>
      <c r="AL7" s="900"/>
      <c r="AM7" s="900"/>
      <c r="AN7" s="900"/>
      <c r="AO7" s="900"/>
      <c r="AP7" s="900"/>
      <c r="AQ7" s="900"/>
      <c r="AR7" s="900"/>
      <c r="AS7" s="900"/>
      <c r="AT7" s="900"/>
      <c r="AU7" s="900"/>
      <c r="AV7" s="900"/>
      <c r="AW7" s="900"/>
      <c r="AX7" s="900"/>
      <c r="AY7" s="901"/>
    </row>
    <row r="8" spans="1:51" ht="29.25" customHeight="1" thickBot="1" x14ac:dyDescent="0.3">
      <c r="A8" s="910" t="s">
        <v>164</v>
      </c>
      <c r="B8" s="900"/>
      <c r="C8" s="900"/>
      <c r="D8" s="900"/>
      <c r="E8" s="900"/>
      <c r="F8" s="901"/>
      <c r="G8" s="911" t="s">
        <v>165</v>
      </c>
      <c r="H8" s="912"/>
      <c r="I8" s="912"/>
      <c r="J8" s="912"/>
      <c r="K8" s="912"/>
      <c r="L8" s="912"/>
      <c r="M8" s="912"/>
      <c r="N8" s="912"/>
      <c r="O8" s="912"/>
      <c r="P8" s="912"/>
      <c r="Q8" s="912"/>
      <c r="R8" s="912"/>
      <c r="S8" s="913"/>
      <c r="T8" s="914" t="s">
        <v>166</v>
      </c>
      <c r="U8" s="912"/>
      <c r="V8" s="912"/>
      <c r="W8" s="912"/>
      <c r="X8" s="912"/>
      <c r="Y8" s="912"/>
      <c r="Z8" s="912"/>
      <c r="AA8" s="912"/>
      <c r="AB8" s="912"/>
      <c r="AC8" s="912"/>
      <c r="AD8" s="912"/>
      <c r="AE8" s="912"/>
      <c r="AF8" s="913"/>
      <c r="AG8" s="915" t="s">
        <v>167</v>
      </c>
      <c r="AH8" s="916"/>
      <c r="AI8" s="916"/>
      <c r="AJ8" s="916"/>
      <c r="AK8" s="917"/>
      <c r="AL8" s="918" t="s">
        <v>168</v>
      </c>
      <c r="AM8" s="917"/>
      <c r="AN8" s="87"/>
      <c r="AO8" s="919" t="s">
        <v>169</v>
      </c>
      <c r="AP8" s="920"/>
      <c r="AQ8" s="920"/>
      <c r="AR8" s="920"/>
      <c r="AS8" s="920"/>
      <c r="AT8" s="920"/>
      <c r="AU8" s="920"/>
      <c r="AV8" s="920"/>
      <c r="AW8" s="920"/>
      <c r="AX8" s="921"/>
      <c r="AY8" s="922" t="s">
        <v>170</v>
      </c>
    </row>
    <row r="9" spans="1:51" ht="63" customHeight="1" x14ac:dyDescent="0.25">
      <c r="A9" s="88" t="s">
        <v>171</v>
      </c>
      <c r="B9" s="89" t="s">
        <v>172</v>
      </c>
      <c r="C9" s="89" t="s">
        <v>173</v>
      </c>
      <c r="D9" s="90" t="s">
        <v>174</v>
      </c>
      <c r="E9" s="91" t="s">
        <v>175</v>
      </c>
      <c r="F9" s="91" t="s">
        <v>176</v>
      </c>
      <c r="G9" s="92" t="s">
        <v>124</v>
      </c>
      <c r="H9" s="92" t="s">
        <v>125</v>
      </c>
      <c r="I9" s="92" t="s">
        <v>126</v>
      </c>
      <c r="J9" s="92" t="s">
        <v>127</v>
      </c>
      <c r="K9" s="92" t="s">
        <v>128</v>
      </c>
      <c r="L9" s="92" t="s">
        <v>129</v>
      </c>
      <c r="M9" s="92" t="s">
        <v>130</v>
      </c>
      <c r="N9" s="92" t="s">
        <v>131</v>
      </c>
      <c r="O9" s="93" t="s">
        <v>132</v>
      </c>
      <c r="P9" s="92" t="s">
        <v>133</v>
      </c>
      <c r="Q9" s="92" t="s">
        <v>134</v>
      </c>
      <c r="R9" s="92" t="s">
        <v>135</v>
      </c>
      <c r="S9" s="94" t="s">
        <v>177</v>
      </c>
      <c r="T9" s="92" t="s">
        <v>124</v>
      </c>
      <c r="U9" s="95" t="s">
        <v>125</v>
      </c>
      <c r="V9" s="95" t="s">
        <v>126</v>
      </c>
      <c r="W9" s="92" t="s">
        <v>127</v>
      </c>
      <c r="X9" s="92" t="s">
        <v>128</v>
      </c>
      <c r="Y9" s="92" t="s">
        <v>129</v>
      </c>
      <c r="Z9" s="92" t="s">
        <v>130</v>
      </c>
      <c r="AA9" s="92" t="s">
        <v>131</v>
      </c>
      <c r="AB9" s="92" t="s">
        <v>132</v>
      </c>
      <c r="AC9" s="92" t="s">
        <v>133</v>
      </c>
      <c r="AD9" s="96" t="s">
        <v>134</v>
      </c>
      <c r="AE9" s="97" t="s">
        <v>135</v>
      </c>
      <c r="AF9" s="97" t="s">
        <v>178</v>
      </c>
      <c r="AG9" s="98" t="s">
        <v>179</v>
      </c>
      <c r="AH9" s="97" t="s">
        <v>180</v>
      </c>
      <c r="AI9" s="97" t="s">
        <v>181</v>
      </c>
      <c r="AJ9" s="97" t="s">
        <v>182</v>
      </c>
      <c r="AK9" s="97" t="s">
        <v>183</v>
      </c>
      <c r="AL9" s="97" t="s">
        <v>184</v>
      </c>
      <c r="AM9" s="97" t="s">
        <v>185</v>
      </c>
      <c r="AN9" s="99" t="s">
        <v>186</v>
      </c>
      <c r="AO9" s="99" t="s">
        <v>187</v>
      </c>
      <c r="AP9" s="99" t="s">
        <v>188</v>
      </c>
      <c r="AQ9" s="99" t="s">
        <v>189</v>
      </c>
      <c r="AR9" s="99" t="s">
        <v>190</v>
      </c>
      <c r="AS9" s="99" t="s">
        <v>191</v>
      </c>
      <c r="AT9" s="99" t="s">
        <v>192</v>
      </c>
      <c r="AU9" s="99" t="s">
        <v>193</v>
      </c>
      <c r="AV9" s="99" t="s">
        <v>194</v>
      </c>
      <c r="AW9" s="99" t="s">
        <v>195</v>
      </c>
      <c r="AX9" s="100" t="s">
        <v>196</v>
      </c>
      <c r="AY9" s="923"/>
    </row>
    <row r="10" spans="1:51" ht="49.5" customHeight="1" x14ac:dyDescent="0.25">
      <c r="A10" s="924">
        <v>1</v>
      </c>
      <c r="B10" s="927" t="s">
        <v>59</v>
      </c>
      <c r="C10" s="928" t="s">
        <v>197</v>
      </c>
      <c r="D10" s="101" t="s">
        <v>100</v>
      </c>
      <c r="E10" s="673">
        <v>74</v>
      </c>
      <c r="F10" s="673">
        <v>74</v>
      </c>
      <c r="G10" s="673">
        <v>74</v>
      </c>
      <c r="H10" s="673">
        <v>74</v>
      </c>
      <c r="I10" s="673">
        <v>74</v>
      </c>
      <c r="J10" s="674"/>
      <c r="K10" s="674"/>
      <c r="L10" s="674"/>
      <c r="M10" s="674"/>
      <c r="N10" s="674"/>
      <c r="O10" s="674"/>
      <c r="P10" s="674"/>
      <c r="Q10" s="674"/>
      <c r="R10" s="674"/>
      <c r="S10" s="674"/>
      <c r="T10" s="673">
        <v>0</v>
      </c>
      <c r="U10" s="675">
        <v>62.810000000000009</v>
      </c>
      <c r="V10" s="676">
        <v>63.21</v>
      </c>
      <c r="W10" s="675"/>
      <c r="X10" s="675"/>
      <c r="Y10" s="675"/>
      <c r="Z10" s="677"/>
      <c r="AA10" s="678"/>
      <c r="AB10" s="676"/>
      <c r="AC10" s="675"/>
      <c r="AD10" s="679"/>
      <c r="AE10" s="678"/>
      <c r="AF10" s="929" t="s">
        <v>587</v>
      </c>
      <c r="AG10" s="928" t="s">
        <v>607</v>
      </c>
      <c r="AH10" s="928" t="s">
        <v>198</v>
      </c>
      <c r="AI10" s="928" t="s">
        <v>199</v>
      </c>
      <c r="AJ10" s="928"/>
      <c r="AK10" s="928" t="s">
        <v>200</v>
      </c>
      <c r="AL10" s="927" t="s">
        <v>201</v>
      </c>
      <c r="AM10" s="934" t="s">
        <v>202</v>
      </c>
      <c r="AN10" s="935">
        <f>AO10+AP10</f>
        <v>1644993</v>
      </c>
      <c r="AO10" s="936">
        <v>783068</v>
      </c>
      <c r="AP10" s="936">
        <v>861925</v>
      </c>
      <c r="AQ10" s="927" t="s">
        <v>203</v>
      </c>
      <c r="AR10" s="927" t="s">
        <v>203</v>
      </c>
      <c r="AS10" s="927" t="s">
        <v>203</v>
      </c>
      <c r="AT10" s="927" t="s">
        <v>203</v>
      </c>
      <c r="AU10" s="927" t="s">
        <v>203</v>
      </c>
      <c r="AV10" s="927" t="s">
        <v>203</v>
      </c>
      <c r="AW10" s="927" t="s">
        <v>203</v>
      </c>
      <c r="AX10" s="930" t="s">
        <v>204</v>
      </c>
      <c r="AY10" s="931"/>
    </row>
    <row r="11" spans="1:51" ht="49.5" customHeight="1" x14ac:dyDescent="0.25">
      <c r="A11" s="925"/>
      <c r="B11" s="925"/>
      <c r="C11" s="925"/>
      <c r="D11" s="103" t="s">
        <v>102</v>
      </c>
      <c r="E11" s="674">
        <v>7311395000</v>
      </c>
      <c r="F11" s="674">
        <v>7311395000</v>
      </c>
      <c r="G11" s="674">
        <v>7317016000</v>
      </c>
      <c r="H11" s="674">
        <v>7323016000</v>
      </c>
      <c r="I11" s="674">
        <v>7323016000</v>
      </c>
      <c r="J11" s="674"/>
      <c r="K11" s="674"/>
      <c r="L11" s="674"/>
      <c r="M11" s="674"/>
      <c r="N11" s="674"/>
      <c r="O11" s="674"/>
      <c r="P11" s="674"/>
      <c r="Q11" s="674"/>
      <c r="R11" s="674"/>
      <c r="S11" s="674"/>
      <c r="T11" s="674">
        <v>6599815016</v>
      </c>
      <c r="U11" s="674">
        <v>6998930016</v>
      </c>
      <c r="V11" s="674">
        <v>7107970016</v>
      </c>
      <c r="W11" s="674"/>
      <c r="X11" s="674"/>
      <c r="Y11" s="674"/>
      <c r="Z11" s="674"/>
      <c r="AA11" s="674"/>
      <c r="AB11" s="680"/>
      <c r="AC11" s="674"/>
      <c r="AD11" s="674"/>
      <c r="AE11" s="681"/>
      <c r="AF11" s="925"/>
      <c r="AG11" s="925"/>
      <c r="AH11" s="925"/>
      <c r="AI11" s="925"/>
      <c r="AJ11" s="925"/>
      <c r="AK11" s="925"/>
      <c r="AL11" s="925"/>
      <c r="AM11" s="925"/>
      <c r="AN11" s="925"/>
      <c r="AO11" s="937"/>
      <c r="AP11" s="937"/>
      <c r="AQ11" s="925"/>
      <c r="AR11" s="925"/>
      <c r="AS11" s="925"/>
      <c r="AT11" s="925"/>
      <c r="AU11" s="925"/>
      <c r="AV11" s="925"/>
      <c r="AW11" s="925"/>
      <c r="AX11" s="925"/>
      <c r="AY11" s="925"/>
    </row>
    <row r="12" spans="1:51" ht="47.25" customHeight="1" x14ac:dyDescent="0.25">
      <c r="A12" s="925"/>
      <c r="B12" s="925"/>
      <c r="C12" s="925"/>
      <c r="D12" s="101" t="s">
        <v>104</v>
      </c>
      <c r="E12" s="673">
        <v>0</v>
      </c>
      <c r="F12" s="673">
        <v>0</v>
      </c>
      <c r="G12" s="673">
        <v>0</v>
      </c>
      <c r="H12" s="673">
        <v>0</v>
      </c>
      <c r="I12" s="673">
        <v>0</v>
      </c>
      <c r="J12" s="674"/>
      <c r="K12" s="674"/>
      <c r="L12" s="674"/>
      <c r="M12" s="674"/>
      <c r="N12" s="674"/>
      <c r="O12" s="674"/>
      <c r="P12" s="674"/>
      <c r="Q12" s="674"/>
      <c r="R12" s="674"/>
      <c r="S12" s="674"/>
      <c r="T12" s="673">
        <v>0</v>
      </c>
      <c r="U12" s="673">
        <v>0</v>
      </c>
      <c r="V12" s="673">
        <v>0</v>
      </c>
      <c r="W12" s="675"/>
      <c r="X12" s="675"/>
      <c r="Y12" s="675"/>
      <c r="Z12" s="675"/>
      <c r="AA12" s="675"/>
      <c r="AB12" s="675"/>
      <c r="AC12" s="675"/>
      <c r="AD12" s="675"/>
      <c r="AE12" s="682"/>
      <c r="AF12" s="925"/>
      <c r="AG12" s="925"/>
      <c r="AH12" s="925"/>
      <c r="AI12" s="925"/>
      <c r="AJ12" s="925"/>
      <c r="AK12" s="925"/>
      <c r="AL12" s="925"/>
      <c r="AM12" s="925"/>
      <c r="AN12" s="925"/>
      <c r="AO12" s="937"/>
      <c r="AP12" s="937"/>
      <c r="AQ12" s="925"/>
      <c r="AR12" s="925"/>
      <c r="AS12" s="925"/>
      <c r="AT12" s="925"/>
      <c r="AU12" s="925"/>
      <c r="AV12" s="925"/>
      <c r="AW12" s="925"/>
      <c r="AX12" s="925"/>
      <c r="AY12" s="925"/>
    </row>
    <row r="13" spans="1:51" ht="49.5" customHeight="1" x14ac:dyDescent="0.25">
      <c r="A13" s="925"/>
      <c r="B13" s="925"/>
      <c r="C13" s="925"/>
      <c r="D13" s="103" t="s">
        <v>105</v>
      </c>
      <c r="E13" s="674">
        <v>3139524028</v>
      </c>
      <c r="F13" s="674">
        <v>3139524028</v>
      </c>
      <c r="G13" s="674">
        <v>3139524028</v>
      </c>
      <c r="H13" s="674">
        <v>3139524028</v>
      </c>
      <c r="I13" s="674">
        <v>3139524028</v>
      </c>
      <c r="J13" s="674"/>
      <c r="K13" s="674"/>
      <c r="L13" s="674"/>
      <c r="M13" s="674"/>
      <c r="N13" s="674"/>
      <c r="O13" s="674"/>
      <c r="P13" s="674"/>
      <c r="Q13" s="674"/>
      <c r="R13" s="674"/>
      <c r="S13" s="674"/>
      <c r="T13" s="674">
        <v>46872823</v>
      </c>
      <c r="U13" s="674">
        <v>304643058</v>
      </c>
      <c r="V13" s="680">
        <v>387065978</v>
      </c>
      <c r="W13" s="674"/>
      <c r="X13" s="674"/>
      <c r="Y13" s="674"/>
      <c r="Z13" s="674"/>
      <c r="AA13" s="680"/>
      <c r="AB13" s="680"/>
      <c r="AC13" s="674"/>
      <c r="AD13" s="674"/>
      <c r="AE13" s="681"/>
      <c r="AF13" s="925"/>
      <c r="AG13" s="925"/>
      <c r="AH13" s="925"/>
      <c r="AI13" s="925"/>
      <c r="AJ13" s="925"/>
      <c r="AK13" s="925"/>
      <c r="AL13" s="925"/>
      <c r="AM13" s="925"/>
      <c r="AN13" s="925"/>
      <c r="AO13" s="937"/>
      <c r="AP13" s="937"/>
      <c r="AQ13" s="925"/>
      <c r="AR13" s="925"/>
      <c r="AS13" s="925"/>
      <c r="AT13" s="925"/>
      <c r="AU13" s="925"/>
      <c r="AV13" s="925"/>
      <c r="AW13" s="925"/>
      <c r="AX13" s="925"/>
      <c r="AY13" s="925"/>
    </row>
    <row r="14" spans="1:51" ht="32.25" customHeight="1" x14ac:dyDescent="0.25">
      <c r="A14" s="925"/>
      <c r="B14" s="925"/>
      <c r="C14" s="925"/>
      <c r="D14" s="104" t="s">
        <v>106</v>
      </c>
      <c r="E14" s="673">
        <f t="shared" ref="E14:Q14" si="0">E10</f>
        <v>74</v>
      </c>
      <c r="F14" s="673">
        <f t="shared" si="0"/>
        <v>74</v>
      </c>
      <c r="G14" s="673">
        <f t="shared" si="0"/>
        <v>74</v>
      </c>
      <c r="H14" s="673">
        <f t="shared" si="0"/>
        <v>74</v>
      </c>
      <c r="I14" s="673">
        <f t="shared" si="0"/>
        <v>74</v>
      </c>
      <c r="J14" s="674">
        <f t="shared" si="0"/>
        <v>0</v>
      </c>
      <c r="K14" s="674">
        <f t="shared" si="0"/>
        <v>0</v>
      </c>
      <c r="L14" s="674">
        <f t="shared" si="0"/>
        <v>0</v>
      </c>
      <c r="M14" s="674">
        <f t="shared" si="0"/>
        <v>0</v>
      </c>
      <c r="N14" s="674">
        <f t="shared" si="0"/>
        <v>0</v>
      </c>
      <c r="O14" s="674">
        <f t="shared" si="0"/>
        <v>0</v>
      </c>
      <c r="P14" s="674">
        <f t="shared" si="0"/>
        <v>0</v>
      </c>
      <c r="Q14" s="674">
        <f t="shared" si="0"/>
        <v>0</v>
      </c>
      <c r="R14" s="674"/>
      <c r="S14" s="674"/>
      <c r="T14" s="673">
        <f>T10</f>
        <v>0</v>
      </c>
      <c r="U14" s="683">
        <f t="shared" ref="U14:AD14" si="1">U10+U12</f>
        <v>62.810000000000009</v>
      </c>
      <c r="V14" s="683">
        <f t="shared" si="1"/>
        <v>63.21</v>
      </c>
      <c r="W14" s="683">
        <f t="shared" si="1"/>
        <v>0</v>
      </c>
      <c r="X14" s="683">
        <f t="shared" si="1"/>
        <v>0</v>
      </c>
      <c r="Y14" s="683">
        <f t="shared" si="1"/>
        <v>0</v>
      </c>
      <c r="Z14" s="683">
        <f t="shared" si="1"/>
        <v>0</v>
      </c>
      <c r="AA14" s="684">
        <f t="shared" si="1"/>
        <v>0</v>
      </c>
      <c r="AB14" s="684">
        <f t="shared" si="1"/>
        <v>0</v>
      </c>
      <c r="AC14" s="684">
        <f t="shared" si="1"/>
        <v>0</v>
      </c>
      <c r="AD14" s="684">
        <f t="shared" si="1"/>
        <v>0</v>
      </c>
      <c r="AE14" s="685"/>
      <c r="AF14" s="925"/>
      <c r="AG14" s="925"/>
      <c r="AH14" s="925"/>
      <c r="AI14" s="925"/>
      <c r="AJ14" s="925"/>
      <c r="AK14" s="925"/>
      <c r="AL14" s="925"/>
      <c r="AM14" s="925"/>
      <c r="AN14" s="925"/>
      <c r="AO14" s="937"/>
      <c r="AP14" s="937"/>
      <c r="AQ14" s="925"/>
      <c r="AR14" s="925"/>
      <c r="AS14" s="925"/>
      <c r="AT14" s="925"/>
      <c r="AU14" s="925"/>
      <c r="AV14" s="925"/>
      <c r="AW14" s="925"/>
      <c r="AX14" s="925"/>
      <c r="AY14" s="925"/>
    </row>
    <row r="15" spans="1:51" ht="39.75" customHeight="1" x14ac:dyDescent="0.25">
      <c r="A15" s="926"/>
      <c r="B15" s="926"/>
      <c r="C15" s="926"/>
      <c r="D15" s="103" t="s">
        <v>107</v>
      </c>
      <c r="E15" s="686">
        <f t="shared" ref="E15:Q15" si="2">E11+E13</f>
        <v>10450919028</v>
      </c>
      <c r="F15" s="686">
        <f t="shared" si="2"/>
        <v>10450919028</v>
      </c>
      <c r="G15" s="686">
        <f t="shared" si="2"/>
        <v>10456540028</v>
      </c>
      <c r="H15" s="686">
        <f t="shared" si="2"/>
        <v>10462540028</v>
      </c>
      <c r="I15" s="686">
        <f>I11+I13</f>
        <v>10462540028</v>
      </c>
      <c r="J15" s="674">
        <f t="shared" si="2"/>
        <v>0</v>
      </c>
      <c r="K15" s="674">
        <f t="shared" si="2"/>
        <v>0</v>
      </c>
      <c r="L15" s="674">
        <f t="shared" si="2"/>
        <v>0</v>
      </c>
      <c r="M15" s="674">
        <f t="shared" si="2"/>
        <v>0</v>
      </c>
      <c r="N15" s="674">
        <f t="shared" si="2"/>
        <v>0</v>
      </c>
      <c r="O15" s="674">
        <f t="shared" si="2"/>
        <v>0</v>
      </c>
      <c r="P15" s="674">
        <f t="shared" si="2"/>
        <v>0</v>
      </c>
      <c r="Q15" s="674">
        <f t="shared" si="2"/>
        <v>0</v>
      </c>
      <c r="R15" s="674"/>
      <c r="S15" s="674"/>
      <c r="T15" s="686">
        <f t="shared" ref="T15:AD15" si="3">T11+T13</f>
        <v>6646687839</v>
      </c>
      <c r="U15" s="686">
        <f t="shared" si="3"/>
        <v>7303573074</v>
      </c>
      <c r="V15" s="686">
        <f t="shared" si="3"/>
        <v>7495035994</v>
      </c>
      <c r="W15" s="686">
        <f t="shared" si="3"/>
        <v>0</v>
      </c>
      <c r="X15" s="686">
        <f t="shared" si="3"/>
        <v>0</v>
      </c>
      <c r="Y15" s="686">
        <f t="shared" si="3"/>
        <v>0</v>
      </c>
      <c r="Z15" s="686">
        <f t="shared" si="3"/>
        <v>0</v>
      </c>
      <c r="AA15" s="687">
        <f t="shared" si="3"/>
        <v>0</v>
      </c>
      <c r="AB15" s="687">
        <f t="shared" si="3"/>
        <v>0</v>
      </c>
      <c r="AC15" s="687">
        <f t="shared" si="3"/>
        <v>0</v>
      </c>
      <c r="AD15" s="687">
        <f t="shared" si="3"/>
        <v>0</v>
      </c>
      <c r="AE15" s="688"/>
      <c r="AF15" s="926"/>
      <c r="AG15" s="926"/>
      <c r="AH15" s="926"/>
      <c r="AI15" s="926"/>
      <c r="AJ15" s="926"/>
      <c r="AK15" s="926"/>
      <c r="AL15" s="926"/>
      <c r="AM15" s="926"/>
      <c r="AN15" s="926"/>
      <c r="AO15" s="938"/>
      <c r="AP15" s="938"/>
      <c r="AQ15" s="926"/>
      <c r="AR15" s="926"/>
      <c r="AS15" s="926"/>
      <c r="AT15" s="926"/>
      <c r="AU15" s="926"/>
      <c r="AV15" s="926"/>
      <c r="AW15" s="926"/>
      <c r="AX15" s="926"/>
      <c r="AY15" s="926"/>
    </row>
    <row r="16" spans="1:51" ht="49.5" customHeight="1" x14ac:dyDescent="0.25">
      <c r="A16" s="924">
        <v>2</v>
      </c>
      <c r="B16" s="927" t="s">
        <v>108</v>
      </c>
      <c r="C16" s="928" t="s">
        <v>205</v>
      </c>
      <c r="D16" s="101" t="s">
        <v>100</v>
      </c>
      <c r="E16" s="673">
        <v>135</v>
      </c>
      <c r="F16" s="673">
        <v>135</v>
      </c>
      <c r="G16" s="673">
        <v>135</v>
      </c>
      <c r="H16" s="673">
        <v>135</v>
      </c>
      <c r="I16" s="673">
        <v>135</v>
      </c>
      <c r="J16" s="674"/>
      <c r="K16" s="674"/>
      <c r="L16" s="674"/>
      <c r="M16" s="674"/>
      <c r="N16" s="674"/>
      <c r="O16" s="674"/>
      <c r="P16" s="674"/>
      <c r="Q16" s="674"/>
      <c r="R16" s="674"/>
      <c r="S16" s="674"/>
      <c r="T16" s="673">
        <v>0</v>
      </c>
      <c r="U16" s="675">
        <v>2.9000000000000001E-2</v>
      </c>
      <c r="V16" s="675">
        <v>3.4000000000000002E-2</v>
      </c>
      <c r="W16" s="675"/>
      <c r="X16" s="675"/>
      <c r="Y16" s="675"/>
      <c r="Z16" s="677"/>
      <c r="AA16" s="689"/>
      <c r="AB16" s="689"/>
      <c r="AC16" s="675"/>
      <c r="AD16" s="679"/>
      <c r="AE16" s="678"/>
      <c r="AF16" s="932" t="s">
        <v>608</v>
      </c>
      <c r="AG16" s="928" t="s">
        <v>206</v>
      </c>
      <c r="AH16" s="933" t="s">
        <v>207</v>
      </c>
      <c r="AI16" s="928" t="s">
        <v>208</v>
      </c>
      <c r="AJ16" s="933" t="s">
        <v>616</v>
      </c>
      <c r="AK16" s="928" t="s">
        <v>209</v>
      </c>
      <c r="AL16" s="927" t="s">
        <v>210</v>
      </c>
      <c r="AM16" s="934" t="s">
        <v>211</v>
      </c>
      <c r="AN16" s="944">
        <f>AO16+AP16</f>
        <v>6815417</v>
      </c>
      <c r="AO16" s="945">
        <v>3249513</v>
      </c>
      <c r="AP16" s="939">
        <v>3565904</v>
      </c>
      <c r="AQ16" s="927" t="s">
        <v>212</v>
      </c>
      <c r="AR16" s="927" t="s">
        <v>212</v>
      </c>
      <c r="AS16" s="927" t="s">
        <v>203</v>
      </c>
      <c r="AT16" s="927" t="s">
        <v>212</v>
      </c>
      <c r="AU16" s="927" t="s">
        <v>203</v>
      </c>
      <c r="AV16" s="927" t="s">
        <v>212</v>
      </c>
      <c r="AW16" s="927" t="s">
        <v>203</v>
      </c>
      <c r="AX16" s="928" t="s">
        <v>213</v>
      </c>
      <c r="AY16" s="931"/>
    </row>
    <row r="17" spans="1:51" ht="49.5" customHeight="1" x14ac:dyDescent="0.25">
      <c r="A17" s="925"/>
      <c r="B17" s="925"/>
      <c r="C17" s="925"/>
      <c r="D17" s="103" t="s">
        <v>102</v>
      </c>
      <c r="E17" s="674">
        <v>15639526000</v>
      </c>
      <c r="F17" s="674">
        <v>15639526000</v>
      </c>
      <c r="G17" s="674">
        <v>15646731000</v>
      </c>
      <c r="H17" s="674">
        <v>16721499297</v>
      </c>
      <c r="I17" s="674">
        <v>16721499297</v>
      </c>
      <c r="J17" s="674"/>
      <c r="K17" s="674"/>
      <c r="L17" s="674"/>
      <c r="M17" s="674"/>
      <c r="N17" s="674"/>
      <c r="O17" s="674"/>
      <c r="P17" s="674"/>
      <c r="Q17" s="674"/>
      <c r="R17" s="674"/>
      <c r="S17" s="674"/>
      <c r="T17" s="674">
        <v>11982335825</v>
      </c>
      <c r="U17" s="674">
        <v>12801858825</v>
      </c>
      <c r="V17" s="674">
        <v>12956832825</v>
      </c>
      <c r="W17" s="674"/>
      <c r="X17" s="674"/>
      <c r="Y17" s="674"/>
      <c r="Z17" s="674"/>
      <c r="AA17" s="680"/>
      <c r="AB17" s="680"/>
      <c r="AC17" s="674"/>
      <c r="AD17" s="674"/>
      <c r="AE17" s="681"/>
      <c r="AF17" s="925"/>
      <c r="AG17" s="925"/>
      <c r="AH17" s="925"/>
      <c r="AI17" s="925"/>
      <c r="AJ17" s="942"/>
      <c r="AK17" s="925"/>
      <c r="AL17" s="925"/>
      <c r="AM17" s="925"/>
      <c r="AN17" s="925"/>
      <c r="AO17" s="940"/>
      <c r="AP17" s="940"/>
      <c r="AQ17" s="925"/>
      <c r="AR17" s="925"/>
      <c r="AS17" s="925"/>
      <c r="AT17" s="925"/>
      <c r="AU17" s="925"/>
      <c r="AV17" s="925"/>
      <c r="AW17" s="925"/>
      <c r="AX17" s="925"/>
      <c r="AY17" s="925"/>
    </row>
    <row r="18" spans="1:51" ht="49.5" customHeight="1" x14ac:dyDescent="0.25">
      <c r="A18" s="925"/>
      <c r="B18" s="925"/>
      <c r="C18" s="925"/>
      <c r="D18" s="101" t="s">
        <v>104</v>
      </c>
      <c r="E18" s="673">
        <v>119.34</v>
      </c>
      <c r="F18" s="673">
        <v>119.34</v>
      </c>
      <c r="G18" s="673">
        <v>119.34</v>
      </c>
      <c r="H18" s="673">
        <v>119.34</v>
      </c>
      <c r="I18" s="673">
        <v>119.34</v>
      </c>
      <c r="J18" s="674"/>
      <c r="K18" s="674"/>
      <c r="L18" s="674"/>
      <c r="M18" s="674"/>
      <c r="N18" s="674"/>
      <c r="O18" s="674"/>
      <c r="P18" s="674"/>
      <c r="Q18" s="674"/>
      <c r="R18" s="674"/>
      <c r="S18" s="674"/>
      <c r="T18" s="673">
        <v>0</v>
      </c>
      <c r="U18" s="675">
        <v>0</v>
      </c>
      <c r="V18" s="675">
        <v>0</v>
      </c>
      <c r="W18" s="675"/>
      <c r="X18" s="675"/>
      <c r="Y18" s="675"/>
      <c r="Z18" s="675"/>
      <c r="AA18" s="690"/>
      <c r="AB18" s="690"/>
      <c r="AC18" s="690"/>
      <c r="AD18" s="690"/>
      <c r="AE18" s="682"/>
      <c r="AF18" s="925"/>
      <c r="AG18" s="925"/>
      <c r="AH18" s="925"/>
      <c r="AI18" s="925"/>
      <c r="AJ18" s="942"/>
      <c r="AK18" s="925"/>
      <c r="AL18" s="925"/>
      <c r="AM18" s="925"/>
      <c r="AN18" s="925"/>
      <c r="AO18" s="940"/>
      <c r="AP18" s="940"/>
      <c r="AQ18" s="925"/>
      <c r="AR18" s="925"/>
      <c r="AS18" s="925"/>
      <c r="AT18" s="925"/>
      <c r="AU18" s="925"/>
      <c r="AV18" s="925"/>
      <c r="AW18" s="925"/>
      <c r="AX18" s="925"/>
      <c r="AY18" s="925"/>
    </row>
    <row r="19" spans="1:51" ht="49.5" customHeight="1" x14ac:dyDescent="0.25">
      <c r="A19" s="925"/>
      <c r="B19" s="925"/>
      <c r="C19" s="925"/>
      <c r="D19" s="103" t="s">
        <v>105</v>
      </c>
      <c r="E19" s="674">
        <v>6826933758</v>
      </c>
      <c r="F19" s="674">
        <v>6826933758</v>
      </c>
      <c r="G19" s="674">
        <v>6826933758</v>
      </c>
      <c r="H19" s="674">
        <v>6826933758</v>
      </c>
      <c r="I19" s="674">
        <v>6826933758</v>
      </c>
      <c r="J19" s="674"/>
      <c r="K19" s="674"/>
      <c r="L19" s="674"/>
      <c r="M19" s="674"/>
      <c r="N19" s="674"/>
      <c r="O19" s="674"/>
      <c r="P19" s="674"/>
      <c r="Q19" s="674"/>
      <c r="R19" s="674"/>
      <c r="S19" s="674"/>
      <c r="T19" s="674">
        <v>21349000</v>
      </c>
      <c r="U19" s="674">
        <v>1747879234</v>
      </c>
      <c r="V19" s="674">
        <v>1761218128</v>
      </c>
      <c r="W19" s="674"/>
      <c r="X19" s="674"/>
      <c r="Y19" s="674"/>
      <c r="Z19" s="674"/>
      <c r="AA19" s="680"/>
      <c r="AB19" s="680"/>
      <c r="AC19" s="674"/>
      <c r="AD19" s="674"/>
      <c r="AE19" s="681"/>
      <c r="AF19" s="925"/>
      <c r="AG19" s="925"/>
      <c r="AH19" s="925"/>
      <c r="AI19" s="925"/>
      <c r="AJ19" s="942"/>
      <c r="AK19" s="925"/>
      <c r="AL19" s="925"/>
      <c r="AM19" s="925"/>
      <c r="AN19" s="925"/>
      <c r="AO19" s="940"/>
      <c r="AP19" s="940"/>
      <c r="AQ19" s="925"/>
      <c r="AR19" s="925"/>
      <c r="AS19" s="925"/>
      <c r="AT19" s="925"/>
      <c r="AU19" s="925"/>
      <c r="AV19" s="925"/>
      <c r="AW19" s="925"/>
      <c r="AX19" s="925"/>
      <c r="AY19" s="925"/>
    </row>
    <row r="20" spans="1:51" ht="49.5" customHeight="1" x14ac:dyDescent="0.25">
      <c r="A20" s="925"/>
      <c r="B20" s="925"/>
      <c r="C20" s="925"/>
      <c r="D20" s="101" t="s">
        <v>106</v>
      </c>
      <c r="E20" s="673">
        <f t="shared" ref="E20:Q21" si="4">E16+E18</f>
        <v>254.34</v>
      </c>
      <c r="F20" s="673">
        <f t="shared" si="4"/>
        <v>254.34</v>
      </c>
      <c r="G20" s="673">
        <f t="shared" si="4"/>
        <v>254.34</v>
      </c>
      <c r="H20" s="673">
        <f t="shared" si="4"/>
        <v>254.34</v>
      </c>
      <c r="I20" s="673">
        <f t="shared" si="4"/>
        <v>254.34</v>
      </c>
      <c r="J20" s="674">
        <f t="shared" si="4"/>
        <v>0</v>
      </c>
      <c r="K20" s="674">
        <f t="shared" si="4"/>
        <v>0</v>
      </c>
      <c r="L20" s="674">
        <f t="shared" si="4"/>
        <v>0</v>
      </c>
      <c r="M20" s="674">
        <f t="shared" si="4"/>
        <v>0</v>
      </c>
      <c r="N20" s="674">
        <f t="shared" si="4"/>
        <v>0</v>
      </c>
      <c r="O20" s="674">
        <f t="shared" si="4"/>
        <v>0</v>
      </c>
      <c r="P20" s="674">
        <f t="shared" si="4"/>
        <v>0</v>
      </c>
      <c r="Q20" s="674">
        <f t="shared" si="4"/>
        <v>0</v>
      </c>
      <c r="R20" s="674"/>
      <c r="S20" s="674"/>
      <c r="T20" s="673">
        <f t="shared" ref="T20:AD21" si="5">T16+T18</f>
        <v>0</v>
      </c>
      <c r="U20" s="691">
        <f t="shared" si="5"/>
        <v>2.9000000000000001E-2</v>
      </c>
      <c r="V20" s="691">
        <f t="shared" si="5"/>
        <v>3.4000000000000002E-2</v>
      </c>
      <c r="W20" s="691">
        <f t="shared" si="5"/>
        <v>0</v>
      </c>
      <c r="X20" s="691">
        <f t="shared" si="5"/>
        <v>0</v>
      </c>
      <c r="Y20" s="691">
        <f t="shared" si="5"/>
        <v>0</v>
      </c>
      <c r="Z20" s="691">
        <f t="shared" si="5"/>
        <v>0</v>
      </c>
      <c r="AA20" s="684">
        <f t="shared" si="5"/>
        <v>0</v>
      </c>
      <c r="AB20" s="684">
        <f t="shared" si="5"/>
        <v>0</v>
      </c>
      <c r="AC20" s="684">
        <f t="shared" si="5"/>
        <v>0</v>
      </c>
      <c r="AD20" s="684">
        <f t="shared" si="5"/>
        <v>0</v>
      </c>
      <c r="AE20" s="685"/>
      <c r="AF20" s="925"/>
      <c r="AG20" s="925"/>
      <c r="AH20" s="925"/>
      <c r="AI20" s="925"/>
      <c r="AJ20" s="942"/>
      <c r="AK20" s="925"/>
      <c r="AL20" s="925"/>
      <c r="AM20" s="925"/>
      <c r="AN20" s="925"/>
      <c r="AO20" s="940"/>
      <c r="AP20" s="940"/>
      <c r="AQ20" s="925"/>
      <c r="AR20" s="925"/>
      <c r="AS20" s="925"/>
      <c r="AT20" s="925"/>
      <c r="AU20" s="925"/>
      <c r="AV20" s="925"/>
      <c r="AW20" s="925"/>
      <c r="AX20" s="925"/>
      <c r="AY20" s="925"/>
    </row>
    <row r="21" spans="1:51" ht="27" customHeight="1" x14ac:dyDescent="0.25">
      <c r="A21" s="926"/>
      <c r="B21" s="926"/>
      <c r="C21" s="926"/>
      <c r="D21" s="103" t="s">
        <v>107</v>
      </c>
      <c r="E21" s="686">
        <f t="shared" si="4"/>
        <v>22466459758</v>
      </c>
      <c r="F21" s="686">
        <f t="shared" si="4"/>
        <v>22466459758</v>
      </c>
      <c r="G21" s="686">
        <f t="shared" si="4"/>
        <v>22473664758</v>
      </c>
      <c r="H21" s="686">
        <f t="shared" si="4"/>
        <v>23548433055</v>
      </c>
      <c r="I21" s="686">
        <f t="shared" si="4"/>
        <v>23548433055</v>
      </c>
      <c r="J21" s="674">
        <f t="shared" si="4"/>
        <v>0</v>
      </c>
      <c r="K21" s="674">
        <f t="shared" si="4"/>
        <v>0</v>
      </c>
      <c r="L21" s="674">
        <f t="shared" si="4"/>
        <v>0</v>
      </c>
      <c r="M21" s="674">
        <f t="shared" si="4"/>
        <v>0</v>
      </c>
      <c r="N21" s="674">
        <f t="shared" si="4"/>
        <v>0</v>
      </c>
      <c r="O21" s="674">
        <f t="shared" si="4"/>
        <v>0</v>
      </c>
      <c r="P21" s="674">
        <f t="shared" si="4"/>
        <v>0</v>
      </c>
      <c r="Q21" s="674">
        <f t="shared" si="4"/>
        <v>0</v>
      </c>
      <c r="R21" s="674"/>
      <c r="S21" s="674"/>
      <c r="T21" s="686">
        <f t="shared" si="5"/>
        <v>12003684825</v>
      </c>
      <c r="U21" s="686">
        <f t="shared" si="5"/>
        <v>14549738059</v>
      </c>
      <c r="V21" s="686">
        <f t="shared" si="5"/>
        <v>14718050953</v>
      </c>
      <c r="W21" s="686">
        <f t="shared" si="5"/>
        <v>0</v>
      </c>
      <c r="X21" s="686">
        <f t="shared" si="5"/>
        <v>0</v>
      </c>
      <c r="Y21" s="686">
        <f t="shared" si="5"/>
        <v>0</v>
      </c>
      <c r="Z21" s="686">
        <f t="shared" si="5"/>
        <v>0</v>
      </c>
      <c r="AA21" s="687">
        <f t="shared" si="5"/>
        <v>0</v>
      </c>
      <c r="AB21" s="687">
        <f t="shared" si="5"/>
        <v>0</v>
      </c>
      <c r="AC21" s="687">
        <f t="shared" si="5"/>
        <v>0</v>
      </c>
      <c r="AD21" s="687">
        <f t="shared" si="5"/>
        <v>0</v>
      </c>
      <c r="AE21" s="688"/>
      <c r="AF21" s="926"/>
      <c r="AG21" s="926"/>
      <c r="AH21" s="926"/>
      <c r="AI21" s="926"/>
      <c r="AJ21" s="943"/>
      <c r="AK21" s="926"/>
      <c r="AL21" s="926"/>
      <c r="AM21" s="926"/>
      <c r="AN21" s="926"/>
      <c r="AO21" s="941"/>
      <c r="AP21" s="941"/>
      <c r="AQ21" s="926"/>
      <c r="AR21" s="926"/>
      <c r="AS21" s="926"/>
      <c r="AT21" s="926"/>
      <c r="AU21" s="926"/>
      <c r="AV21" s="926"/>
      <c r="AW21" s="926"/>
      <c r="AX21" s="926"/>
      <c r="AY21" s="926"/>
    </row>
    <row r="22" spans="1:51" ht="49.5" customHeight="1" x14ac:dyDescent="0.25">
      <c r="A22" s="924">
        <v>3</v>
      </c>
      <c r="B22" s="927" t="s">
        <v>73</v>
      </c>
      <c r="C22" s="927" t="s">
        <v>214</v>
      </c>
      <c r="D22" s="101" t="s">
        <v>100</v>
      </c>
      <c r="E22" s="673">
        <v>590</v>
      </c>
      <c r="F22" s="673">
        <v>590</v>
      </c>
      <c r="G22" s="673">
        <v>590</v>
      </c>
      <c r="H22" s="673">
        <v>590</v>
      </c>
      <c r="I22" s="673">
        <v>590</v>
      </c>
      <c r="J22" s="674"/>
      <c r="K22" s="674"/>
      <c r="L22" s="674"/>
      <c r="M22" s="674"/>
      <c r="N22" s="674"/>
      <c r="O22" s="674"/>
      <c r="P22" s="674"/>
      <c r="Q22" s="674"/>
      <c r="R22" s="674"/>
      <c r="S22" s="674"/>
      <c r="T22" s="673">
        <v>0</v>
      </c>
      <c r="U22" s="675">
        <v>0</v>
      </c>
      <c r="V22" s="692">
        <v>0</v>
      </c>
      <c r="W22" s="675"/>
      <c r="X22" s="675"/>
      <c r="Y22" s="675"/>
      <c r="Z22" s="677"/>
      <c r="AA22" s="689"/>
      <c r="AB22" s="689"/>
      <c r="AC22" s="675"/>
      <c r="AD22" s="679"/>
      <c r="AE22" s="678"/>
      <c r="AF22" s="932" t="s">
        <v>593</v>
      </c>
      <c r="AG22" s="927" t="s">
        <v>612</v>
      </c>
      <c r="AH22" s="934" t="s">
        <v>215</v>
      </c>
      <c r="AI22" s="927" t="s">
        <v>208</v>
      </c>
      <c r="AJ22" s="928"/>
      <c r="AK22" s="928" t="s">
        <v>216</v>
      </c>
      <c r="AL22" s="927" t="s">
        <v>217</v>
      </c>
      <c r="AM22" s="927" t="s">
        <v>211</v>
      </c>
      <c r="AN22" s="944">
        <f>AO22+AP22</f>
        <v>7339642</v>
      </c>
      <c r="AO22" s="945">
        <v>3500891</v>
      </c>
      <c r="AP22" s="939">
        <v>3838751</v>
      </c>
      <c r="AQ22" s="948" t="s">
        <v>212</v>
      </c>
      <c r="AR22" s="927" t="s">
        <v>212</v>
      </c>
      <c r="AS22" s="927" t="s">
        <v>203</v>
      </c>
      <c r="AT22" s="927" t="s">
        <v>212</v>
      </c>
      <c r="AU22" s="927" t="s">
        <v>203</v>
      </c>
      <c r="AV22" s="927" t="s">
        <v>212</v>
      </c>
      <c r="AW22" s="927" t="s">
        <v>203</v>
      </c>
      <c r="AX22" s="946" t="s">
        <v>213</v>
      </c>
      <c r="AY22" s="931"/>
    </row>
    <row r="23" spans="1:51" ht="49.5" customHeight="1" x14ac:dyDescent="0.25">
      <c r="A23" s="925"/>
      <c r="B23" s="925"/>
      <c r="C23" s="925"/>
      <c r="D23" s="105" t="s">
        <v>102</v>
      </c>
      <c r="E23" s="674">
        <v>15816809000</v>
      </c>
      <c r="F23" s="674">
        <v>15816809000</v>
      </c>
      <c r="G23" s="674">
        <v>15803983000</v>
      </c>
      <c r="H23" s="674">
        <v>14723214703</v>
      </c>
      <c r="I23" s="674">
        <v>14723214703</v>
      </c>
      <c r="J23" s="674"/>
      <c r="K23" s="674"/>
      <c r="L23" s="674"/>
      <c r="M23" s="674"/>
      <c r="N23" s="674"/>
      <c r="O23" s="674"/>
      <c r="P23" s="674"/>
      <c r="Q23" s="674"/>
      <c r="R23" s="674"/>
      <c r="S23" s="674"/>
      <c r="T23" s="674">
        <v>13484905703</v>
      </c>
      <c r="U23" s="680">
        <v>14142797703</v>
      </c>
      <c r="V23" s="680">
        <v>14241725703</v>
      </c>
      <c r="W23" s="674"/>
      <c r="X23" s="674"/>
      <c r="Y23" s="674"/>
      <c r="Z23" s="674"/>
      <c r="AA23" s="680"/>
      <c r="AB23" s="680"/>
      <c r="AC23" s="693"/>
      <c r="AD23" s="674"/>
      <c r="AE23" s="694"/>
      <c r="AF23" s="925"/>
      <c r="AG23" s="925"/>
      <c r="AH23" s="925"/>
      <c r="AI23" s="925"/>
      <c r="AJ23" s="925"/>
      <c r="AK23" s="925"/>
      <c r="AL23" s="925"/>
      <c r="AM23" s="925"/>
      <c r="AN23" s="925"/>
      <c r="AO23" s="940"/>
      <c r="AP23" s="940"/>
      <c r="AQ23" s="925"/>
      <c r="AR23" s="925"/>
      <c r="AS23" s="925"/>
      <c r="AT23" s="925"/>
      <c r="AU23" s="925"/>
      <c r="AV23" s="925"/>
      <c r="AW23" s="925"/>
      <c r="AX23" s="925"/>
      <c r="AY23" s="925"/>
    </row>
    <row r="24" spans="1:51" ht="36" customHeight="1" x14ac:dyDescent="0.25">
      <c r="A24" s="925"/>
      <c r="B24" s="925"/>
      <c r="C24" s="925"/>
      <c r="D24" s="101" t="s">
        <v>104</v>
      </c>
      <c r="E24" s="673">
        <v>0</v>
      </c>
      <c r="F24" s="673">
        <v>0</v>
      </c>
      <c r="G24" s="673">
        <v>0</v>
      </c>
      <c r="H24" s="673">
        <v>0</v>
      </c>
      <c r="I24" s="673">
        <v>0</v>
      </c>
      <c r="J24" s="674"/>
      <c r="K24" s="674"/>
      <c r="L24" s="674"/>
      <c r="M24" s="674"/>
      <c r="N24" s="674"/>
      <c r="O24" s="674"/>
      <c r="P24" s="674"/>
      <c r="Q24" s="674"/>
      <c r="R24" s="674"/>
      <c r="S24" s="674"/>
      <c r="T24" s="673">
        <v>0</v>
      </c>
      <c r="U24" s="675">
        <v>0</v>
      </c>
      <c r="V24" s="675">
        <v>0</v>
      </c>
      <c r="W24" s="675"/>
      <c r="X24" s="675"/>
      <c r="Y24" s="675"/>
      <c r="Z24" s="675"/>
      <c r="AA24" s="690"/>
      <c r="AB24" s="690"/>
      <c r="AC24" s="675"/>
      <c r="AD24" s="675"/>
      <c r="AE24" s="682"/>
      <c r="AF24" s="925"/>
      <c r="AG24" s="925"/>
      <c r="AH24" s="925"/>
      <c r="AI24" s="925"/>
      <c r="AJ24" s="925"/>
      <c r="AK24" s="925"/>
      <c r="AL24" s="925"/>
      <c r="AM24" s="925"/>
      <c r="AN24" s="925"/>
      <c r="AO24" s="940"/>
      <c r="AP24" s="940"/>
      <c r="AQ24" s="925"/>
      <c r="AR24" s="925"/>
      <c r="AS24" s="925"/>
      <c r="AT24" s="925"/>
      <c r="AU24" s="925"/>
      <c r="AV24" s="925"/>
      <c r="AW24" s="925"/>
      <c r="AX24" s="925"/>
      <c r="AY24" s="925"/>
    </row>
    <row r="25" spans="1:51" ht="36" customHeight="1" x14ac:dyDescent="0.25">
      <c r="A25" s="925"/>
      <c r="B25" s="925"/>
      <c r="C25" s="925"/>
      <c r="D25" s="106" t="s">
        <v>105</v>
      </c>
      <c r="E25" s="674">
        <v>8129089326</v>
      </c>
      <c r="F25" s="674">
        <v>8129089326</v>
      </c>
      <c r="G25" s="674">
        <v>8129089326</v>
      </c>
      <c r="H25" s="674">
        <v>8129089326</v>
      </c>
      <c r="I25" s="674">
        <v>8129089326</v>
      </c>
      <c r="J25" s="674"/>
      <c r="K25" s="674"/>
      <c r="L25" s="674"/>
      <c r="M25" s="674"/>
      <c r="N25" s="674"/>
      <c r="O25" s="674"/>
      <c r="P25" s="674"/>
      <c r="Q25" s="674"/>
      <c r="R25" s="674"/>
      <c r="S25" s="674"/>
      <c r="T25" s="674">
        <v>7131483136</v>
      </c>
      <c r="U25" s="674">
        <v>7189053475</v>
      </c>
      <c r="V25" s="680">
        <v>7207736506</v>
      </c>
      <c r="W25" s="674"/>
      <c r="X25" s="674"/>
      <c r="Y25" s="674"/>
      <c r="Z25" s="674"/>
      <c r="AA25" s="680"/>
      <c r="AB25" s="680"/>
      <c r="AC25" s="674"/>
      <c r="AD25" s="674"/>
      <c r="AE25" s="681"/>
      <c r="AF25" s="925"/>
      <c r="AG25" s="925"/>
      <c r="AH25" s="925"/>
      <c r="AI25" s="925"/>
      <c r="AJ25" s="925"/>
      <c r="AK25" s="925"/>
      <c r="AL25" s="925"/>
      <c r="AM25" s="925"/>
      <c r="AN25" s="925"/>
      <c r="AO25" s="940"/>
      <c r="AP25" s="940"/>
      <c r="AQ25" s="925"/>
      <c r="AR25" s="925"/>
      <c r="AS25" s="925"/>
      <c r="AT25" s="925"/>
      <c r="AU25" s="925"/>
      <c r="AV25" s="925"/>
      <c r="AW25" s="925"/>
      <c r="AX25" s="925"/>
      <c r="AY25" s="925"/>
    </row>
    <row r="26" spans="1:51" ht="28.5" customHeight="1" x14ac:dyDescent="0.25">
      <c r="A26" s="925"/>
      <c r="B26" s="925"/>
      <c r="C26" s="925"/>
      <c r="D26" s="101" t="s">
        <v>106</v>
      </c>
      <c r="E26" s="673">
        <f t="shared" ref="E26:Q26" si="6">E22</f>
        <v>590</v>
      </c>
      <c r="F26" s="673">
        <f t="shared" si="6"/>
        <v>590</v>
      </c>
      <c r="G26" s="673">
        <f t="shared" si="6"/>
        <v>590</v>
      </c>
      <c r="H26" s="673">
        <f t="shared" si="6"/>
        <v>590</v>
      </c>
      <c r="I26" s="673">
        <f t="shared" si="6"/>
        <v>590</v>
      </c>
      <c r="J26" s="674">
        <f t="shared" si="6"/>
        <v>0</v>
      </c>
      <c r="K26" s="674">
        <f t="shared" si="6"/>
        <v>0</v>
      </c>
      <c r="L26" s="674">
        <f t="shared" si="6"/>
        <v>0</v>
      </c>
      <c r="M26" s="674">
        <f t="shared" si="6"/>
        <v>0</v>
      </c>
      <c r="N26" s="674">
        <f t="shared" si="6"/>
        <v>0</v>
      </c>
      <c r="O26" s="674">
        <f t="shared" si="6"/>
        <v>0</v>
      </c>
      <c r="P26" s="674">
        <f t="shared" si="6"/>
        <v>0</v>
      </c>
      <c r="Q26" s="674">
        <f t="shared" si="6"/>
        <v>0</v>
      </c>
      <c r="R26" s="674"/>
      <c r="S26" s="674"/>
      <c r="T26" s="673">
        <f t="shared" ref="T26:AD26" si="7">T22</f>
        <v>0</v>
      </c>
      <c r="U26" s="683">
        <f t="shared" si="7"/>
        <v>0</v>
      </c>
      <c r="V26" s="683">
        <f t="shared" si="7"/>
        <v>0</v>
      </c>
      <c r="W26" s="683">
        <f t="shared" si="7"/>
        <v>0</v>
      </c>
      <c r="X26" s="683">
        <f t="shared" si="7"/>
        <v>0</v>
      </c>
      <c r="Y26" s="683">
        <f t="shared" si="7"/>
        <v>0</v>
      </c>
      <c r="Z26" s="683">
        <f t="shared" si="7"/>
        <v>0</v>
      </c>
      <c r="AA26" s="684">
        <f t="shared" si="7"/>
        <v>0</v>
      </c>
      <c r="AB26" s="684">
        <f t="shared" si="7"/>
        <v>0</v>
      </c>
      <c r="AC26" s="684">
        <f t="shared" si="7"/>
        <v>0</v>
      </c>
      <c r="AD26" s="684">
        <f t="shared" si="7"/>
        <v>0</v>
      </c>
      <c r="AE26" s="685"/>
      <c r="AF26" s="925"/>
      <c r="AG26" s="925"/>
      <c r="AH26" s="925"/>
      <c r="AI26" s="925"/>
      <c r="AJ26" s="925"/>
      <c r="AK26" s="925"/>
      <c r="AL26" s="925"/>
      <c r="AM26" s="925"/>
      <c r="AN26" s="925"/>
      <c r="AO26" s="940"/>
      <c r="AP26" s="940"/>
      <c r="AQ26" s="925"/>
      <c r="AR26" s="925"/>
      <c r="AS26" s="925"/>
      <c r="AT26" s="925"/>
      <c r="AU26" s="925"/>
      <c r="AV26" s="925"/>
      <c r="AW26" s="925"/>
      <c r="AX26" s="925"/>
      <c r="AY26" s="925"/>
    </row>
    <row r="27" spans="1:51" ht="50.25" customHeight="1" x14ac:dyDescent="0.25">
      <c r="A27" s="925"/>
      <c r="B27" s="926"/>
      <c r="C27" s="926"/>
      <c r="D27" s="106" t="s">
        <v>107</v>
      </c>
      <c r="E27" s="686">
        <f t="shared" ref="E27:Q27" si="8">E23+E25</f>
        <v>23945898326</v>
      </c>
      <c r="F27" s="686">
        <f t="shared" si="8"/>
        <v>23945898326</v>
      </c>
      <c r="G27" s="686">
        <f t="shared" si="8"/>
        <v>23933072326</v>
      </c>
      <c r="H27" s="686">
        <f t="shared" si="8"/>
        <v>22852304029</v>
      </c>
      <c r="I27" s="686">
        <f t="shared" si="8"/>
        <v>22852304029</v>
      </c>
      <c r="J27" s="686">
        <f t="shared" si="8"/>
        <v>0</v>
      </c>
      <c r="K27" s="686">
        <f t="shared" si="8"/>
        <v>0</v>
      </c>
      <c r="L27" s="686">
        <f t="shared" si="8"/>
        <v>0</v>
      </c>
      <c r="M27" s="686">
        <f t="shared" si="8"/>
        <v>0</v>
      </c>
      <c r="N27" s="686">
        <f t="shared" si="8"/>
        <v>0</v>
      </c>
      <c r="O27" s="686">
        <f t="shared" si="8"/>
        <v>0</v>
      </c>
      <c r="P27" s="686">
        <f t="shared" si="8"/>
        <v>0</v>
      </c>
      <c r="Q27" s="686">
        <f t="shared" si="8"/>
        <v>0</v>
      </c>
      <c r="R27" s="686"/>
      <c r="S27" s="686"/>
      <c r="T27" s="686">
        <f t="shared" ref="T27:AD27" si="9">T23+T25</f>
        <v>20616388839</v>
      </c>
      <c r="U27" s="695">
        <f t="shared" si="9"/>
        <v>21331851178</v>
      </c>
      <c r="V27" s="695">
        <f t="shared" si="9"/>
        <v>21449462209</v>
      </c>
      <c r="W27" s="695">
        <f t="shared" si="9"/>
        <v>0</v>
      </c>
      <c r="X27" s="695">
        <f t="shared" si="9"/>
        <v>0</v>
      </c>
      <c r="Y27" s="695">
        <f t="shared" si="9"/>
        <v>0</v>
      </c>
      <c r="Z27" s="695">
        <f t="shared" si="9"/>
        <v>0</v>
      </c>
      <c r="AA27" s="687">
        <f t="shared" si="9"/>
        <v>0</v>
      </c>
      <c r="AB27" s="687">
        <f t="shared" si="9"/>
        <v>0</v>
      </c>
      <c r="AC27" s="687">
        <f t="shared" si="9"/>
        <v>0</v>
      </c>
      <c r="AD27" s="687">
        <f t="shared" si="9"/>
        <v>0</v>
      </c>
      <c r="AE27" s="688"/>
      <c r="AF27" s="926"/>
      <c r="AG27" s="926"/>
      <c r="AH27" s="926"/>
      <c r="AI27" s="926"/>
      <c r="AJ27" s="926"/>
      <c r="AK27" s="926"/>
      <c r="AL27" s="926"/>
      <c r="AM27" s="926"/>
      <c r="AN27" s="926"/>
      <c r="AO27" s="941"/>
      <c r="AP27" s="941"/>
      <c r="AQ27" s="926"/>
      <c r="AR27" s="926"/>
      <c r="AS27" s="926"/>
      <c r="AT27" s="926"/>
      <c r="AU27" s="926"/>
      <c r="AV27" s="926"/>
      <c r="AW27" s="926"/>
      <c r="AX27" s="926"/>
      <c r="AY27" s="926"/>
    </row>
    <row r="28" spans="1:51" ht="18" customHeight="1" x14ac:dyDescent="0.25">
      <c r="A28" s="925"/>
      <c r="B28" s="934" t="s">
        <v>155</v>
      </c>
      <c r="C28" s="927" t="s">
        <v>218</v>
      </c>
      <c r="D28" s="101" t="s">
        <v>100</v>
      </c>
      <c r="E28" s="673">
        <v>0.2</v>
      </c>
      <c r="F28" s="673">
        <v>0.2</v>
      </c>
      <c r="G28" s="673">
        <v>0.2</v>
      </c>
      <c r="H28" s="673">
        <v>0.2</v>
      </c>
      <c r="I28" s="673">
        <v>0.2</v>
      </c>
      <c r="J28" s="674"/>
      <c r="K28" s="674"/>
      <c r="L28" s="674"/>
      <c r="M28" s="674"/>
      <c r="N28" s="674"/>
      <c r="O28" s="674"/>
      <c r="P28" s="674"/>
      <c r="Q28" s="674"/>
      <c r="R28" s="674"/>
      <c r="S28" s="674"/>
      <c r="T28" s="673">
        <v>0</v>
      </c>
      <c r="U28" s="673">
        <v>0.02</v>
      </c>
      <c r="V28" s="673">
        <v>0.04</v>
      </c>
      <c r="W28" s="675"/>
      <c r="X28" s="675"/>
      <c r="Y28" s="675"/>
      <c r="Z28" s="675"/>
      <c r="AA28" s="689"/>
      <c r="AB28" s="689"/>
      <c r="AC28" s="676"/>
      <c r="AD28" s="696"/>
      <c r="AE28" s="676"/>
      <c r="AF28" s="947" t="s">
        <v>597</v>
      </c>
      <c r="AG28" s="927" t="s">
        <v>613</v>
      </c>
      <c r="AH28" s="927" t="s">
        <v>219</v>
      </c>
      <c r="AI28" s="927" t="s">
        <v>199</v>
      </c>
      <c r="AJ28" s="927"/>
      <c r="AK28" s="927" t="s">
        <v>220</v>
      </c>
      <c r="AL28" s="934" t="s">
        <v>221</v>
      </c>
      <c r="AM28" s="927" t="s">
        <v>222</v>
      </c>
      <c r="AN28" s="946">
        <f>AO28+AP28</f>
        <v>1022409</v>
      </c>
      <c r="AO28" s="946">
        <v>498512</v>
      </c>
      <c r="AP28" s="946">
        <v>523897</v>
      </c>
      <c r="AQ28" s="946" t="s">
        <v>203</v>
      </c>
      <c r="AR28" s="927" t="s">
        <v>203</v>
      </c>
      <c r="AS28" s="927" t="s">
        <v>203</v>
      </c>
      <c r="AT28" s="927" t="s">
        <v>203</v>
      </c>
      <c r="AU28" s="927" t="s">
        <v>203</v>
      </c>
      <c r="AV28" s="927" t="s">
        <v>203</v>
      </c>
      <c r="AW28" s="927" t="s">
        <v>203</v>
      </c>
      <c r="AX28" s="946" t="s">
        <v>223</v>
      </c>
      <c r="AY28" s="931"/>
    </row>
    <row r="29" spans="1:51" ht="15.75" customHeight="1" x14ac:dyDescent="0.25">
      <c r="A29" s="925"/>
      <c r="B29" s="925"/>
      <c r="C29" s="925"/>
      <c r="D29" s="103" t="s">
        <v>102</v>
      </c>
      <c r="E29" s="674">
        <v>141616600</v>
      </c>
      <c r="F29" s="674">
        <v>141616600</v>
      </c>
      <c r="G29" s="674">
        <v>141616600</v>
      </c>
      <c r="H29" s="674">
        <v>141616600</v>
      </c>
      <c r="I29" s="674">
        <v>141616600</v>
      </c>
      <c r="J29" s="674"/>
      <c r="K29" s="674"/>
      <c r="L29" s="674"/>
      <c r="M29" s="674"/>
      <c r="N29" s="674"/>
      <c r="O29" s="674"/>
      <c r="P29" s="674"/>
      <c r="Q29" s="674"/>
      <c r="R29" s="674"/>
      <c r="S29" s="674"/>
      <c r="T29" s="674">
        <v>4536200</v>
      </c>
      <c r="U29" s="674">
        <v>63100200</v>
      </c>
      <c r="V29" s="674">
        <v>111014800</v>
      </c>
      <c r="W29" s="674"/>
      <c r="X29" s="674"/>
      <c r="Y29" s="674"/>
      <c r="Z29" s="674"/>
      <c r="AA29" s="680"/>
      <c r="AB29" s="680"/>
      <c r="AC29" s="674"/>
      <c r="AD29" s="674"/>
      <c r="AE29" s="697"/>
      <c r="AF29" s="925"/>
      <c r="AG29" s="925"/>
      <c r="AH29" s="925"/>
      <c r="AI29" s="925"/>
      <c r="AJ29" s="925"/>
      <c r="AK29" s="925"/>
      <c r="AL29" s="925"/>
      <c r="AM29" s="925"/>
      <c r="AN29" s="925"/>
      <c r="AO29" s="925"/>
      <c r="AP29" s="925"/>
      <c r="AQ29" s="925"/>
      <c r="AR29" s="925"/>
      <c r="AS29" s="925"/>
      <c r="AT29" s="925"/>
      <c r="AU29" s="925"/>
      <c r="AV29" s="925"/>
      <c r="AW29" s="925"/>
      <c r="AX29" s="925"/>
      <c r="AY29" s="925"/>
    </row>
    <row r="30" spans="1:51" ht="27" customHeight="1" x14ac:dyDescent="0.25">
      <c r="A30" s="925"/>
      <c r="B30" s="925"/>
      <c r="C30" s="925"/>
      <c r="D30" s="101" t="s">
        <v>104</v>
      </c>
      <c r="E30" s="673">
        <v>0</v>
      </c>
      <c r="F30" s="673">
        <v>0</v>
      </c>
      <c r="G30" s="673">
        <v>0</v>
      </c>
      <c r="H30" s="674">
        <v>0</v>
      </c>
      <c r="I30" s="673">
        <v>0</v>
      </c>
      <c r="J30" s="674"/>
      <c r="K30" s="674"/>
      <c r="L30" s="674"/>
      <c r="M30" s="674"/>
      <c r="N30" s="674"/>
      <c r="O30" s="674"/>
      <c r="P30" s="674"/>
      <c r="Q30" s="674"/>
      <c r="R30" s="674"/>
      <c r="S30" s="674"/>
      <c r="T30" s="673">
        <v>0</v>
      </c>
      <c r="U30" s="674">
        <v>0</v>
      </c>
      <c r="V30" s="673">
        <v>0</v>
      </c>
      <c r="W30" s="675"/>
      <c r="X30" s="675"/>
      <c r="Y30" s="675"/>
      <c r="Z30" s="675"/>
      <c r="AA30" s="690"/>
      <c r="AB30" s="690"/>
      <c r="AC30" s="676"/>
      <c r="AD30" s="675"/>
      <c r="AE30" s="682"/>
      <c r="AF30" s="925"/>
      <c r="AG30" s="925"/>
      <c r="AH30" s="925"/>
      <c r="AI30" s="925"/>
      <c r="AJ30" s="925"/>
      <c r="AK30" s="925"/>
      <c r="AL30" s="925"/>
      <c r="AM30" s="925"/>
      <c r="AN30" s="925"/>
      <c r="AO30" s="925"/>
      <c r="AP30" s="925"/>
      <c r="AQ30" s="925"/>
      <c r="AR30" s="925"/>
      <c r="AS30" s="925"/>
      <c r="AT30" s="925"/>
      <c r="AU30" s="925"/>
      <c r="AV30" s="925"/>
      <c r="AW30" s="925"/>
      <c r="AX30" s="925"/>
      <c r="AY30" s="925"/>
    </row>
    <row r="31" spans="1:51" ht="27" customHeight="1" x14ac:dyDescent="0.25">
      <c r="A31" s="925"/>
      <c r="B31" s="925"/>
      <c r="C31" s="925"/>
      <c r="D31" s="108" t="s">
        <v>105</v>
      </c>
      <c r="E31" s="674">
        <v>100151210</v>
      </c>
      <c r="F31" s="674">
        <v>100151210</v>
      </c>
      <c r="G31" s="674">
        <v>100151210</v>
      </c>
      <c r="H31" s="674">
        <v>100151210</v>
      </c>
      <c r="I31" s="674">
        <v>100151210</v>
      </c>
      <c r="J31" s="674"/>
      <c r="K31" s="674"/>
      <c r="L31" s="674"/>
      <c r="M31" s="674"/>
      <c r="N31" s="674"/>
      <c r="O31" s="674"/>
      <c r="P31" s="674"/>
      <c r="Q31" s="674"/>
      <c r="R31" s="674"/>
      <c r="S31" s="674"/>
      <c r="T31" s="674">
        <v>36308281</v>
      </c>
      <c r="U31" s="674">
        <v>42703341</v>
      </c>
      <c r="V31" s="693">
        <v>45892631.799999997</v>
      </c>
      <c r="W31" s="674"/>
      <c r="X31" s="693"/>
      <c r="Y31" s="693"/>
      <c r="Z31" s="693"/>
      <c r="AA31" s="680"/>
      <c r="AB31" s="680"/>
      <c r="AC31" s="676"/>
      <c r="AD31" s="676"/>
      <c r="AE31" s="697"/>
      <c r="AF31" s="925"/>
      <c r="AG31" s="925"/>
      <c r="AH31" s="925"/>
      <c r="AI31" s="925"/>
      <c r="AJ31" s="925"/>
      <c r="AK31" s="925"/>
      <c r="AL31" s="925"/>
      <c r="AM31" s="925"/>
      <c r="AN31" s="925"/>
      <c r="AO31" s="925"/>
      <c r="AP31" s="925"/>
      <c r="AQ31" s="925"/>
      <c r="AR31" s="925"/>
      <c r="AS31" s="925"/>
      <c r="AT31" s="925"/>
      <c r="AU31" s="925"/>
      <c r="AV31" s="925"/>
      <c r="AW31" s="925"/>
      <c r="AX31" s="925"/>
      <c r="AY31" s="925"/>
    </row>
    <row r="32" spans="1:51" ht="27" customHeight="1" x14ac:dyDescent="0.25">
      <c r="A32" s="925"/>
      <c r="B32" s="925"/>
      <c r="C32" s="925"/>
      <c r="D32" s="101" t="s">
        <v>106</v>
      </c>
      <c r="E32" s="673">
        <f t="shared" ref="E32:Q33" si="10">E28+E30</f>
        <v>0.2</v>
      </c>
      <c r="F32" s="673">
        <f t="shared" si="10"/>
        <v>0.2</v>
      </c>
      <c r="G32" s="673">
        <f t="shared" si="10"/>
        <v>0.2</v>
      </c>
      <c r="H32" s="673">
        <f t="shared" si="10"/>
        <v>0.2</v>
      </c>
      <c r="I32" s="673">
        <f t="shared" si="10"/>
        <v>0.2</v>
      </c>
      <c r="J32" s="674">
        <f t="shared" si="10"/>
        <v>0</v>
      </c>
      <c r="K32" s="674">
        <f t="shared" si="10"/>
        <v>0</v>
      </c>
      <c r="L32" s="674">
        <v>0.2</v>
      </c>
      <c r="M32" s="674">
        <v>0.2</v>
      </c>
      <c r="N32" s="674">
        <v>0.2</v>
      </c>
      <c r="O32" s="674">
        <v>0.2</v>
      </c>
      <c r="P32" s="674">
        <v>0.2</v>
      </c>
      <c r="Q32" s="674">
        <v>0.2</v>
      </c>
      <c r="R32" s="674"/>
      <c r="S32" s="674"/>
      <c r="T32" s="673">
        <f t="shared" ref="T32:AD33" si="11">T28+T30</f>
        <v>0</v>
      </c>
      <c r="U32" s="674">
        <f t="shared" si="11"/>
        <v>0.02</v>
      </c>
      <c r="V32" s="683">
        <f t="shared" si="11"/>
        <v>0.04</v>
      </c>
      <c r="W32" s="683">
        <f t="shared" si="11"/>
        <v>0</v>
      </c>
      <c r="X32" s="683">
        <f t="shared" si="11"/>
        <v>0</v>
      </c>
      <c r="Y32" s="683">
        <f t="shared" si="11"/>
        <v>0</v>
      </c>
      <c r="Z32" s="683">
        <f t="shared" si="11"/>
        <v>0</v>
      </c>
      <c r="AA32" s="684">
        <f t="shared" si="11"/>
        <v>0</v>
      </c>
      <c r="AB32" s="684">
        <f t="shared" si="11"/>
        <v>0</v>
      </c>
      <c r="AC32" s="691">
        <f t="shared" si="11"/>
        <v>0</v>
      </c>
      <c r="AD32" s="691">
        <f t="shared" si="11"/>
        <v>0</v>
      </c>
      <c r="AE32" s="698"/>
      <c r="AF32" s="925"/>
      <c r="AG32" s="925"/>
      <c r="AH32" s="925"/>
      <c r="AI32" s="925"/>
      <c r="AJ32" s="925"/>
      <c r="AK32" s="925"/>
      <c r="AL32" s="925"/>
      <c r="AM32" s="925"/>
      <c r="AN32" s="925"/>
      <c r="AO32" s="925"/>
      <c r="AP32" s="925"/>
      <c r="AQ32" s="925"/>
      <c r="AR32" s="925"/>
      <c r="AS32" s="925"/>
      <c r="AT32" s="925"/>
      <c r="AU32" s="925"/>
      <c r="AV32" s="925"/>
      <c r="AW32" s="925"/>
      <c r="AX32" s="925"/>
      <c r="AY32" s="925"/>
    </row>
    <row r="33" spans="1:51" ht="27" customHeight="1" x14ac:dyDescent="0.25">
      <c r="A33" s="925"/>
      <c r="B33" s="925"/>
      <c r="C33" s="926"/>
      <c r="D33" s="103" t="s">
        <v>107</v>
      </c>
      <c r="E33" s="686">
        <f t="shared" si="10"/>
        <v>241767810</v>
      </c>
      <c r="F33" s="686">
        <f t="shared" si="10"/>
        <v>241767810</v>
      </c>
      <c r="G33" s="686">
        <f t="shared" si="10"/>
        <v>241767810</v>
      </c>
      <c r="H33" s="686">
        <f t="shared" si="10"/>
        <v>241767810</v>
      </c>
      <c r="I33" s="686">
        <f t="shared" si="10"/>
        <v>241767810</v>
      </c>
      <c r="J33" s="674">
        <f t="shared" si="10"/>
        <v>0</v>
      </c>
      <c r="K33" s="674">
        <f t="shared" si="10"/>
        <v>0</v>
      </c>
      <c r="L33" s="674">
        <f t="shared" si="10"/>
        <v>0</v>
      </c>
      <c r="M33" s="674">
        <f t="shared" si="10"/>
        <v>0</v>
      </c>
      <c r="N33" s="674">
        <f t="shared" si="10"/>
        <v>0</v>
      </c>
      <c r="O33" s="674">
        <f t="shared" si="10"/>
        <v>0</v>
      </c>
      <c r="P33" s="674">
        <f t="shared" si="10"/>
        <v>0</v>
      </c>
      <c r="Q33" s="674">
        <f t="shared" si="10"/>
        <v>0</v>
      </c>
      <c r="R33" s="674"/>
      <c r="S33" s="674"/>
      <c r="T33" s="686">
        <f t="shared" si="11"/>
        <v>40844481</v>
      </c>
      <c r="U33" s="686">
        <f t="shared" si="11"/>
        <v>105803541</v>
      </c>
      <c r="V33" s="695">
        <f t="shared" si="11"/>
        <v>156907431.80000001</v>
      </c>
      <c r="W33" s="695">
        <f t="shared" si="11"/>
        <v>0</v>
      </c>
      <c r="X33" s="695">
        <f t="shared" si="11"/>
        <v>0</v>
      </c>
      <c r="Y33" s="695">
        <f t="shared" si="11"/>
        <v>0</v>
      </c>
      <c r="Z33" s="695">
        <f t="shared" si="11"/>
        <v>0</v>
      </c>
      <c r="AA33" s="687">
        <f t="shared" si="11"/>
        <v>0</v>
      </c>
      <c r="AB33" s="687">
        <f t="shared" si="11"/>
        <v>0</v>
      </c>
      <c r="AC33" s="699">
        <f t="shared" si="11"/>
        <v>0</v>
      </c>
      <c r="AD33" s="699">
        <f t="shared" si="11"/>
        <v>0</v>
      </c>
      <c r="AE33" s="688"/>
      <c r="AF33" s="925"/>
      <c r="AG33" s="926"/>
      <c r="AH33" s="926"/>
      <c r="AI33" s="926"/>
      <c r="AJ33" s="926"/>
      <c r="AK33" s="926"/>
      <c r="AL33" s="926"/>
      <c r="AM33" s="926"/>
      <c r="AN33" s="926"/>
      <c r="AO33" s="926"/>
      <c r="AP33" s="926"/>
      <c r="AQ33" s="926"/>
      <c r="AR33" s="926"/>
      <c r="AS33" s="926"/>
      <c r="AT33" s="926"/>
      <c r="AU33" s="926"/>
      <c r="AV33" s="926"/>
      <c r="AW33" s="926"/>
      <c r="AX33" s="926"/>
      <c r="AY33" s="926"/>
    </row>
    <row r="34" spans="1:51" ht="18" customHeight="1" x14ac:dyDescent="0.25">
      <c r="A34" s="925"/>
      <c r="B34" s="925"/>
      <c r="C34" s="927" t="s">
        <v>224</v>
      </c>
      <c r="D34" s="101" t="s">
        <v>100</v>
      </c>
      <c r="E34" s="673">
        <v>0.2</v>
      </c>
      <c r="F34" s="673">
        <v>0.2</v>
      </c>
      <c r="G34" s="673">
        <v>0.2</v>
      </c>
      <c r="H34" s="673">
        <v>0.2</v>
      </c>
      <c r="I34" s="673">
        <v>0.2</v>
      </c>
      <c r="J34" s="674"/>
      <c r="K34" s="674"/>
      <c r="L34" s="674"/>
      <c r="M34" s="674"/>
      <c r="N34" s="674"/>
      <c r="O34" s="674"/>
      <c r="P34" s="674"/>
      <c r="Q34" s="674"/>
      <c r="R34" s="674"/>
      <c r="S34" s="674"/>
      <c r="T34" s="673">
        <v>0</v>
      </c>
      <c r="U34" s="674">
        <v>0.02</v>
      </c>
      <c r="V34" s="673">
        <v>0.04</v>
      </c>
      <c r="W34" s="675"/>
      <c r="X34" s="675"/>
      <c r="Y34" s="675"/>
      <c r="Z34" s="675"/>
      <c r="AA34" s="689"/>
      <c r="AB34" s="689"/>
      <c r="AC34" s="676"/>
      <c r="AD34" s="696"/>
      <c r="AE34" s="676"/>
      <c r="AF34" s="925"/>
      <c r="AG34" s="927" t="s">
        <v>614</v>
      </c>
      <c r="AH34" s="934" t="s">
        <v>225</v>
      </c>
      <c r="AI34" s="927" t="s">
        <v>199</v>
      </c>
      <c r="AJ34" s="927"/>
      <c r="AK34" s="927" t="s">
        <v>226</v>
      </c>
      <c r="AL34" s="927" t="s">
        <v>227</v>
      </c>
      <c r="AM34" s="927" t="s">
        <v>222</v>
      </c>
      <c r="AN34" s="944">
        <f>AO34+AP34</f>
        <v>1823372</v>
      </c>
      <c r="AO34" s="946">
        <v>852064</v>
      </c>
      <c r="AP34" s="946">
        <v>971308</v>
      </c>
      <c r="AQ34" s="946" t="s">
        <v>203</v>
      </c>
      <c r="AR34" s="927" t="s">
        <v>203</v>
      </c>
      <c r="AS34" s="927" t="s">
        <v>203</v>
      </c>
      <c r="AT34" s="927" t="s">
        <v>203</v>
      </c>
      <c r="AU34" s="927" t="s">
        <v>203</v>
      </c>
      <c r="AV34" s="927" t="s">
        <v>203</v>
      </c>
      <c r="AW34" s="927" t="s">
        <v>203</v>
      </c>
      <c r="AX34" s="946" t="s">
        <v>228</v>
      </c>
      <c r="AY34" s="931"/>
    </row>
    <row r="35" spans="1:51" ht="15.75" customHeight="1" x14ac:dyDescent="0.25">
      <c r="A35" s="925"/>
      <c r="B35" s="925"/>
      <c r="C35" s="925"/>
      <c r="D35" s="108" t="s">
        <v>102</v>
      </c>
      <c r="E35" s="674">
        <v>141616600</v>
      </c>
      <c r="F35" s="674">
        <v>141616600</v>
      </c>
      <c r="G35" s="674">
        <v>141616600</v>
      </c>
      <c r="H35" s="674">
        <v>141616600</v>
      </c>
      <c r="I35" s="674">
        <v>141616600</v>
      </c>
      <c r="J35" s="674"/>
      <c r="K35" s="674"/>
      <c r="L35" s="674"/>
      <c r="M35" s="674"/>
      <c r="N35" s="674"/>
      <c r="O35" s="674"/>
      <c r="P35" s="674"/>
      <c r="Q35" s="674"/>
      <c r="R35" s="674"/>
      <c r="S35" s="674"/>
      <c r="T35" s="674">
        <v>4536200</v>
      </c>
      <c r="U35" s="674">
        <v>63100200</v>
      </c>
      <c r="V35" s="674">
        <v>111014800</v>
      </c>
      <c r="W35" s="674"/>
      <c r="X35" s="674"/>
      <c r="Y35" s="674"/>
      <c r="Z35" s="674"/>
      <c r="AA35" s="680"/>
      <c r="AB35" s="680"/>
      <c r="AC35" s="674"/>
      <c r="AD35" s="674"/>
      <c r="AE35" s="700"/>
      <c r="AF35" s="925"/>
      <c r="AG35" s="925"/>
      <c r="AH35" s="925"/>
      <c r="AI35" s="925"/>
      <c r="AJ35" s="925"/>
      <c r="AK35" s="925"/>
      <c r="AL35" s="925"/>
      <c r="AM35" s="925"/>
      <c r="AN35" s="925"/>
      <c r="AO35" s="925"/>
      <c r="AP35" s="925"/>
      <c r="AQ35" s="925"/>
      <c r="AR35" s="925"/>
      <c r="AS35" s="925"/>
      <c r="AT35" s="925"/>
      <c r="AU35" s="925"/>
      <c r="AV35" s="925"/>
      <c r="AW35" s="925"/>
      <c r="AX35" s="925"/>
      <c r="AY35" s="925"/>
    </row>
    <row r="36" spans="1:51" ht="27" customHeight="1" x14ac:dyDescent="0.25">
      <c r="A36" s="925"/>
      <c r="B36" s="925"/>
      <c r="C36" s="925"/>
      <c r="D36" s="101" t="s">
        <v>104</v>
      </c>
      <c r="E36" s="673">
        <v>0</v>
      </c>
      <c r="F36" s="673">
        <v>0</v>
      </c>
      <c r="G36" s="673">
        <v>0</v>
      </c>
      <c r="H36" s="674">
        <v>0</v>
      </c>
      <c r="I36" s="673">
        <v>0</v>
      </c>
      <c r="J36" s="674"/>
      <c r="K36" s="674"/>
      <c r="L36" s="674"/>
      <c r="M36" s="674"/>
      <c r="N36" s="674"/>
      <c r="O36" s="674"/>
      <c r="P36" s="674"/>
      <c r="Q36" s="674"/>
      <c r="R36" s="674"/>
      <c r="S36" s="674"/>
      <c r="T36" s="673">
        <v>0</v>
      </c>
      <c r="U36" s="674">
        <v>0</v>
      </c>
      <c r="V36" s="673">
        <v>0</v>
      </c>
      <c r="W36" s="675"/>
      <c r="X36" s="675"/>
      <c r="Y36" s="675"/>
      <c r="Z36" s="675"/>
      <c r="AA36" s="690"/>
      <c r="AB36" s="690"/>
      <c r="AC36" s="676"/>
      <c r="AD36" s="675"/>
      <c r="AE36" s="682"/>
      <c r="AF36" s="925"/>
      <c r="AG36" s="925"/>
      <c r="AH36" s="925"/>
      <c r="AI36" s="925"/>
      <c r="AJ36" s="925"/>
      <c r="AK36" s="925"/>
      <c r="AL36" s="925"/>
      <c r="AM36" s="925"/>
      <c r="AN36" s="925"/>
      <c r="AO36" s="925"/>
      <c r="AP36" s="925"/>
      <c r="AQ36" s="925"/>
      <c r="AR36" s="925"/>
      <c r="AS36" s="925"/>
      <c r="AT36" s="925"/>
      <c r="AU36" s="925"/>
      <c r="AV36" s="925"/>
      <c r="AW36" s="925"/>
      <c r="AX36" s="925"/>
      <c r="AY36" s="925"/>
    </row>
    <row r="37" spans="1:51" ht="27" customHeight="1" x14ac:dyDescent="0.25">
      <c r="A37" s="925"/>
      <c r="B37" s="925"/>
      <c r="C37" s="925"/>
      <c r="D37" s="105" t="s">
        <v>105</v>
      </c>
      <c r="E37" s="674">
        <v>100151210</v>
      </c>
      <c r="F37" s="674">
        <v>100151210</v>
      </c>
      <c r="G37" s="674">
        <v>100151210</v>
      </c>
      <c r="H37" s="674">
        <v>100151210</v>
      </c>
      <c r="I37" s="674">
        <v>100151210</v>
      </c>
      <c r="J37" s="674"/>
      <c r="K37" s="674"/>
      <c r="L37" s="674"/>
      <c r="M37" s="674"/>
      <c r="N37" s="674"/>
      <c r="O37" s="674"/>
      <c r="P37" s="674"/>
      <c r="Q37" s="674"/>
      <c r="R37" s="674"/>
      <c r="S37" s="674"/>
      <c r="T37" s="674">
        <v>36308281</v>
      </c>
      <c r="U37" s="674">
        <v>42703341</v>
      </c>
      <c r="V37" s="693">
        <v>45892631.799999997</v>
      </c>
      <c r="W37" s="674"/>
      <c r="X37" s="693"/>
      <c r="Y37" s="693"/>
      <c r="Z37" s="693"/>
      <c r="AA37" s="680"/>
      <c r="AB37" s="680"/>
      <c r="AC37" s="676"/>
      <c r="AD37" s="676"/>
      <c r="AE37" s="701"/>
      <c r="AF37" s="925"/>
      <c r="AG37" s="925"/>
      <c r="AH37" s="925"/>
      <c r="AI37" s="925"/>
      <c r="AJ37" s="925"/>
      <c r="AK37" s="925"/>
      <c r="AL37" s="925"/>
      <c r="AM37" s="925"/>
      <c r="AN37" s="925"/>
      <c r="AO37" s="925"/>
      <c r="AP37" s="925"/>
      <c r="AQ37" s="925"/>
      <c r="AR37" s="925"/>
      <c r="AS37" s="925"/>
      <c r="AT37" s="925"/>
      <c r="AU37" s="925"/>
      <c r="AV37" s="925"/>
      <c r="AW37" s="925"/>
      <c r="AX37" s="925"/>
      <c r="AY37" s="925"/>
    </row>
    <row r="38" spans="1:51" ht="27" customHeight="1" x14ac:dyDescent="0.25">
      <c r="A38" s="925"/>
      <c r="B38" s="925"/>
      <c r="C38" s="925"/>
      <c r="D38" s="101" t="s">
        <v>106</v>
      </c>
      <c r="E38" s="673">
        <f t="shared" ref="E38:Q39" si="12">E34+E36</f>
        <v>0.2</v>
      </c>
      <c r="F38" s="673">
        <f t="shared" si="12"/>
        <v>0.2</v>
      </c>
      <c r="G38" s="673">
        <f t="shared" si="12"/>
        <v>0.2</v>
      </c>
      <c r="H38" s="673">
        <f t="shared" si="12"/>
        <v>0.2</v>
      </c>
      <c r="I38" s="673">
        <v>0.2</v>
      </c>
      <c r="J38" s="674">
        <f t="shared" si="12"/>
        <v>0</v>
      </c>
      <c r="K38" s="674">
        <f t="shared" si="12"/>
        <v>0</v>
      </c>
      <c r="L38" s="674">
        <v>0.2</v>
      </c>
      <c r="M38" s="674">
        <v>0.2</v>
      </c>
      <c r="N38" s="674">
        <v>0.2</v>
      </c>
      <c r="O38" s="674">
        <v>0.2</v>
      </c>
      <c r="P38" s="674">
        <v>0.2</v>
      </c>
      <c r="Q38" s="674">
        <v>0.2</v>
      </c>
      <c r="R38" s="674"/>
      <c r="S38" s="674"/>
      <c r="T38" s="673">
        <f t="shared" ref="T38:AD39" si="13">T34+T36</f>
        <v>0</v>
      </c>
      <c r="U38" s="674">
        <f t="shared" si="13"/>
        <v>0.02</v>
      </c>
      <c r="V38" s="683">
        <f t="shared" si="13"/>
        <v>0.04</v>
      </c>
      <c r="W38" s="683">
        <f t="shared" si="13"/>
        <v>0</v>
      </c>
      <c r="X38" s="683">
        <f t="shared" si="13"/>
        <v>0</v>
      </c>
      <c r="Y38" s="683">
        <f t="shared" si="13"/>
        <v>0</v>
      </c>
      <c r="Z38" s="683">
        <f t="shared" si="13"/>
        <v>0</v>
      </c>
      <c r="AA38" s="684">
        <f t="shared" si="13"/>
        <v>0</v>
      </c>
      <c r="AB38" s="684">
        <f t="shared" si="13"/>
        <v>0</v>
      </c>
      <c r="AC38" s="691">
        <f t="shared" si="13"/>
        <v>0</v>
      </c>
      <c r="AD38" s="691">
        <f t="shared" si="13"/>
        <v>0</v>
      </c>
      <c r="AE38" s="698"/>
      <c r="AF38" s="925"/>
      <c r="AG38" s="925"/>
      <c r="AH38" s="925"/>
      <c r="AI38" s="925"/>
      <c r="AJ38" s="925"/>
      <c r="AK38" s="925"/>
      <c r="AL38" s="925"/>
      <c r="AM38" s="925"/>
      <c r="AN38" s="925"/>
      <c r="AO38" s="925"/>
      <c r="AP38" s="925"/>
      <c r="AQ38" s="925"/>
      <c r="AR38" s="925"/>
      <c r="AS38" s="925"/>
      <c r="AT38" s="925"/>
      <c r="AU38" s="925"/>
      <c r="AV38" s="925"/>
      <c r="AW38" s="925"/>
      <c r="AX38" s="925"/>
      <c r="AY38" s="925"/>
    </row>
    <row r="39" spans="1:51" ht="27" customHeight="1" x14ac:dyDescent="0.25">
      <c r="A39" s="925"/>
      <c r="B39" s="925"/>
      <c r="C39" s="926"/>
      <c r="D39" s="103" t="s">
        <v>107</v>
      </c>
      <c r="E39" s="686">
        <f t="shared" si="12"/>
        <v>241767810</v>
      </c>
      <c r="F39" s="686">
        <f t="shared" si="12"/>
        <v>241767810</v>
      </c>
      <c r="G39" s="686">
        <f t="shared" si="12"/>
        <v>241767810</v>
      </c>
      <c r="H39" s="686">
        <f t="shared" si="12"/>
        <v>241767810</v>
      </c>
      <c r="I39" s="686">
        <f t="shared" si="12"/>
        <v>241767810</v>
      </c>
      <c r="J39" s="674">
        <f t="shared" si="12"/>
        <v>0</v>
      </c>
      <c r="K39" s="674">
        <f t="shared" si="12"/>
        <v>0</v>
      </c>
      <c r="L39" s="674">
        <f t="shared" si="12"/>
        <v>0</v>
      </c>
      <c r="M39" s="674">
        <f t="shared" si="12"/>
        <v>0</v>
      </c>
      <c r="N39" s="674">
        <f t="shared" si="12"/>
        <v>0</v>
      </c>
      <c r="O39" s="674">
        <f t="shared" si="12"/>
        <v>0</v>
      </c>
      <c r="P39" s="674">
        <f t="shared" si="12"/>
        <v>0</v>
      </c>
      <c r="Q39" s="674">
        <f t="shared" si="12"/>
        <v>0</v>
      </c>
      <c r="R39" s="674"/>
      <c r="S39" s="674"/>
      <c r="T39" s="686">
        <f t="shared" si="13"/>
        <v>40844481</v>
      </c>
      <c r="U39" s="686">
        <f t="shared" si="13"/>
        <v>105803541</v>
      </c>
      <c r="V39" s="695">
        <f t="shared" si="13"/>
        <v>156907431.80000001</v>
      </c>
      <c r="W39" s="695">
        <f t="shared" si="13"/>
        <v>0</v>
      </c>
      <c r="X39" s="695">
        <f t="shared" si="13"/>
        <v>0</v>
      </c>
      <c r="Y39" s="695">
        <f t="shared" si="13"/>
        <v>0</v>
      </c>
      <c r="Z39" s="695">
        <f t="shared" si="13"/>
        <v>0</v>
      </c>
      <c r="AA39" s="687">
        <f t="shared" si="13"/>
        <v>0</v>
      </c>
      <c r="AB39" s="687">
        <f t="shared" si="13"/>
        <v>0</v>
      </c>
      <c r="AC39" s="699">
        <f t="shared" si="13"/>
        <v>0</v>
      </c>
      <c r="AD39" s="699">
        <f t="shared" si="13"/>
        <v>0</v>
      </c>
      <c r="AE39" s="688"/>
      <c r="AF39" s="925"/>
      <c r="AG39" s="926"/>
      <c r="AH39" s="926"/>
      <c r="AI39" s="926"/>
      <c r="AJ39" s="926"/>
      <c r="AK39" s="926"/>
      <c r="AL39" s="926"/>
      <c r="AM39" s="926"/>
      <c r="AN39" s="926"/>
      <c r="AO39" s="926"/>
      <c r="AP39" s="926"/>
      <c r="AQ39" s="926"/>
      <c r="AR39" s="926"/>
      <c r="AS39" s="926"/>
      <c r="AT39" s="926"/>
      <c r="AU39" s="926"/>
      <c r="AV39" s="926"/>
      <c r="AW39" s="926"/>
      <c r="AX39" s="926"/>
      <c r="AY39" s="926"/>
    </row>
    <row r="40" spans="1:51" ht="22.5" customHeight="1" x14ac:dyDescent="0.25">
      <c r="A40" s="925"/>
      <c r="B40" s="925"/>
      <c r="C40" s="927" t="s">
        <v>229</v>
      </c>
      <c r="D40" s="101" t="s">
        <v>100</v>
      </c>
      <c r="E40" s="673">
        <v>0.2</v>
      </c>
      <c r="F40" s="673">
        <v>0.2</v>
      </c>
      <c r="G40" s="673">
        <v>0.2</v>
      </c>
      <c r="H40" s="673">
        <v>0.2</v>
      </c>
      <c r="I40" s="673">
        <v>0.2</v>
      </c>
      <c r="J40" s="674"/>
      <c r="K40" s="674"/>
      <c r="L40" s="674"/>
      <c r="M40" s="674"/>
      <c r="N40" s="674"/>
      <c r="O40" s="674"/>
      <c r="P40" s="674"/>
      <c r="Q40" s="674"/>
      <c r="R40" s="674"/>
      <c r="S40" s="674"/>
      <c r="T40" s="673">
        <v>0</v>
      </c>
      <c r="U40" s="674">
        <v>0.02</v>
      </c>
      <c r="V40" s="673">
        <v>0.04</v>
      </c>
      <c r="W40" s="675"/>
      <c r="X40" s="675"/>
      <c r="Y40" s="675"/>
      <c r="Z40" s="675"/>
      <c r="AA40" s="689"/>
      <c r="AB40" s="689"/>
      <c r="AC40" s="676"/>
      <c r="AD40" s="696"/>
      <c r="AE40" s="676"/>
      <c r="AF40" s="925"/>
      <c r="AG40" s="927" t="s">
        <v>230</v>
      </c>
      <c r="AH40" s="927" t="s">
        <v>231</v>
      </c>
      <c r="AI40" s="927" t="s">
        <v>199</v>
      </c>
      <c r="AJ40" s="927"/>
      <c r="AK40" s="927" t="s">
        <v>232</v>
      </c>
      <c r="AL40" s="927" t="s">
        <v>233</v>
      </c>
      <c r="AM40" s="927" t="s">
        <v>222</v>
      </c>
      <c r="AN40" s="944">
        <f>AO40+AP40</f>
        <v>165989</v>
      </c>
      <c r="AO40" s="946">
        <v>78809</v>
      </c>
      <c r="AP40" s="946">
        <v>87180</v>
      </c>
      <c r="AQ40" s="946" t="s">
        <v>203</v>
      </c>
      <c r="AR40" s="927" t="s">
        <v>203</v>
      </c>
      <c r="AS40" s="927" t="s">
        <v>203</v>
      </c>
      <c r="AT40" s="927" t="s">
        <v>203</v>
      </c>
      <c r="AU40" s="927" t="s">
        <v>203</v>
      </c>
      <c r="AV40" s="927" t="s">
        <v>203</v>
      </c>
      <c r="AW40" s="927" t="s">
        <v>203</v>
      </c>
      <c r="AX40" s="946" t="s">
        <v>234</v>
      </c>
      <c r="AY40" s="931"/>
    </row>
    <row r="41" spans="1:51" ht="15.75" customHeight="1" x14ac:dyDescent="0.25">
      <c r="A41" s="925"/>
      <c r="B41" s="925"/>
      <c r="C41" s="925"/>
      <c r="D41" s="106" t="s">
        <v>102</v>
      </c>
      <c r="E41" s="674">
        <v>141616600</v>
      </c>
      <c r="F41" s="674">
        <v>141616600</v>
      </c>
      <c r="G41" s="674">
        <v>141616600</v>
      </c>
      <c r="H41" s="674">
        <v>141616600</v>
      </c>
      <c r="I41" s="674">
        <v>141616600</v>
      </c>
      <c r="J41" s="674"/>
      <c r="K41" s="674"/>
      <c r="L41" s="674"/>
      <c r="M41" s="674"/>
      <c r="N41" s="674"/>
      <c r="O41" s="674"/>
      <c r="P41" s="674"/>
      <c r="Q41" s="674"/>
      <c r="R41" s="674"/>
      <c r="S41" s="674"/>
      <c r="T41" s="674">
        <v>4536200</v>
      </c>
      <c r="U41" s="674">
        <v>63100200</v>
      </c>
      <c r="V41" s="674">
        <v>111014800</v>
      </c>
      <c r="W41" s="674"/>
      <c r="X41" s="674"/>
      <c r="Y41" s="674"/>
      <c r="Z41" s="674"/>
      <c r="AA41" s="680"/>
      <c r="AB41" s="680"/>
      <c r="AC41" s="674"/>
      <c r="AD41" s="674"/>
      <c r="AE41" s="698"/>
      <c r="AF41" s="925"/>
      <c r="AG41" s="925"/>
      <c r="AH41" s="925"/>
      <c r="AI41" s="925"/>
      <c r="AJ41" s="925"/>
      <c r="AK41" s="925"/>
      <c r="AL41" s="925"/>
      <c r="AM41" s="925"/>
      <c r="AN41" s="925"/>
      <c r="AO41" s="925"/>
      <c r="AP41" s="925"/>
      <c r="AQ41" s="925"/>
      <c r="AR41" s="925"/>
      <c r="AS41" s="925"/>
      <c r="AT41" s="925"/>
      <c r="AU41" s="925"/>
      <c r="AV41" s="925"/>
      <c r="AW41" s="925"/>
      <c r="AX41" s="925"/>
      <c r="AY41" s="925"/>
    </row>
    <row r="42" spans="1:51" ht="27" customHeight="1" x14ac:dyDescent="0.25">
      <c r="A42" s="925"/>
      <c r="B42" s="925"/>
      <c r="C42" s="925"/>
      <c r="D42" s="101" t="s">
        <v>104</v>
      </c>
      <c r="E42" s="673">
        <v>0</v>
      </c>
      <c r="F42" s="673">
        <v>0</v>
      </c>
      <c r="G42" s="673">
        <v>0</v>
      </c>
      <c r="H42" s="674">
        <v>0</v>
      </c>
      <c r="I42" s="673">
        <v>0</v>
      </c>
      <c r="J42" s="674"/>
      <c r="K42" s="674"/>
      <c r="L42" s="674"/>
      <c r="M42" s="674"/>
      <c r="N42" s="674"/>
      <c r="O42" s="674"/>
      <c r="P42" s="674"/>
      <c r="Q42" s="674"/>
      <c r="R42" s="674"/>
      <c r="S42" s="674"/>
      <c r="T42" s="673">
        <v>0</v>
      </c>
      <c r="U42" s="674">
        <v>0</v>
      </c>
      <c r="V42" s="673">
        <v>0</v>
      </c>
      <c r="W42" s="675"/>
      <c r="X42" s="675"/>
      <c r="Y42" s="675"/>
      <c r="Z42" s="675"/>
      <c r="AA42" s="690"/>
      <c r="AB42" s="690"/>
      <c r="AC42" s="676"/>
      <c r="AD42" s="675"/>
      <c r="AE42" s="682"/>
      <c r="AF42" s="925"/>
      <c r="AG42" s="925"/>
      <c r="AH42" s="925"/>
      <c r="AI42" s="925"/>
      <c r="AJ42" s="925"/>
      <c r="AK42" s="925"/>
      <c r="AL42" s="925"/>
      <c r="AM42" s="925"/>
      <c r="AN42" s="925"/>
      <c r="AO42" s="925"/>
      <c r="AP42" s="925"/>
      <c r="AQ42" s="925"/>
      <c r="AR42" s="925"/>
      <c r="AS42" s="925"/>
      <c r="AT42" s="925"/>
      <c r="AU42" s="925"/>
      <c r="AV42" s="925"/>
      <c r="AW42" s="925"/>
      <c r="AX42" s="925"/>
      <c r="AY42" s="925"/>
    </row>
    <row r="43" spans="1:51" ht="27" customHeight="1" x14ac:dyDescent="0.25">
      <c r="A43" s="925"/>
      <c r="B43" s="925"/>
      <c r="C43" s="925"/>
      <c r="D43" s="103" t="s">
        <v>105</v>
      </c>
      <c r="E43" s="674">
        <v>100151210</v>
      </c>
      <c r="F43" s="674">
        <v>100151210</v>
      </c>
      <c r="G43" s="674">
        <v>100151210</v>
      </c>
      <c r="H43" s="674">
        <v>100151210</v>
      </c>
      <c r="I43" s="674">
        <v>100151210</v>
      </c>
      <c r="J43" s="674"/>
      <c r="K43" s="674"/>
      <c r="L43" s="674"/>
      <c r="M43" s="674"/>
      <c r="N43" s="674"/>
      <c r="O43" s="674"/>
      <c r="P43" s="674"/>
      <c r="Q43" s="674"/>
      <c r="R43" s="674"/>
      <c r="S43" s="674"/>
      <c r="T43" s="674">
        <v>36308281</v>
      </c>
      <c r="U43" s="674">
        <v>42703341</v>
      </c>
      <c r="V43" s="693">
        <v>45892631.799999997</v>
      </c>
      <c r="W43" s="674"/>
      <c r="X43" s="693"/>
      <c r="Y43" s="693"/>
      <c r="Z43" s="693"/>
      <c r="AA43" s="680"/>
      <c r="AB43" s="680"/>
      <c r="AC43" s="676"/>
      <c r="AD43" s="676"/>
      <c r="AE43" s="697"/>
      <c r="AF43" s="925"/>
      <c r="AG43" s="925"/>
      <c r="AH43" s="925"/>
      <c r="AI43" s="925"/>
      <c r="AJ43" s="925"/>
      <c r="AK43" s="925"/>
      <c r="AL43" s="925"/>
      <c r="AM43" s="925"/>
      <c r="AN43" s="925"/>
      <c r="AO43" s="925"/>
      <c r="AP43" s="925"/>
      <c r="AQ43" s="925"/>
      <c r="AR43" s="925"/>
      <c r="AS43" s="925"/>
      <c r="AT43" s="925"/>
      <c r="AU43" s="925"/>
      <c r="AV43" s="925"/>
      <c r="AW43" s="925"/>
      <c r="AX43" s="925"/>
      <c r="AY43" s="925"/>
    </row>
    <row r="44" spans="1:51" ht="27" customHeight="1" x14ac:dyDescent="0.25">
      <c r="A44" s="925"/>
      <c r="B44" s="925"/>
      <c r="C44" s="925"/>
      <c r="D44" s="101" t="s">
        <v>106</v>
      </c>
      <c r="E44" s="673">
        <f t="shared" ref="E44:Q45" si="14">E40+E42</f>
        <v>0.2</v>
      </c>
      <c r="F44" s="673">
        <f t="shared" si="14"/>
        <v>0.2</v>
      </c>
      <c r="G44" s="673">
        <f t="shared" si="14"/>
        <v>0.2</v>
      </c>
      <c r="H44" s="673">
        <f t="shared" si="14"/>
        <v>0.2</v>
      </c>
      <c r="I44" s="673">
        <v>0.2</v>
      </c>
      <c r="J44" s="674">
        <f t="shared" si="14"/>
        <v>0</v>
      </c>
      <c r="K44" s="674">
        <f t="shared" si="14"/>
        <v>0</v>
      </c>
      <c r="L44" s="674">
        <f t="shared" si="14"/>
        <v>0</v>
      </c>
      <c r="M44" s="674">
        <f t="shared" si="14"/>
        <v>0</v>
      </c>
      <c r="N44" s="674">
        <f t="shared" si="14"/>
        <v>0</v>
      </c>
      <c r="O44" s="674">
        <f t="shared" si="14"/>
        <v>0</v>
      </c>
      <c r="P44" s="674">
        <f t="shared" si="14"/>
        <v>0</v>
      </c>
      <c r="Q44" s="674">
        <v>0.2</v>
      </c>
      <c r="R44" s="674"/>
      <c r="S44" s="674"/>
      <c r="T44" s="673">
        <f t="shared" ref="T44:AD45" si="15">T40+T42</f>
        <v>0</v>
      </c>
      <c r="U44" s="674">
        <f t="shared" si="15"/>
        <v>0.02</v>
      </c>
      <c r="V44" s="683">
        <f t="shared" si="15"/>
        <v>0.04</v>
      </c>
      <c r="W44" s="683">
        <f t="shared" si="15"/>
        <v>0</v>
      </c>
      <c r="X44" s="683">
        <f t="shared" si="15"/>
        <v>0</v>
      </c>
      <c r="Y44" s="683">
        <f t="shared" si="15"/>
        <v>0</v>
      </c>
      <c r="Z44" s="683">
        <f t="shared" si="15"/>
        <v>0</v>
      </c>
      <c r="AA44" s="684">
        <f t="shared" si="15"/>
        <v>0</v>
      </c>
      <c r="AB44" s="684">
        <f t="shared" si="15"/>
        <v>0</v>
      </c>
      <c r="AC44" s="691">
        <f t="shared" si="15"/>
        <v>0</v>
      </c>
      <c r="AD44" s="691">
        <f t="shared" si="15"/>
        <v>0</v>
      </c>
      <c r="AE44" s="698"/>
      <c r="AF44" s="925"/>
      <c r="AG44" s="925"/>
      <c r="AH44" s="925"/>
      <c r="AI44" s="925"/>
      <c r="AJ44" s="925"/>
      <c r="AK44" s="925"/>
      <c r="AL44" s="925"/>
      <c r="AM44" s="925"/>
      <c r="AN44" s="925"/>
      <c r="AO44" s="925"/>
      <c r="AP44" s="925"/>
      <c r="AQ44" s="925"/>
      <c r="AR44" s="925"/>
      <c r="AS44" s="925"/>
      <c r="AT44" s="925"/>
      <c r="AU44" s="925"/>
      <c r="AV44" s="925"/>
      <c r="AW44" s="925"/>
      <c r="AX44" s="925"/>
      <c r="AY44" s="925"/>
    </row>
    <row r="45" spans="1:51" ht="27" customHeight="1" x14ac:dyDescent="0.25">
      <c r="A45" s="925"/>
      <c r="B45" s="925"/>
      <c r="C45" s="926"/>
      <c r="D45" s="103" t="s">
        <v>107</v>
      </c>
      <c r="E45" s="686">
        <f t="shared" si="14"/>
        <v>241767810</v>
      </c>
      <c r="F45" s="686">
        <f t="shared" si="14"/>
        <v>241767810</v>
      </c>
      <c r="G45" s="686">
        <f t="shared" si="14"/>
        <v>241767810</v>
      </c>
      <c r="H45" s="686">
        <f t="shared" si="14"/>
        <v>241767810</v>
      </c>
      <c r="I45" s="686">
        <f t="shared" si="14"/>
        <v>241767810</v>
      </c>
      <c r="J45" s="674">
        <f t="shared" si="14"/>
        <v>0</v>
      </c>
      <c r="K45" s="674">
        <f t="shared" si="14"/>
        <v>0</v>
      </c>
      <c r="L45" s="674">
        <f t="shared" si="14"/>
        <v>0</v>
      </c>
      <c r="M45" s="674">
        <f t="shared" si="14"/>
        <v>0</v>
      </c>
      <c r="N45" s="674">
        <f t="shared" si="14"/>
        <v>0</v>
      </c>
      <c r="O45" s="674">
        <f t="shared" si="14"/>
        <v>0</v>
      </c>
      <c r="P45" s="674">
        <f t="shared" si="14"/>
        <v>0</v>
      </c>
      <c r="Q45" s="674">
        <f t="shared" si="14"/>
        <v>0</v>
      </c>
      <c r="R45" s="674"/>
      <c r="S45" s="674"/>
      <c r="T45" s="686">
        <f t="shared" si="15"/>
        <v>40844481</v>
      </c>
      <c r="U45" s="686">
        <f t="shared" si="15"/>
        <v>105803541</v>
      </c>
      <c r="V45" s="695">
        <f t="shared" si="15"/>
        <v>156907431.80000001</v>
      </c>
      <c r="W45" s="695">
        <f t="shared" si="15"/>
        <v>0</v>
      </c>
      <c r="X45" s="695">
        <f t="shared" si="15"/>
        <v>0</v>
      </c>
      <c r="Y45" s="695">
        <f t="shared" si="15"/>
        <v>0</v>
      </c>
      <c r="Z45" s="695">
        <f t="shared" si="15"/>
        <v>0</v>
      </c>
      <c r="AA45" s="687">
        <f t="shared" si="15"/>
        <v>0</v>
      </c>
      <c r="AB45" s="687">
        <f t="shared" si="15"/>
        <v>0</v>
      </c>
      <c r="AC45" s="699">
        <f t="shared" si="15"/>
        <v>0</v>
      </c>
      <c r="AD45" s="699">
        <f t="shared" si="15"/>
        <v>0</v>
      </c>
      <c r="AE45" s="688"/>
      <c r="AF45" s="925"/>
      <c r="AG45" s="926"/>
      <c r="AH45" s="926"/>
      <c r="AI45" s="926"/>
      <c r="AJ45" s="926"/>
      <c r="AK45" s="926"/>
      <c r="AL45" s="926"/>
      <c r="AM45" s="926"/>
      <c r="AN45" s="926"/>
      <c r="AO45" s="926"/>
      <c r="AP45" s="926"/>
      <c r="AQ45" s="926"/>
      <c r="AR45" s="926"/>
      <c r="AS45" s="926"/>
      <c r="AT45" s="926"/>
      <c r="AU45" s="926"/>
      <c r="AV45" s="926"/>
      <c r="AW45" s="926"/>
      <c r="AX45" s="926"/>
      <c r="AY45" s="926"/>
    </row>
    <row r="46" spans="1:51" ht="18" customHeight="1" x14ac:dyDescent="0.25">
      <c r="A46" s="925"/>
      <c r="B46" s="925"/>
      <c r="C46" s="927" t="s">
        <v>235</v>
      </c>
      <c r="D46" s="101" t="s">
        <v>100</v>
      </c>
      <c r="E46" s="673">
        <v>0.2</v>
      </c>
      <c r="F46" s="673">
        <v>0.2</v>
      </c>
      <c r="G46" s="673">
        <v>0.2</v>
      </c>
      <c r="H46" s="673">
        <v>0.2</v>
      </c>
      <c r="I46" s="673">
        <v>0.2</v>
      </c>
      <c r="J46" s="674"/>
      <c r="K46" s="674"/>
      <c r="L46" s="674"/>
      <c r="M46" s="674"/>
      <c r="N46" s="674"/>
      <c r="O46" s="674"/>
      <c r="P46" s="674"/>
      <c r="Q46" s="674"/>
      <c r="R46" s="674"/>
      <c r="S46" s="674"/>
      <c r="T46" s="673">
        <v>0</v>
      </c>
      <c r="U46" s="674">
        <v>0.02</v>
      </c>
      <c r="V46" s="673">
        <v>0.04</v>
      </c>
      <c r="W46" s="675"/>
      <c r="X46" s="675"/>
      <c r="Y46" s="675"/>
      <c r="Z46" s="675"/>
      <c r="AA46" s="689"/>
      <c r="AB46" s="689"/>
      <c r="AC46" s="676"/>
      <c r="AD46" s="696"/>
      <c r="AE46" s="676"/>
      <c r="AF46" s="925"/>
      <c r="AG46" s="927" t="s">
        <v>236</v>
      </c>
      <c r="AH46" s="927" t="s">
        <v>237</v>
      </c>
      <c r="AI46" s="927" t="s">
        <v>199</v>
      </c>
      <c r="AJ46" s="927"/>
      <c r="AK46" s="927" t="s">
        <v>238</v>
      </c>
      <c r="AL46" s="927" t="s">
        <v>239</v>
      </c>
      <c r="AM46" s="927" t="s">
        <v>222</v>
      </c>
      <c r="AN46" s="944">
        <f>AO46+AP46</f>
        <v>1250684</v>
      </c>
      <c r="AO46" s="946">
        <v>588830</v>
      </c>
      <c r="AP46" s="946">
        <v>661854</v>
      </c>
      <c r="AQ46" s="946" t="s">
        <v>203</v>
      </c>
      <c r="AR46" s="927" t="s">
        <v>203</v>
      </c>
      <c r="AS46" s="927" t="s">
        <v>203</v>
      </c>
      <c r="AT46" s="927" t="s">
        <v>203</v>
      </c>
      <c r="AU46" s="927" t="s">
        <v>203</v>
      </c>
      <c r="AV46" s="927" t="s">
        <v>203</v>
      </c>
      <c r="AW46" s="927" t="s">
        <v>203</v>
      </c>
      <c r="AX46" s="946" t="s">
        <v>240</v>
      </c>
      <c r="AY46" s="931"/>
    </row>
    <row r="47" spans="1:51" ht="15.75" customHeight="1" x14ac:dyDescent="0.25">
      <c r="A47" s="925"/>
      <c r="B47" s="925"/>
      <c r="C47" s="925"/>
      <c r="D47" s="103" t="s">
        <v>102</v>
      </c>
      <c r="E47" s="674">
        <v>141616600</v>
      </c>
      <c r="F47" s="674">
        <v>141616600</v>
      </c>
      <c r="G47" s="674">
        <v>141616600</v>
      </c>
      <c r="H47" s="674">
        <v>141616600</v>
      </c>
      <c r="I47" s="674">
        <v>141616600</v>
      </c>
      <c r="J47" s="674"/>
      <c r="K47" s="674"/>
      <c r="L47" s="674"/>
      <c r="M47" s="674"/>
      <c r="N47" s="674"/>
      <c r="O47" s="674"/>
      <c r="P47" s="674"/>
      <c r="Q47" s="674"/>
      <c r="R47" s="674"/>
      <c r="S47" s="674"/>
      <c r="T47" s="674">
        <v>4536200</v>
      </c>
      <c r="U47" s="674">
        <v>63100200</v>
      </c>
      <c r="V47" s="674">
        <v>111014800</v>
      </c>
      <c r="W47" s="674"/>
      <c r="X47" s="674"/>
      <c r="Y47" s="674"/>
      <c r="Z47" s="674"/>
      <c r="AA47" s="680"/>
      <c r="AB47" s="680"/>
      <c r="AC47" s="674"/>
      <c r="AD47" s="674"/>
      <c r="AE47" s="700"/>
      <c r="AF47" s="925"/>
      <c r="AG47" s="925"/>
      <c r="AH47" s="925"/>
      <c r="AI47" s="925"/>
      <c r="AJ47" s="925"/>
      <c r="AK47" s="925"/>
      <c r="AL47" s="925"/>
      <c r="AM47" s="925"/>
      <c r="AN47" s="925"/>
      <c r="AO47" s="925"/>
      <c r="AP47" s="925"/>
      <c r="AQ47" s="925"/>
      <c r="AR47" s="925"/>
      <c r="AS47" s="925"/>
      <c r="AT47" s="925"/>
      <c r="AU47" s="925"/>
      <c r="AV47" s="925"/>
      <c r="AW47" s="925"/>
      <c r="AX47" s="925"/>
      <c r="AY47" s="925"/>
    </row>
    <row r="48" spans="1:51" ht="27" customHeight="1" x14ac:dyDescent="0.25">
      <c r="A48" s="925"/>
      <c r="B48" s="925"/>
      <c r="C48" s="925"/>
      <c r="D48" s="101" t="s">
        <v>104</v>
      </c>
      <c r="E48" s="673">
        <v>0</v>
      </c>
      <c r="F48" s="673">
        <v>0</v>
      </c>
      <c r="G48" s="673">
        <v>0</v>
      </c>
      <c r="H48" s="674">
        <v>0</v>
      </c>
      <c r="I48" s="673">
        <v>0</v>
      </c>
      <c r="J48" s="674"/>
      <c r="K48" s="674"/>
      <c r="L48" s="674"/>
      <c r="M48" s="674"/>
      <c r="N48" s="674"/>
      <c r="O48" s="674"/>
      <c r="P48" s="674"/>
      <c r="Q48" s="674"/>
      <c r="R48" s="674"/>
      <c r="S48" s="674"/>
      <c r="T48" s="673">
        <v>0</v>
      </c>
      <c r="U48" s="674">
        <v>0</v>
      </c>
      <c r="V48" s="673">
        <v>0</v>
      </c>
      <c r="W48" s="675"/>
      <c r="X48" s="675"/>
      <c r="Y48" s="675"/>
      <c r="Z48" s="675"/>
      <c r="AA48" s="690"/>
      <c r="AB48" s="690"/>
      <c r="AC48" s="676"/>
      <c r="AD48" s="675"/>
      <c r="AE48" s="702"/>
      <c r="AF48" s="925"/>
      <c r="AG48" s="925"/>
      <c r="AH48" s="925"/>
      <c r="AI48" s="925"/>
      <c r="AJ48" s="925"/>
      <c r="AK48" s="925"/>
      <c r="AL48" s="925"/>
      <c r="AM48" s="925"/>
      <c r="AN48" s="925"/>
      <c r="AO48" s="925"/>
      <c r="AP48" s="925"/>
      <c r="AQ48" s="925"/>
      <c r="AR48" s="925"/>
      <c r="AS48" s="925"/>
      <c r="AT48" s="925"/>
      <c r="AU48" s="925"/>
      <c r="AV48" s="925"/>
      <c r="AW48" s="925"/>
      <c r="AX48" s="925"/>
      <c r="AY48" s="925"/>
    </row>
    <row r="49" spans="1:51" ht="27" customHeight="1" x14ac:dyDescent="0.25">
      <c r="A49" s="925"/>
      <c r="B49" s="925"/>
      <c r="C49" s="925"/>
      <c r="D49" s="103" t="s">
        <v>105</v>
      </c>
      <c r="E49" s="674">
        <v>100151210</v>
      </c>
      <c r="F49" s="674">
        <v>100151210</v>
      </c>
      <c r="G49" s="674">
        <v>100151210</v>
      </c>
      <c r="H49" s="674">
        <v>100151210</v>
      </c>
      <c r="I49" s="674">
        <v>100151210</v>
      </c>
      <c r="J49" s="674"/>
      <c r="K49" s="674"/>
      <c r="L49" s="674"/>
      <c r="M49" s="674"/>
      <c r="N49" s="674"/>
      <c r="O49" s="674"/>
      <c r="P49" s="674"/>
      <c r="Q49" s="674"/>
      <c r="R49" s="674"/>
      <c r="S49" s="674"/>
      <c r="T49" s="674">
        <v>36308281</v>
      </c>
      <c r="U49" s="674">
        <v>42703341</v>
      </c>
      <c r="V49" s="693">
        <v>45892631.799999997</v>
      </c>
      <c r="W49" s="674"/>
      <c r="X49" s="693"/>
      <c r="Y49" s="693"/>
      <c r="Z49" s="693"/>
      <c r="AA49" s="680"/>
      <c r="AB49" s="680"/>
      <c r="AC49" s="676"/>
      <c r="AD49" s="676"/>
      <c r="AE49" s="697"/>
      <c r="AF49" s="925"/>
      <c r="AG49" s="925"/>
      <c r="AH49" s="925"/>
      <c r="AI49" s="925"/>
      <c r="AJ49" s="925"/>
      <c r="AK49" s="925"/>
      <c r="AL49" s="925"/>
      <c r="AM49" s="925"/>
      <c r="AN49" s="925"/>
      <c r="AO49" s="925"/>
      <c r="AP49" s="925"/>
      <c r="AQ49" s="925"/>
      <c r="AR49" s="925"/>
      <c r="AS49" s="925"/>
      <c r="AT49" s="925"/>
      <c r="AU49" s="925"/>
      <c r="AV49" s="925"/>
      <c r="AW49" s="925"/>
      <c r="AX49" s="925"/>
      <c r="AY49" s="925"/>
    </row>
    <row r="50" spans="1:51" ht="27" customHeight="1" x14ac:dyDescent="0.25">
      <c r="A50" s="925"/>
      <c r="B50" s="925"/>
      <c r="C50" s="925"/>
      <c r="D50" s="101" t="s">
        <v>106</v>
      </c>
      <c r="E50" s="673">
        <f t="shared" ref="E50:Q51" si="16">E46+E48</f>
        <v>0.2</v>
      </c>
      <c r="F50" s="673">
        <f t="shared" si="16"/>
        <v>0.2</v>
      </c>
      <c r="G50" s="673">
        <v>0.2</v>
      </c>
      <c r="H50" s="673">
        <v>0.2</v>
      </c>
      <c r="I50" s="673">
        <v>0.2</v>
      </c>
      <c r="J50" s="674">
        <f t="shared" si="16"/>
        <v>0</v>
      </c>
      <c r="K50" s="674">
        <f t="shared" si="16"/>
        <v>0</v>
      </c>
      <c r="L50" s="674">
        <f t="shared" si="16"/>
        <v>0</v>
      </c>
      <c r="M50" s="674">
        <f t="shared" si="16"/>
        <v>0</v>
      </c>
      <c r="N50" s="674">
        <f t="shared" si="16"/>
        <v>0</v>
      </c>
      <c r="O50" s="674">
        <f t="shared" si="16"/>
        <v>0</v>
      </c>
      <c r="P50" s="674">
        <f t="shared" si="16"/>
        <v>0</v>
      </c>
      <c r="Q50" s="674">
        <v>0.2</v>
      </c>
      <c r="R50" s="674"/>
      <c r="S50" s="674"/>
      <c r="T50" s="673">
        <f t="shared" ref="T50:AD51" si="17">T46+T48</f>
        <v>0</v>
      </c>
      <c r="U50" s="674">
        <f t="shared" si="17"/>
        <v>0.02</v>
      </c>
      <c r="V50" s="683">
        <f t="shared" si="17"/>
        <v>0.04</v>
      </c>
      <c r="W50" s="683">
        <f t="shared" si="17"/>
        <v>0</v>
      </c>
      <c r="X50" s="683">
        <f t="shared" si="17"/>
        <v>0</v>
      </c>
      <c r="Y50" s="683">
        <f t="shared" si="17"/>
        <v>0</v>
      </c>
      <c r="Z50" s="683">
        <f t="shared" si="17"/>
        <v>0</v>
      </c>
      <c r="AA50" s="684">
        <f t="shared" si="17"/>
        <v>0</v>
      </c>
      <c r="AB50" s="684">
        <f t="shared" si="17"/>
        <v>0</v>
      </c>
      <c r="AC50" s="691">
        <f t="shared" si="17"/>
        <v>0</v>
      </c>
      <c r="AD50" s="691">
        <f t="shared" si="17"/>
        <v>0</v>
      </c>
      <c r="AE50" s="698"/>
      <c r="AF50" s="925"/>
      <c r="AG50" s="925"/>
      <c r="AH50" s="925"/>
      <c r="AI50" s="925"/>
      <c r="AJ50" s="925"/>
      <c r="AK50" s="925"/>
      <c r="AL50" s="925"/>
      <c r="AM50" s="925"/>
      <c r="AN50" s="925"/>
      <c r="AO50" s="925"/>
      <c r="AP50" s="925"/>
      <c r="AQ50" s="925"/>
      <c r="AR50" s="925"/>
      <c r="AS50" s="925"/>
      <c r="AT50" s="925"/>
      <c r="AU50" s="925"/>
      <c r="AV50" s="925"/>
      <c r="AW50" s="925"/>
      <c r="AX50" s="925"/>
      <c r="AY50" s="925"/>
    </row>
    <row r="51" spans="1:51" ht="27" customHeight="1" x14ac:dyDescent="0.25">
      <c r="A51" s="925"/>
      <c r="B51" s="925"/>
      <c r="C51" s="926"/>
      <c r="D51" s="103" t="s">
        <v>107</v>
      </c>
      <c r="E51" s="686">
        <f t="shared" si="16"/>
        <v>241767810</v>
      </c>
      <c r="F51" s="686">
        <f t="shared" si="16"/>
        <v>241767810</v>
      </c>
      <c r="G51" s="686">
        <f t="shared" si="16"/>
        <v>241767810</v>
      </c>
      <c r="H51" s="686">
        <f t="shared" si="16"/>
        <v>241767810</v>
      </c>
      <c r="I51" s="686">
        <f t="shared" si="16"/>
        <v>241767810</v>
      </c>
      <c r="J51" s="674">
        <f t="shared" si="16"/>
        <v>0</v>
      </c>
      <c r="K51" s="674">
        <f t="shared" si="16"/>
        <v>0</v>
      </c>
      <c r="L51" s="674">
        <f t="shared" si="16"/>
        <v>0</v>
      </c>
      <c r="M51" s="674">
        <f t="shared" si="16"/>
        <v>0</v>
      </c>
      <c r="N51" s="674">
        <f t="shared" si="16"/>
        <v>0</v>
      </c>
      <c r="O51" s="674">
        <f t="shared" si="16"/>
        <v>0</v>
      </c>
      <c r="P51" s="674">
        <f t="shared" si="16"/>
        <v>0</v>
      </c>
      <c r="Q51" s="674">
        <f t="shared" si="16"/>
        <v>0</v>
      </c>
      <c r="R51" s="674"/>
      <c r="S51" s="674"/>
      <c r="T51" s="686">
        <f t="shared" si="17"/>
        <v>40844481</v>
      </c>
      <c r="U51" s="686">
        <f t="shared" si="17"/>
        <v>105803541</v>
      </c>
      <c r="V51" s="695">
        <f t="shared" si="17"/>
        <v>156907431.80000001</v>
      </c>
      <c r="W51" s="695">
        <f t="shared" si="17"/>
        <v>0</v>
      </c>
      <c r="X51" s="695">
        <f t="shared" si="17"/>
        <v>0</v>
      </c>
      <c r="Y51" s="695">
        <f t="shared" si="17"/>
        <v>0</v>
      </c>
      <c r="Z51" s="695">
        <f t="shared" si="17"/>
        <v>0</v>
      </c>
      <c r="AA51" s="687">
        <f t="shared" si="17"/>
        <v>0</v>
      </c>
      <c r="AB51" s="687">
        <f t="shared" si="17"/>
        <v>0</v>
      </c>
      <c r="AC51" s="699">
        <f t="shared" si="17"/>
        <v>0</v>
      </c>
      <c r="AD51" s="699">
        <f t="shared" si="17"/>
        <v>0</v>
      </c>
      <c r="AE51" s="688"/>
      <c r="AF51" s="925"/>
      <c r="AG51" s="926"/>
      <c r="AH51" s="926"/>
      <c r="AI51" s="926"/>
      <c r="AJ51" s="926"/>
      <c r="AK51" s="926"/>
      <c r="AL51" s="926"/>
      <c r="AM51" s="926"/>
      <c r="AN51" s="926"/>
      <c r="AO51" s="926"/>
      <c r="AP51" s="926"/>
      <c r="AQ51" s="926"/>
      <c r="AR51" s="926"/>
      <c r="AS51" s="926"/>
      <c r="AT51" s="926"/>
      <c r="AU51" s="926"/>
      <c r="AV51" s="926"/>
      <c r="AW51" s="926"/>
      <c r="AX51" s="926"/>
      <c r="AY51" s="926"/>
    </row>
    <row r="52" spans="1:51" ht="18" customHeight="1" x14ac:dyDescent="0.25">
      <c r="A52" s="925"/>
      <c r="B52" s="925"/>
      <c r="C52" s="927" t="s">
        <v>241</v>
      </c>
      <c r="D52" s="101" t="s">
        <v>100</v>
      </c>
      <c r="E52" s="673">
        <v>0.2</v>
      </c>
      <c r="F52" s="673">
        <v>0.2</v>
      </c>
      <c r="G52" s="673">
        <v>0.2</v>
      </c>
      <c r="H52" s="673">
        <v>0.2</v>
      </c>
      <c r="I52" s="673">
        <v>0.2</v>
      </c>
      <c r="J52" s="674"/>
      <c r="K52" s="674"/>
      <c r="L52" s="674"/>
      <c r="M52" s="674"/>
      <c r="N52" s="674"/>
      <c r="O52" s="674"/>
      <c r="P52" s="674"/>
      <c r="Q52" s="674"/>
      <c r="R52" s="674"/>
      <c r="S52" s="674"/>
      <c r="T52" s="673">
        <v>0</v>
      </c>
      <c r="U52" s="674">
        <v>0.01</v>
      </c>
      <c r="V52" s="673">
        <v>0.02</v>
      </c>
      <c r="W52" s="675"/>
      <c r="X52" s="703"/>
      <c r="Y52" s="675"/>
      <c r="Z52" s="673"/>
      <c r="AA52" s="689"/>
      <c r="AB52" s="689"/>
      <c r="AC52" s="676"/>
      <c r="AD52" s="696"/>
      <c r="AE52" s="686"/>
      <c r="AF52" s="925"/>
      <c r="AG52" s="927" t="s">
        <v>615</v>
      </c>
      <c r="AH52" s="927" t="s">
        <v>242</v>
      </c>
      <c r="AI52" s="927" t="s">
        <v>243</v>
      </c>
      <c r="AJ52" s="927"/>
      <c r="AK52" s="927" t="s">
        <v>244</v>
      </c>
      <c r="AL52" s="927" t="s">
        <v>245</v>
      </c>
      <c r="AM52" s="927" t="s">
        <v>222</v>
      </c>
      <c r="AN52" s="944">
        <f>AO52+AP52</f>
        <v>2669864</v>
      </c>
      <c r="AO52" s="946">
        <v>1287152</v>
      </c>
      <c r="AP52" s="946">
        <v>1382712</v>
      </c>
      <c r="AQ52" s="946" t="s">
        <v>203</v>
      </c>
      <c r="AR52" s="927" t="s">
        <v>203</v>
      </c>
      <c r="AS52" s="927" t="s">
        <v>203</v>
      </c>
      <c r="AT52" s="927" t="s">
        <v>203</v>
      </c>
      <c r="AU52" s="927" t="s">
        <v>203</v>
      </c>
      <c r="AV52" s="927" t="s">
        <v>203</v>
      </c>
      <c r="AW52" s="927" t="s">
        <v>203</v>
      </c>
      <c r="AX52" s="927" t="s">
        <v>203</v>
      </c>
      <c r="AY52" s="927"/>
    </row>
    <row r="53" spans="1:51" ht="15.75" customHeight="1" x14ac:dyDescent="0.25">
      <c r="A53" s="925"/>
      <c r="B53" s="925"/>
      <c r="C53" s="925"/>
      <c r="D53" s="103" t="s">
        <v>102</v>
      </c>
      <c r="E53" s="674">
        <v>141616600</v>
      </c>
      <c r="F53" s="674">
        <v>141616600</v>
      </c>
      <c r="G53" s="674">
        <v>141616600</v>
      </c>
      <c r="H53" s="674">
        <v>141616600</v>
      </c>
      <c r="I53" s="674">
        <v>141616600</v>
      </c>
      <c r="J53" s="674"/>
      <c r="K53" s="674"/>
      <c r="L53" s="674"/>
      <c r="M53" s="674"/>
      <c r="N53" s="674"/>
      <c r="O53" s="674"/>
      <c r="P53" s="674"/>
      <c r="Q53" s="674"/>
      <c r="R53" s="674"/>
      <c r="S53" s="674"/>
      <c r="T53" s="674">
        <v>4536200</v>
      </c>
      <c r="U53" s="674">
        <v>63100200</v>
      </c>
      <c r="V53" s="674">
        <v>111014800</v>
      </c>
      <c r="W53" s="674"/>
      <c r="X53" s="674"/>
      <c r="Y53" s="674"/>
      <c r="Z53" s="674"/>
      <c r="AA53" s="680"/>
      <c r="AB53" s="680"/>
      <c r="AC53" s="674"/>
      <c r="AD53" s="674"/>
      <c r="AE53" s="688"/>
      <c r="AF53" s="925"/>
      <c r="AG53" s="925"/>
      <c r="AH53" s="925"/>
      <c r="AI53" s="925"/>
      <c r="AJ53" s="925"/>
      <c r="AK53" s="925"/>
      <c r="AL53" s="925"/>
      <c r="AM53" s="925"/>
      <c r="AN53" s="925"/>
      <c r="AO53" s="925"/>
      <c r="AP53" s="925"/>
      <c r="AQ53" s="925"/>
      <c r="AR53" s="925"/>
      <c r="AS53" s="925"/>
      <c r="AT53" s="925"/>
      <c r="AU53" s="925"/>
      <c r="AV53" s="925"/>
      <c r="AW53" s="925"/>
      <c r="AX53" s="925"/>
      <c r="AY53" s="925"/>
    </row>
    <row r="54" spans="1:51" ht="27" customHeight="1" x14ac:dyDescent="0.25">
      <c r="A54" s="925"/>
      <c r="B54" s="925"/>
      <c r="C54" s="925"/>
      <c r="D54" s="101" t="s">
        <v>104</v>
      </c>
      <c r="E54" s="673">
        <v>0</v>
      </c>
      <c r="F54" s="673">
        <v>0</v>
      </c>
      <c r="G54" s="673">
        <v>0</v>
      </c>
      <c r="H54" s="673">
        <v>0</v>
      </c>
      <c r="I54" s="673">
        <v>0</v>
      </c>
      <c r="J54" s="674"/>
      <c r="K54" s="674"/>
      <c r="L54" s="674"/>
      <c r="M54" s="674"/>
      <c r="N54" s="674"/>
      <c r="O54" s="674"/>
      <c r="P54" s="674"/>
      <c r="Q54" s="674"/>
      <c r="R54" s="674"/>
      <c r="S54" s="674"/>
      <c r="T54" s="673">
        <v>0</v>
      </c>
      <c r="U54" s="673">
        <v>0</v>
      </c>
      <c r="V54" s="673">
        <v>0</v>
      </c>
      <c r="W54" s="675"/>
      <c r="X54" s="675"/>
      <c r="Y54" s="675"/>
      <c r="Z54" s="675"/>
      <c r="AA54" s="690"/>
      <c r="AB54" s="690"/>
      <c r="AC54" s="676"/>
      <c r="AD54" s="704"/>
      <c r="AE54" s="688"/>
      <c r="AF54" s="925"/>
      <c r="AG54" s="925"/>
      <c r="AH54" s="925"/>
      <c r="AI54" s="925"/>
      <c r="AJ54" s="925"/>
      <c r="AK54" s="925"/>
      <c r="AL54" s="925"/>
      <c r="AM54" s="925"/>
      <c r="AN54" s="925"/>
      <c r="AO54" s="925"/>
      <c r="AP54" s="925"/>
      <c r="AQ54" s="925"/>
      <c r="AR54" s="925"/>
      <c r="AS54" s="925"/>
      <c r="AT54" s="925"/>
      <c r="AU54" s="925"/>
      <c r="AV54" s="925"/>
      <c r="AW54" s="925"/>
      <c r="AX54" s="925"/>
      <c r="AY54" s="925"/>
    </row>
    <row r="55" spans="1:51" ht="27" customHeight="1" x14ac:dyDescent="0.25">
      <c r="A55" s="925"/>
      <c r="B55" s="925"/>
      <c r="C55" s="925"/>
      <c r="D55" s="103" t="s">
        <v>105</v>
      </c>
      <c r="E55" s="674">
        <v>100151211</v>
      </c>
      <c r="F55" s="674">
        <v>100151211</v>
      </c>
      <c r="G55" s="674">
        <v>100151211</v>
      </c>
      <c r="H55" s="674">
        <v>100151211</v>
      </c>
      <c r="I55" s="674">
        <v>100151211</v>
      </c>
      <c r="J55" s="674"/>
      <c r="K55" s="674"/>
      <c r="L55" s="674"/>
      <c r="M55" s="674"/>
      <c r="N55" s="674"/>
      <c r="O55" s="674"/>
      <c r="P55" s="674"/>
      <c r="Q55" s="674"/>
      <c r="R55" s="674"/>
      <c r="S55" s="674"/>
      <c r="T55" s="674">
        <v>36308280</v>
      </c>
      <c r="U55" s="674">
        <v>42703340</v>
      </c>
      <c r="V55" s="693">
        <v>45892631.799999997</v>
      </c>
      <c r="W55" s="674"/>
      <c r="X55" s="693"/>
      <c r="Y55" s="693"/>
      <c r="Z55" s="693"/>
      <c r="AA55" s="680"/>
      <c r="AB55" s="680"/>
      <c r="AC55" s="680"/>
      <c r="AD55" s="680"/>
      <c r="AE55" s="688"/>
      <c r="AF55" s="925"/>
      <c r="AG55" s="925"/>
      <c r="AH55" s="925"/>
      <c r="AI55" s="925"/>
      <c r="AJ55" s="925"/>
      <c r="AK55" s="925"/>
      <c r="AL55" s="925"/>
      <c r="AM55" s="925"/>
      <c r="AN55" s="925"/>
      <c r="AO55" s="925"/>
      <c r="AP55" s="925"/>
      <c r="AQ55" s="925"/>
      <c r="AR55" s="925"/>
      <c r="AS55" s="925"/>
      <c r="AT55" s="925"/>
      <c r="AU55" s="925"/>
      <c r="AV55" s="925"/>
      <c r="AW55" s="925"/>
      <c r="AX55" s="925"/>
      <c r="AY55" s="925"/>
    </row>
    <row r="56" spans="1:51" ht="27" customHeight="1" x14ac:dyDescent="0.25">
      <c r="A56" s="925"/>
      <c r="B56" s="925"/>
      <c r="C56" s="925"/>
      <c r="D56" s="101" t="s">
        <v>106</v>
      </c>
      <c r="E56" s="673">
        <f t="shared" ref="E56:H57" si="18">E52+E54</f>
        <v>0.2</v>
      </c>
      <c r="F56" s="673">
        <f t="shared" si="18"/>
        <v>0.2</v>
      </c>
      <c r="G56" s="673">
        <f t="shared" si="18"/>
        <v>0.2</v>
      </c>
      <c r="H56" s="673">
        <f t="shared" si="18"/>
        <v>0.2</v>
      </c>
      <c r="I56" s="673">
        <v>0.2</v>
      </c>
      <c r="J56" s="674">
        <f t="shared" ref="J56:Q57" si="19">J52+J54</f>
        <v>0</v>
      </c>
      <c r="K56" s="674">
        <f t="shared" si="19"/>
        <v>0</v>
      </c>
      <c r="L56" s="674">
        <f t="shared" si="19"/>
        <v>0</v>
      </c>
      <c r="M56" s="674">
        <f t="shared" si="19"/>
        <v>0</v>
      </c>
      <c r="N56" s="674">
        <f t="shared" si="19"/>
        <v>0</v>
      </c>
      <c r="O56" s="674">
        <f t="shared" si="19"/>
        <v>0</v>
      </c>
      <c r="P56" s="674">
        <f t="shared" si="19"/>
        <v>0</v>
      </c>
      <c r="Q56" s="674">
        <v>0.2</v>
      </c>
      <c r="R56" s="674"/>
      <c r="S56" s="674"/>
      <c r="T56" s="673">
        <f t="shared" ref="T56:AD57" si="20">T52+T54</f>
        <v>0</v>
      </c>
      <c r="U56" s="673">
        <f t="shared" si="20"/>
        <v>0.01</v>
      </c>
      <c r="V56" s="683">
        <f t="shared" si="20"/>
        <v>0.02</v>
      </c>
      <c r="W56" s="683">
        <f t="shared" si="20"/>
        <v>0</v>
      </c>
      <c r="X56" s="683">
        <f t="shared" si="20"/>
        <v>0</v>
      </c>
      <c r="Y56" s="683">
        <f t="shared" si="20"/>
        <v>0</v>
      </c>
      <c r="Z56" s="683">
        <f t="shared" si="20"/>
        <v>0</v>
      </c>
      <c r="AA56" s="683">
        <f t="shared" si="20"/>
        <v>0</v>
      </c>
      <c r="AB56" s="683">
        <f t="shared" si="20"/>
        <v>0</v>
      </c>
      <c r="AC56" s="691">
        <f t="shared" si="20"/>
        <v>0</v>
      </c>
      <c r="AD56" s="691">
        <f t="shared" si="20"/>
        <v>0</v>
      </c>
      <c r="AE56" s="688"/>
      <c r="AF56" s="925"/>
      <c r="AG56" s="925"/>
      <c r="AH56" s="925"/>
      <c r="AI56" s="925"/>
      <c r="AJ56" s="925"/>
      <c r="AK56" s="925"/>
      <c r="AL56" s="925"/>
      <c r="AM56" s="925"/>
      <c r="AN56" s="925"/>
      <c r="AO56" s="925"/>
      <c r="AP56" s="925"/>
      <c r="AQ56" s="925"/>
      <c r="AR56" s="925"/>
      <c r="AS56" s="925"/>
      <c r="AT56" s="925"/>
      <c r="AU56" s="925"/>
      <c r="AV56" s="925"/>
      <c r="AW56" s="925"/>
      <c r="AX56" s="925"/>
      <c r="AY56" s="925"/>
    </row>
    <row r="57" spans="1:51" ht="27" customHeight="1" x14ac:dyDescent="0.25">
      <c r="A57" s="926"/>
      <c r="B57" s="926"/>
      <c r="C57" s="926"/>
      <c r="D57" s="103" t="s">
        <v>107</v>
      </c>
      <c r="E57" s="686">
        <f t="shared" si="18"/>
        <v>241767811</v>
      </c>
      <c r="F57" s="686">
        <f t="shared" si="18"/>
        <v>241767811</v>
      </c>
      <c r="G57" s="686">
        <f t="shared" si="18"/>
        <v>241767811</v>
      </c>
      <c r="H57" s="683">
        <v>0</v>
      </c>
      <c r="I57" s="686">
        <f>+I53+I55</f>
        <v>241767811</v>
      </c>
      <c r="J57" s="674">
        <f t="shared" si="19"/>
        <v>0</v>
      </c>
      <c r="K57" s="674">
        <f t="shared" si="19"/>
        <v>0</v>
      </c>
      <c r="L57" s="674">
        <f t="shared" si="19"/>
        <v>0</v>
      </c>
      <c r="M57" s="674">
        <f t="shared" si="19"/>
        <v>0</v>
      </c>
      <c r="N57" s="674">
        <f t="shared" si="19"/>
        <v>0</v>
      </c>
      <c r="O57" s="674">
        <f t="shared" si="19"/>
        <v>0</v>
      </c>
      <c r="P57" s="674">
        <f t="shared" si="19"/>
        <v>0</v>
      </c>
      <c r="Q57" s="674">
        <f t="shared" si="19"/>
        <v>0</v>
      </c>
      <c r="R57" s="674"/>
      <c r="S57" s="674"/>
      <c r="T57" s="686">
        <f t="shared" si="20"/>
        <v>40844480</v>
      </c>
      <c r="U57" s="686">
        <f t="shared" si="20"/>
        <v>105803540</v>
      </c>
      <c r="V57" s="695">
        <f t="shared" si="20"/>
        <v>156907431.80000001</v>
      </c>
      <c r="W57" s="695">
        <f t="shared" si="20"/>
        <v>0</v>
      </c>
      <c r="X57" s="695">
        <f t="shared" si="20"/>
        <v>0</v>
      </c>
      <c r="Y57" s="695">
        <f t="shared" si="20"/>
        <v>0</v>
      </c>
      <c r="Z57" s="695">
        <f t="shared" si="20"/>
        <v>0</v>
      </c>
      <c r="AA57" s="686">
        <f t="shared" si="20"/>
        <v>0</v>
      </c>
      <c r="AB57" s="686">
        <f t="shared" si="20"/>
        <v>0</v>
      </c>
      <c r="AC57" s="699">
        <f t="shared" si="20"/>
        <v>0</v>
      </c>
      <c r="AD57" s="699">
        <f t="shared" si="20"/>
        <v>0</v>
      </c>
      <c r="AE57" s="688"/>
      <c r="AF57" s="925"/>
      <c r="AG57" s="925"/>
      <c r="AH57" s="925"/>
      <c r="AI57" s="926"/>
      <c r="AJ57" s="925"/>
      <c r="AK57" s="925"/>
      <c r="AL57" s="925"/>
      <c r="AM57" s="926"/>
      <c r="AN57" s="926"/>
      <c r="AO57" s="926"/>
      <c r="AP57" s="926"/>
      <c r="AQ57" s="926"/>
      <c r="AR57" s="926"/>
      <c r="AS57" s="926"/>
      <c r="AT57" s="926"/>
      <c r="AU57" s="926"/>
      <c r="AV57" s="926"/>
      <c r="AW57" s="926"/>
      <c r="AX57" s="926"/>
      <c r="AY57" s="925"/>
    </row>
    <row r="58" spans="1:51" ht="18" customHeight="1" x14ac:dyDescent="0.25">
      <c r="A58" s="924"/>
      <c r="B58" s="934"/>
      <c r="C58" s="949" t="s">
        <v>246</v>
      </c>
      <c r="D58" s="101" t="s">
        <v>100</v>
      </c>
      <c r="E58" s="683">
        <f t="shared" ref="E58:Q61" si="21">+E28+E34+E40+E46+E52</f>
        <v>1</v>
      </c>
      <c r="F58" s="683">
        <f t="shared" si="21"/>
        <v>1</v>
      </c>
      <c r="G58" s="683">
        <f t="shared" si="21"/>
        <v>1</v>
      </c>
      <c r="H58" s="683">
        <f t="shared" si="21"/>
        <v>1</v>
      </c>
      <c r="I58" s="683">
        <f>+I28+I34+I40+I46+I52</f>
        <v>1</v>
      </c>
      <c r="J58" s="674">
        <f t="shared" si="21"/>
        <v>0</v>
      </c>
      <c r="K58" s="674">
        <f t="shared" si="21"/>
        <v>0</v>
      </c>
      <c r="L58" s="674">
        <f t="shared" si="21"/>
        <v>0</v>
      </c>
      <c r="M58" s="674">
        <f t="shared" si="21"/>
        <v>0</v>
      </c>
      <c r="N58" s="674">
        <f t="shared" si="21"/>
        <v>0</v>
      </c>
      <c r="O58" s="674">
        <f t="shared" si="21"/>
        <v>0</v>
      </c>
      <c r="P58" s="674">
        <f t="shared" si="21"/>
        <v>0</v>
      </c>
      <c r="Q58" s="674">
        <f t="shared" si="21"/>
        <v>0</v>
      </c>
      <c r="R58" s="674"/>
      <c r="S58" s="674"/>
      <c r="T58" s="683">
        <f t="shared" ref="T58:V61" si="22">+T28+T34+T40+T46+T52</f>
        <v>0</v>
      </c>
      <c r="U58" s="683">
        <f t="shared" si="22"/>
        <v>0.09</v>
      </c>
      <c r="V58" s="683">
        <f>+V28+V34+V40+V46+V52</f>
        <v>0.18</v>
      </c>
      <c r="W58" s="683">
        <f t="shared" ref="W58:AD61" si="23">+W28+W34+W40+W46+W52</f>
        <v>0</v>
      </c>
      <c r="X58" s="683">
        <f t="shared" si="23"/>
        <v>0</v>
      </c>
      <c r="Y58" s="683">
        <f t="shared" si="23"/>
        <v>0</v>
      </c>
      <c r="Z58" s="683">
        <f t="shared" si="23"/>
        <v>0</v>
      </c>
      <c r="AA58" s="683">
        <f t="shared" si="23"/>
        <v>0</v>
      </c>
      <c r="AB58" s="683">
        <f t="shared" si="23"/>
        <v>0</v>
      </c>
      <c r="AC58" s="683">
        <f t="shared" si="23"/>
        <v>0</v>
      </c>
      <c r="AD58" s="683">
        <f t="shared" si="23"/>
        <v>0</v>
      </c>
      <c r="AE58" s="686"/>
      <c r="AF58" s="950"/>
      <c r="AG58" s="951"/>
      <c r="AH58" s="951"/>
      <c r="AI58" s="951"/>
      <c r="AJ58" s="951"/>
      <c r="AK58" s="951"/>
      <c r="AL58" s="951"/>
      <c r="AM58" s="951"/>
      <c r="AN58" s="951"/>
      <c r="AO58" s="951"/>
      <c r="AP58" s="951"/>
      <c r="AQ58" s="951"/>
      <c r="AR58" s="951"/>
      <c r="AS58" s="951"/>
      <c r="AT58" s="951"/>
      <c r="AU58" s="951"/>
      <c r="AV58" s="951"/>
      <c r="AW58" s="951"/>
      <c r="AX58" s="951"/>
      <c r="AY58" s="952"/>
    </row>
    <row r="59" spans="1:51" ht="15.75" customHeight="1" x14ac:dyDescent="0.25">
      <c r="A59" s="925"/>
      <c r="B59" s="925"/>
      <c r="C59" s="925"/>
      <c r="D59" s="103" t="s">
        <v>102</v>
      </c>
      <c r="E59" s="686">
        <f t="shared" si="21"/>
        <v>708083000</v>
      </c>
      <c r="F59" s="686">
        <f t="shared" si="21"/>
        <v>708083000</v>
      </c>
      <c r="G59" s="686">
        <f t="shared" si="21"/>
        <v>708083000</v>
      </c>
      <c r="H59" s="686">
        <f t="shared" si="21"/>
        <v>708083000</v>
      </c>
      <c r="I59" s="686">
        <f t="shared" si="21"/>
        <v>708083000</v>
      </c>
      <c r="J59" s="674">
        <f t="shared" si="21"/>
        <v>0</v>
      </c>
      <c r="K59" s="674">
        <f t="shared" si="21"/>
        <v>0</v>
      </c>
      <c r="L59" s="674">
        <f t="shared" si="21"/>
        <v>0</v>
      </c>
      <c r="M59" s="674">
        <f t="shared" si="21"/>
        <v>0</v>
      </c>
      <c r="N59" s="674">
        <f t="shared" si="21"/>
        <v>0</v>
      </c>
      <c r="O59" s="674">
        <f t="shared" si="21"/>
        <v>0</v>
      </c>
      <c r="P59" s="674">
        <f t="shared" si="21"/>
        <v>0</v>
      </c>
      <c r="Q59" s="674">
        <f t="shared" si="21"/>
        <v>0</v>
      </c>
      <c r="R59" s="674"/>
      <c r="S59" s="674"/>
      <c r="T59" s="686">
        <f t="shared" si="22"/>
        <v>22681000</v>
      </c>
      <c r="U59" s="695">
        <f t="shared" si="22"/>
        <v>315501000</v>
      </c>
      <c r="V59" s="695">
        <f t="shared" si="22"/>
        <v>555074000</v>
      </c>
      <c r="W59" s="686">
        <f t="shared" si="23"/>
        <v>0</v>
      </c>
      <c r="X59" s="686">
        <f t="shared" si="23"/>
        <v>0</v>
      </c>
      <c r="Y59" s="686">
        <f t="shared" si="23"/>
        <v>0</v>
      </c>
      <c r="Z59" s="686">
        <f t="shared" si="23"/>
        <v>0</v>
      </c>
      <c r="AA59" s="686">
        <f t="shared" si="23"/>
        <v>0</v>
      </c>
      <c r="AB59" s="686">
        <f t="shared" si="23"/>
        <v>0</v>
      </c>
      <c r="AC59" s="686">
        <f t="shared" si="23"/>
        <v>0</v>
      </c>
      <c r="AD59" s="686">
        <f t="shared" si="23"/>
        <v>0</v>
      </c>
      <c r="AE59" s="688"/>
      <c r="AF59" s="953"/>
      <c r="AG59" s="954"/>
      <c r="AH59" s="954"/>
      <c r="AI59" s="954"/>
      <c r="AJ59" s="954"/>
      <c r="AK59" s="954"/>
      <c r="AL59" s="954"/>
      <c r="AM59" s="954"/>
      <c r="AN59" s="954"/>
      <c r="AO59" s="954"/>
      <c r="AP59" s="954"/>
      <c r="AQ59" s="954"/>
      <c r="AR59" s="954"/>
      <c r="AS59" s="954"/>
      <c r="AT59" s="954"/>
      <c r="AU59" s="954"/>
      <c r="AV59" s="954"/>
      <c r="AW59" s="954"/>
      <c r="AX59" s="954"/>
      <c r="AY59" s="955"/>
    </row>
    <row r="60" spans="1:51" ht="15.75" customHeight="1" x14ac:dyDescent="0.25">
      <c r="A60" s="925"/>
      <c r="B60" s="925"/>
      <c r="C60" s="925"/>
      <c r="D60" s="101" t="s">
        <v>104</v>
      </c>
      <c r="E60" s="683">
        <f t="shared" si="21"/>
        <v>0</v>
      </c>
      <c r="F60" s="683">
        <f t="shared" si="21"/>
        <v>0</v>
      </c>
      <c r="G60" s="683">
        <f t="shared" si="21"/>
        <v>0</v>
      </c>
      <c r="H60" s="686">
        <f t="shared" si="21"/>
        <v>0</v>
      </c>
      <c r="I60" s="686">
        <f t="shared" si="21"/>
        <v>0</v>
      </c>
      <c r="J60" s="686">
        <f t="shared" si="21"/>
        <v>0</v>
      </c>
      <c r="K60" s="686">
        <f t="shared" si="21"/>
        <v>0</v>
      </c>
      <c r="L60" s="686">
        <f t="shared" si="21"/>
        <v>0</v>
      </c>
      <c r="M60" s="686">
        <f t="shared" si="21"/>
        <v>0</v>
      </c>
      <c r="N60" s="686">
        <f t="shared" si="21"/>
        <v>0</v>
      </c>
      <c r="O60" s="686">
        <f t="shared" si="21"/>
        <v>0</v>
      </c>
      <c r="P60" s="686">
        <f t="shared" si="21"/>
        <v>0</v>
      </c>
      <c r="Q60" s="686">
        <f t="shared" si="21"/>
        <v>0</v>
      </c>
      <c r="R60" s="686"/>
      <c r="S60" s="686"/>
      <c r="T60" s="683">
        <f t="shared" si="22"/>
        <v>0</v>
      </c>
      <c r="U60" s="704">
        <f t="shared" si="22"/>
        <v>0</v>
      </c>
      <c r="V60" s="704">
        <f t="shared" si="22"/>
        <v>0</v>
      </c>
      <c r="W60" s="704">
        <f t="shared" si="23"/>
        <v>0</v>
      </c>
      <c r="X60" s="704">
        <f t="shared" si="23"/>
        <v>0</v>
      </c>
      <c r="Y60" s="704">
        <f t="shared" si="23"/>
        <v>0</v>
      </c>
      <c r="Z60" s="704">
        <f t="shared" si="23"/>
        <v>0</v>
      </c>
      <c r="AA60" s="704">
        <f t="shared" si="23"/>
        <v>0</v>
      </c>
      <c r="AB60" s="704">
        <f t="shared" si="23"/>
        <v>0</v>
      </c>
      <c r="AC60" s="704">
        <f t="shared" si="23"/>
        <v>0</v>
      </c>
      <c r="AD60" s="704">
        <f t="shared" si="23"/>
        <v>0</v>
      </c>
      <c r="AE60" s="688"/>
      <c r="AF60" s="953"/>
      <c r="AG60" s="954"/>
      <c r="AH60" s="954"/>
      <c r="AI60" s="954"/>
      <c r="AJ60" s="954"/>
      <c r="AK60" s="954"/>
      <c r="AL60" s="954"/>
      <c r="AM60" s="954"/>
      <c r="AN60" s="954"/>
      <c r="AO60" s="954"/>
      <c r="AP60" s="954"/>
      <c r="AQ60" s="954"/>
      <c r="AR60" s="954"/>
      <c r="AS60" s="954"/>
      <c r="AT60" s="954"/>
      <c r="AU60" s="954"/>
      <c r="AV60" s="954"/>
      <c r="AW60" s="954"/>
      <c r="AX60" s="954"/>
      <c r="AY60" s="955"/>
    </row>
    <row r="61" spans="1:51" ht="15.75" customHeight="1" x14ac:dyDescent="0.25">
      <c r="A61" s="925"/>
      <c r="B61" s="925"/>
      <c r="C61" s="925"/>
      <c r="D61" s="103" t="s">
        <v>105</v>
      </c>
      <c r="E61" s="686">
        <f t="shared" si="21"/>
        <v>500756051</v>
      </c>
      <c r="F61" s="686">
        <f t="shared" si="21"/>
        <v>500756051</v>
      </c>
      <c r="G61" s="686">
        <f t="shared" si="21"/>
        <v>500756051</v>
      </c>
      <c r="H61" s="686">
        <f t="shared" si="21"/>
        <v>500756051</v>
      </c>
      <c r="I61" s="686">
        <f t="shared" si="21"/>
        <v>500756051</v>
      </c>
      <c r="J61" s="674">
        <f t="shared" si="21"/>
        <v>0</v>
      </c>
      <c r="K61" s="674">
        <f t="shared" si="21"/>
        <v>0</v>
      </c>
      <c r="L61" s="674">
        <f t="shared" si="21"/>
        <v>0</v>
      </c>
      <c r="M61" s="674">
        <f t="shared" si="21"/>
        <v>0</v>
      </c>
      <c r="N61" s="674">
        <f t="shared" si="21"/>
        <v>0</v>
      </c>
      <c r="O61" s="674">
        <f t="shared" si="21"/>
        <v>0</v>
      </c>
      <c r="P61" s="674">
        <f t="shared" si="21"/>
        <v>0</v>
      </c>
      <c r="Q61" s="674">
        <f t="shared" si="21"/>
        <v>0</v>
      </c>
      <c r="R61" s="674"/>
      <c r="S61" s="674"/>
      <c r="T61" s="686">
        <f t="shared" si="22"/>
        <v>181541404</v>
      </c>
      <c r="U61" s="695">
        <f t="shared" si="22"/>
        <v>213516704</v>
      </c>
      <c r="V61" s="695">
        <f t="shared" si="22"/>
        <v>229463159</v>
      </c>
      <c r="W61" s="686">
        <f t="shared" si="23"/>
        <v>0</v>
      </c>
      <c r="X61" s="686">
        <f t="shared" si="23"/>
        <v>0</v>
      </c>
      <c r="Y61" s="686">
        <f t="shared" si="23"/>
        <v>0</v>
      </c>
      <c r="Z61" s="686">
        <f t="shared" si="23"/>
        <v>0</v>
      </c>
      <c r="AA61" s="686">
        <f t="shared" si="23"/>
        <v>0</v>
      </c>
      <c r="AB61" s="686">
        <f t="shared" si="23"/>
        <v>0</v>
      </c>
      <c r="AC61" s="686">
        <f t="shared" si="23"/>
        <v>0</v>
      </c>
      <c r="AD61" s="686">
        <f t="shared" si="23"/>
        <v>0</v>
      </c>
      <c r="AE61" s="688"/>
      <c r="AF61" s="956"/>
      <c r="AG61" s="957"/>
      <c r="AH61" s="957"/>
      <c r="AI61" s="957"/>
      <c r="AJ61" s="957"/>
      <c r="AK61" s="957"/>
      <c r="AL61" s="957"/>
      <c r="AM61" s="957"/>
      <c r="AN61" s="957"/>
      <c r="AO61" s="957"/>
      <c r="AP61" s="957"/>
      <c r="AQ61" s="957"/>
      <c r="AR61" s="957"/>
      <c r="AS61" s="957"/>
      <c r="AT61" s="957"/>
      <c r="AU61" s="957"/>
      <c r="AV61" s="957"/>
      <c r="AW61" s="957"/>
      <c r="AX61" s="957"/>
      <c r="AY61" s="958"/>
    </row>
    <row r="62" spans="1:51" ht="15.75" customHeight="1" x14ac:dyDescent="0.25">
      <c r="A62" s="925"/>
      <c r="B62" s="925"/>
      <c r="C62" s="925"/>
      <c r="D62" s="101" t="s">
        <v>106</v>
      </c>
      <c r="E62" s="683">
        <f t="shared" ref="E62:E63" si="24">E58+E60</f>
        <v>1</v>
      </c>
      <c r="F62" s="683">
        <f t="shared" ref="F62:Q63" si="25">F32+F38+F44+F50+F56</f>
        <v>1</v>
      </c>
      <c r="G62" s="705">
        <f t="shared" si="25"/>
        <v>1</v>
      </c>
      <c r="H62" s="705">
        <f t="shared" si="25"/>
        <v>1</v>
      </c>
      <c r="I62" s="705">
        <f t="shared" si="25"/>
        <v>1</v>
      </c>
      <c r="J62" s="705">
        <f t="shared" si="25"/>
        <v>0</v>
      </c>
      <c r="K62" s="705">
        <f t="shared" si="25"/>
        <v>0</v>
      </c>
      <c r="L62" s="705">
        <f t="shared" si="25"/>
        <v>0.4</v>
      </c>
      <c r="M62" s="705">
        <f t="shared" si="25"/>
        <v>0.4</v>
      </c>
      <c r="N62" s="705">
        <f t="shared" si="25"/>
        <v>0.4</v>
      </c>
      <c r="O62" s="683">
        <f t="shared" si="25"/>
        <v>0.4</v>
      </c>
      <c r="P62" s="683">
        <f t="shared" si="25"/>
        <v>0.4</v>
      </c>
      <c r="Q62" s="683">
        <f t="shared" si="25"/>
        <v>1</v>
      </c>
      <c r="R62" s="688"/>
      <c r="S62" s="706"/>
      <c r="T62" s="683">
        <f t="shared" ref="T62:AD63" si="26">T32+T38+T44+T50+T56</f>
        <v>0</v>
      </c>
      <c r="U62" s="683">
        <f t="shared" si="26"/>
        <v>0.09</v>
      </c>
      <c r="V62" s="683">
        <f t="shared" si="26"/>
        <v>0.18</v>
      </c>
      <c r="W62" s="683">
        <f t="shared" si="26"/>
        <v>0</v>
      </c>
      <c r="X62" s="683">
        <f t="shared" si="26"/>
        <v>0</v>
      </c>
      <c r="Y62" s="683">
        <f t="shared" si="26"/>
        <v>0</v>
      </c>
      <c r="Z62" s="683">
        <f t="shared" si="26"/>
        <v>0</v>
      </c>
      <c r="AA62" s="683">
        <f t="shared" si="26"/>
        <v>0</v>
      </c>
      <c r="AB62" s="683">
        <f t="shared" si="26"/>
        <v>0</v>
      </c>
      <c r="AC62" s="683">
        <f t="shared" ref="AC62:AD62" si="27">AC58+AC60</f>
        <v>0</v>
      </c>
      <c r="AD62" s="683">
        <f t="shared" si="27"/>
        <v>0</v>
      </c>
      <c r="AE62" s="688"/>
      <c r="AF62" s="950"/>
      <c r="AG62" s="951"/>
      <c r="AH62" s="951"/>
      <c r="AI62" s="951"/>
      <c r="AJ62" s="951"/>
      <c r="AK62" s="951"/>
      <c r="AL62" s="951"/>
      <c r="AM62" s="951"/>
      <c r="AN62" s="951"/>
      <c r="AO62" s="951"/>
      <c r="AP62" s="951"/>
      <c r="AQ62" s="951"/>
      <c r="AR62" s="951"/>
      <c r="AS62" s="951"/>
      <c r="AT62" s="951"/>
      <c r="AU62" s="951"/>
      <c r="AV62" s="951"/>
      <c r="AW62" s="951"/>
      <c r="AX62" s="951"/>
      <c r="AY62" s="952"/>
    </row>
    <row r="63" spans="1:51" ht="15.75" customHeight="1" x14ac:dyDescent="0.25">
      <c r="A63" s="926"/>
      <c r="B63" s="926"/>
      <c r="C63" s="926"/>
      <c r="D63" s="103" t="s">
        <v>107</v>
      </c>
      <c r="E63" s="686">
        <f t="shared" si="24"/>
        <v>1208839051</v>
      </c>
      <c r="F63" s="686">
        <f t="shared" si="25"/>
        <v>1208839051</v>
      </c>
      <c r="G63" s="707">
        <f t="shared" si="25"/>
        <v>1208839051</v>
      </c>
      <c r="H63" s="707">
        <f t="shared" si="25"/>
        <v>967071240</v>
      </c>
      <c r="I63" s="707">
        <f>I33+I39+I45+I51+I57</f>
        <v>1208839051</v>
      </c>
      <c r="J63" s="707">
        <f t="shared" si="25"/>
        <v>0</v>
      </c>
      <c r="K63" s="707">
        <f t="shared" si="25"/>
        <v>0</v>
      </c>
      <c r="L63" s="707">
        <f t="shared" si="25"/>
        <v>0</v>
      </c>
      <c r="M63" s="707">
        <f t="shared" si="25"/>
        <v>0</v>
      </c>
      <c r="N63" s="688">
        <f t="shared" si="25"/>
        <v>0</v>
      </c>
      <c r="O63" s="686">
        <f t="shared" si="25"/>
        <v>0</v>
      </c>
      <c r="P63" s="686">
        <f t="shared" si="25"/>
        <v>0</v>
      </c>
      <c r="Q63" s="686">
        <f t="shared" si="25"/>
        <v>0</v>
      </c>
      <c r="R63" s="686"/>
      <c r="S63" s="706"/>
      <c r="T63" s="695">
        <f t="shared" si="26"/>
        <v>204222404</v>
      </c>
      <c r="U63" s="695">
        <f t="shared" si="26"/>
        <v>529017704</v>
      </c>
      <c r="V63" s="695">
        <f t="shared" si="26"/>
        <v>784537159</v>
      </c>
      <c r="W63" s="695">
        <f t="shared" si="26"/>
        <v>0</v>
      </c>
      <c r="X63" s="695">
        <f t="shared" si="26"/>
        <v>0</v>
      </c>
      <c r="Y63" s="695">
        <f t="shared" si="26"/>
        <v>0</v>
      </c>
      <c r="Z63" s="695">
        <f t="shared" si="26"/>
        <v>0</v>
      </c>
      <c r="AA63" s="695">
        <f t="shared" si="26"/>
        <v>0</v>
      </c>
      <c r="AB63" s="695">
        <f t="shared" si="26"/>
        <v>0</v>
      </c>
      <c r="AC63" s="695">
        <f t="shared" si="26"/>
        <v>0</v>
      </c>
      <c r="AD63" s="695">
        <f t="shared" si="26"/>
        <v>0</v>
      </c>
      <c r="AE63" s="688"/>
      <c r="AF63" s="956"/>
      <c r="AG63" s="957"/>
      <c r="AH63" s="957"/>
      <c r="AI63" s="957"/>
      <c r="AJ63" s="957"/>
      <c r="AK63" s="957"/>
      <c r="AL63" s="957"/>
      <c r="AM63" s="957"/>
      <c r="AN63" s="957"/>
      <c r="AO63" s="957"/>
      <c r="AP63" s="957"/>
      <c r="AQ63" s="957"/>
      <c r="AR63" s="957"/>
      <c r="AS63" s="957"/>
      <c r="AT63" s="957"/>
      <c r="AU63" s="957"/>
      <c r="AV63" s="957"/>
      <c r="AW63" s="957"/>
      <c r="AX63" s="957"/>
      <c r="AY63" s="958"/>
    </row>
    <row r="64" spans="1:51" ht="15.75" customHeight="1" x14ac:dyDescent="0.25">
      <c r="A64" s="961" t="s">
        <v>247</v>
      </c>
      <c r="B64" s="894"/>
      <c r="C64" s="895"/>
      <c r="D64" s="110" t="s">
        <v>248</v>
      </c>
      <c r="E64" s="111">
        <f t="shared" ref="E64:AD64" si="28">E47+E41+E35+E29+E23+E17+E11+E53</f>
        <v>39475813000</v>
      </c>
      <c r="F64" s="111">
        <f t="shared" si="28"/>
        <v>39475813000</v>
      </c>
      <c r="G64" s="111">
        <f>G47+G41+G35+G29+G23+G17+G11+G53</f>
        <v>39475813000</v>
      </c>
      <c r="H64" s="111">
        <f>H47+H41+H35+H29+H23+H17+H11+H53</f>
        <v>39475813000</v>
      </c>
      <c r="I64" s="111">
        <f t="shared" si="28"/>
        <v>39475813000</v>
      </c>
      <c r="J64" s="111">
        <f t="shared" si="28"/>
        <v>0</v>
      </c>
      <c r="K64" s="111">
        <f t="shared" si="28"/>
        <v>0</v>
      </c>
      <c r="L64" s="111">
        <f t="shared" si="28"/>
        <v>0</v>
      </c>
      <c r="M64" s="111">
        <f t="shared" si="28"/>
        <v>0</v>
      </c>
      <c r="N64" s="111">
        <f t="shared" si="28"/>
        <v>0</v>
      </c>
      <c r="O64" s="111">
        <f t="shared" si="28"/>
        <v>0</v>
      </c>
      <c r="P64" s="111">
        <f t="shared" si="28"/>
        <v>0</v>
      </c>
      <c r="Q64" s="111">
        <f t="shared" si="28"/>
        <v>0</v>
      </c>
      <c r="R64" s="111">
        <f t="shared" si="28"/>
        <v>0</v>
      </c>
      <c r="S64" s="111"/>
      <c r="T64" s="111">
        <f t="shared" si="28"/>
        <v>32089737544</v>
      </c>
      <c r="U64" s="111">
        <f>U47+U41+U35+U29+U23+U17+U11+U53</f>
        <v>34259087544</v>
      </c>
      <c r="V64" s="111">
        <f>V47+V41+V35+V29+V23+V17+V11+V53</f>
        <v>34861602544</v>
      </c>
      <c r="W64" s="111">
        <f t="shared" si="28"/>
        <v>0</v>
      </c>
      <c r="X64" s="111">
        <f t="shared" si="28"/>
        <v>0</v>
      </c>
      <c r="Y64" s="111">
        <f t="shared" si="28"/>
        <v>0</v>
      </c>
      <c r="Z64" s="111">
        <f t="shared" si="28"/>
        <v>0</v>
      </c>
      <c r="AA64" s="111">
        <f t="shared" si="28"/>
        <v>0</v>
      </c>
      <c r="AB64" s="111">
        <f t="shared" si="28"/>
        <v>0</v>
      </c>
      <c r="AC64" s="111">
        <f t="shared" si="28"/>
        <v>0</v>
      </c>
      <c r="AD64" s="111">
        <f t="shared" si="28"/>
        <v>0</v>
      </c>
      <c r="AE64" s="111">
        <f>AE47+AE41+AE35+AE29+AE23+AE17+AE11</f>
        <v>0</v>
      </c>
      <c r="AF64" s="111"/>
      <c r="AG64" s="112"/>
      <c r="AH64" s="112"/>
      <c r="AI64" s="112"/>
      <c r="AJ64" s="112"/>
      <c r="AK64" s="112"/>
      <c r="AL64" s="112"/>
      <c r="AM64" s="112"/>
      <c r="AN64" s="112"/>
      <c r="AO64" s="112"/>
      <c r="AP64" s="112"/>
      <c r="AQ64" s="112"/>
      <c r="AR64" s="112"/>
      <c r="AS64" s="112"/>
      <c r="AT64" s="112"/>
      <c r="AU64" s="112"/>
      <c r="AV64" s="112"/>
      <c r="AW64" s="112"/>
      <c r="AX64" s="112"/>
      <c r="AY64" s="112"/>
    </row>
    <row r="65" spans="1:51" ht="15.75" customHeight="1" x14ac:dyDescent="0.25">
      <c r="A65" s="962"/>
      <c r="B65" s="751"/>
      <c r="C65" s="963"/>
      <c r="D65" s="113" t="s">
        <v>249</v>
      </c>
      <c r="E65" s="114">
        <f>E13+E19+E25+E31+E37+E43+E49</f>
        <v>18496151952</v>
      </c>
      <c r="F65" s="114">
        <f>F13+F19+F25+F31+F37+F43+F49+F55</f>
        <v>18596303163</v>
      </c>
      <c r="G65" s="114">
        <f>G13+G19+G25+G61</f>
        <v>18596303163</v>
      </c>
      <c r="H65" s="114">
        <f>H13+H19+H25+H31+H37+H43+H49</f>
        <v>18496151952</v>
      </c>
      <c r="I65" s="114">
        <f t="shared" ref="I65:R65" si="29">I13+I19+I25+I61</f>
        <v>18596303163</v>
      </c>
      <c r="J65" s="114">
        <f t="shared" si="29"/>
        <v>0</v>
      </c>
      <c r="K65" s="114">
        <f t="shared" si="29"/>
        <v>0</v>
      </c>
      <c r="L65" s="114">
        <f t="shared" si="29"/>
        <v>0</v>
      </c>
      <c r="M65" s="114">
        <f t="shared" si="29"/>
        <v>0</v>
      </c>
      <c r="N65" s="114">
        <f t="shared" si="29"/>
        <v>0</v>
      </c>
      <c r="O65" s="114">
        <f t="shared" si="29"/>
        <v>0</v>
      </c>
      <c r="P65" s="114">
        <f t="shared" si="29"/>
        <v>0</v>
      </c>
      <c r="Q65" s="114">
        <f t="shared" si="29"/>
        <v>0</v>
      </c>
      <c r="R65" s="114">
        <f t="shared" si="29"/>
        <v>0</v>
      </c>
      <c r="S65" s="114"/>
      <c r="T65" s="114">
        <f t="shared" ref="T65:AD65" si="30">T13+T19+T25+T31+T37+T43+T49+T55</f>
        <v>7381246363</v>
      </c>
      <c r="U65" s="114">
        <f t="shared" si="30"/>
        <v>9455092471</v>
      </c>
      <c r="V65" s="114">
        <f t="shared" si="30"/>
        <v>9585483770.9999962</v>
      </c>
      <c r="W65" s="114">
        <f t="shared" si="30"/>
        <v>0</v>
      </c>
      <c r="X65" s="114">
        <f t="shared" si="30"/>
        <v>0</v>
      </c>
      <c r="Y65" s="114">
        <f t="shared" si="30"/>
        <v>0</v>
      </c>
      <c r="Z65" s="114">
        <f t="shared" si="30"/>
        <v>0</v>
      </c>
      <c r="AA65" s="114">
        <f t="shared" si="30"/>
        <v>0</v>
      </c>
      <c r="AB65" s="114">
        <f t="shared" si="30"/>
        <v>0</v>
      </c>
      <c r="AC65" s="114">
        <f t="shared" si="30"/>
        <v>0</v>
      </c>
      <c r="AD65" s="114">
        <f t="shared" si="30"/>
        <v>0</v>
      </c>
      <c r="AE65" s="114">
        <f>AE13+AE19+AE25+AE31+AE37+AE43+AE49</f>
        <v>0</v>
      </c>
      <c r="AF65" s="115"/>
      <c r="AG65" s="116"/>
      <c r="AH65" s="116"/>
      <c r="AI65" s="116"/>
      <c r="AJ65" s="116"/>
      <c r="AK65" s="116"/>
      <c r="AL65" s="116"/>
      <c r="AM65" s="116"/>
      <c r="AN65" s="116"/>
      <c r="AO65" s="116"/>
      <c r="AP65" s="116"/>
      <c r="AQ65" s="116"/>
      <c r="AR65" s="116"/>
      <c r="AS65" s="116"/>
      <c r="AT65" s="116"/>
      <c r="AU65" s="116"/>
      <c r="AV65" s="116"/>
      <c r="AW65" s="116"/>
      <c r="AX65" s="116"/>
      <c r="AY65" s="116"/>
    </row>
    <row r="66" spans="1:51" ht="15.75" customHeight="1" x14ac:dyDescent="0.25">
      <c r="A66" s="964"/>
      <c r="B66" s="916"/>
      <c r="C66" s="917"/>
      <c r="D66" s="110" t="s">
        <v>250</v>
      </c>
      <c r="E66" s="111">
        <f t="shared" ref="E66:AB66" si="31">E64+E65</f>
        <v>57971964952</v>
      </c>
      <c r="F66" s="111">
        <f t="shared" si="31"/>
        <v>58072116163</v>
      </c>
      <c r="G66" s="111">
        <f t="shared" si="31"/>
        <v>58072116163</v>
      </c>
      <c r="H66" s="111">
        <f t="shared" si="31"/>
        <v>57971964952</v>
      </c>
      <c r="I66" s="111">
        <f t="shared" si="31"/>
        <v>58072116163</v>
      </c>
      <c r="J66" s="111">
        <f t="shared" si="31"/>
        <v>0</v>
      </c>
      <c r="K66" s="111">
        <f t="shared" si="31"/>
        <v>0</v>
      </c>
      <c r="L66" s="111">
        <f t="shared" si="31"/>
        <v>0</v>
      </c>
      <c r="M66" s="111">
        <f t="shared" si="31"/>
        <v>0</v>
      </c>
      <c r="N66" s="111">
        <f t="shared" si="31"/>
        <v>0</v>
      </c>
      <c r="O66" s="111">
        <f t="shared" si="31"/>
        <v>0</v>
      </c>
      <c r="P66" s="111">
        <f t="shared" si="31"/>
        <v>0</v>
      </c>
      <c r="Q66" s="111">
        <f t="shared" si="31"/>
        <v>0</v>
      </c>
      <c r="R66" s="111">
        <f t="shared" si="31"/>
        <v>0</v>
      </c>
      <c r="S66" s="111"/>
      <c r="T66" s="111">
        <f t="shared" si="31"/>
        <v>39470983907</v>
      </c>
      <c r="U66" s="111">
        <f t="shared" si="31"/>
        <v>43714180015</v>
      </c>
      <c r="V66" s="111">
        <f t="shared" si="31"/>
        <v>44447086315</v>
      </c>
      <c r="W66" s="111">
        <f t="shared" si="31"/>
        <v>0</v>
      </c>
      <c r="X66" s="111">
        <f t="shared" si="31"/>
        <v>0</v>
      </c>
      <c r="Y66" s="111">
        <f t="shared" si="31"/>
        <v>0</v>
      </c>
      <c r="Z66" s="111">
        <f t="shared" si="31"/>
        <v>0</v>
      </c>
      <c r="AA66" s="111">
        <f t="shared" si="31"/>
        <v>0</v>
      </c>
      <c r="AB66" s="111">
        <f t="shared" si="31"/>
        <v>0</v>
      </c>
      <c r="AC66" s="111">
        <f t="shared" ref="AC66:AE66" si="32">+AC64+AC65</f>
        <v>0</v>
      </c>
      <c r="AD66" s="111">
        <f t="shared" si="32"/>
        <v>0</v>
      </c>
      <c r="AE66" s="111">
        <f t="shared" si="32"/>
        <v>0</v>
      </c>
      <c r="AF66" s="111"/>
      <c r="AG66" s="112"/>
      <c r="AH66" s="112"/>
      <c r="AI66" s="112"/>
      <c r="AJ66" s="112"/>
      <c r="AK66" s="112"/>
      <c r="AL66" s="112"/>
      <c r="AM66" s="112"/>
      <c r="AN66" s="112"/>
      <c r="AO66" s="112"/>
      <c r="AP66" s="112"/>
      <c r="AQ66" s="112"/>
      <c r="AR66" s="112"/>
      <c r="AS66" s="112"/>
      <c r="AT66" s="112"/>
      <c r="AU66" s="112"/>
      <c r="AV66" s="112"/>
      <c r="AW66" s="112"/>
      <c r="AX66" s="112"/>
      <c r="AY66" s="112"/>
    </row>
    <row r="67" spans="1:51" s="712" customFormat="1" ht="15.75" customHeight="1" x14ac:dyDescent="0.25">
      <c r="A67" s="708"/>
      <c r="B67" s="708"/>
      <c r="C67" s="708"/>
      <c r="D67" s="709"/>
      <c r="E67" s="710"/>
      <c r="F67" s="710"/>
      <c r="G67" s="710"/>
      <c r="H67" s="710"/>
      <c r="I67" s="710"/>
      <c r="J67" s="710"/>
      <c r="K67" s="710"/>
      <c r="L67" s="710"/>
      <c r="M67" s="710"/>
      <c r="N67" s="710"/>
      <c r="O67" s="710"/>
      <c r="P67" s="710"/>
      <c r="Q67" s="710"/>
      <c r="R67" s="710"/>
      <c r="S67" s="710"/>
      <c r="T67" s="710"/>
      <c r="U67" s="710"/>
      <c r="V67" s="710"/>
      <c r="W67" s="710"/>
      <c r="X67" s="710"/>
      <c r="Y67" s="710"/>
      <c r="Z67" s="710"/>
      <c r="AA67" s="710"/>
      <c r="AB67" s="710"/>
      <c r="AC67" s="710"/>
      <c r="AD67" s="710"/>
      <c r="AE67" s="710"/>
      <c r="AF67" s="710"/>
      <c r="AG67" s="711"/>
      <c r="AH67" s="711"/>
      <c r="AI67" s="711"/>
      <c r="AJ67" s="711"/>
      <c r="AK67" s="711"/>
      <c r="AL67" s="711"/>
      <c r="AM67" s="711"/>
      <c r="AN67" s="711"/>
      <c r="AO67" s="711"/>
      <c r="AP67" s="711"/>
      <c r="AQ67" s="711"/>
      <c r="AR67" s="711"/>
      <c r="AS67" s="711"/>
      <c r="AT67" s="711"/>
      <c r="AU67" s="711"/>
      <c r="AV67" s="711"/>
      <c r="AW67" s="711"/>
      <c r="AX67" s="711"/>
      <c r="AY67" s="711"/>
    </row>
    <row r="68" spans="1:51" s="712" customFormat="1" ht="15.75" customHeight="1" x14ac:dyDescent="0.25">
      <c r="A68" s="708"/>
      <c r="B68" s="708"/>
      <c r="C68" s="708"/>
      <c r="D68" s="709"/>
      <c r="E68" s="710"/>
      <c r="F68" s="710"/>
      <c r="G68" s="710"/>
      <c r="H68" s="710"/>
      <c r="I68" s="710"/>
      <c r="J68" s="710"/>
      <c r="K68" s="710"/>
      <c r="L68" s="710"/>
      <c r="M68" s="710"/>
      <c r="N68" s="710"/>
      <c r="O68" s="710"/>
      <c r="P68" s="710"/>
      <c r="Q68" s="710"/>
      <c r="R68" s="710"/>
      <c r="S68" s="710"/>
      <c r="T68" s="710"/>
      <c r="U68" s="710"/>
      <c r="V68" s="710"/>
      <c r="W68" s="710"/>
      <c r="X68" s="710"/>
      <c r="Y68" s="710"/>
      <c r="Z68" s="710"/>
      <c r="AA68" s="710"/>
      <c r="AB68" s="710"/>
      <c r="AC68" s="710"/>
      <c r="AD68" s="710"/>
      <c r="AE68" s="710"/>
      <c r="AF68" s="710"/>
      <c r="AG68" s="711"/>
      <c r="AH68" s="711"/>
      <c r="AI68" s="711"/>
      <c r="AJ68" s="711"/>
      <c r="AK68" s="711"/>
      <c r="AL68" s="711"/>
      <c r="AM68" s="711"/>
      <c r="AN68" s="711"/>
      <c r="AO68" s="711"/>
      <c r="AP68" s="711"/>
      <c r="AQ68" s="711"/>
      <c r="AR68" s="711"/>
      <c r="AS68" s="711"/>
      <c r="AT68" s="711"/>
      <c r="AU68" s="711"/>
      <c r="AV68" s="711"/>
      <c r="AW68" s="711"/>
      <c r="AX68" s="711"/>
      <c r="AY68" s="711"/>
    </row>
    <row r="69" spans="1:51" ht="15.75" customHeight="1" x14ac:dyDescent="0.25">
      <c r="A69" s="656"/>
      <c r="B69" s="656"/>
      <c r="C69" s="656"/>
      <c r="D69" s="656"/>
      <c r="E69" s="657"/>
      <c r="F69" s="658"/>
      <c r="G69" s="657"/>
      <c r="H69" s="657"/>
      <c r="I69" s="657"/>
      <c r="J69" s="657"/>
      <c r="K69" s="657"/>
      <c r="L69" s="657"/>
      <c r="M69" s="657">
        <v>0</v>
      </c>
      <c r="N69" s="657">
        <v>0</v>
      </c>
      <c r="O69" s="659"/>
      <c r="P69" s="657"/>
      <c r="Q69" s="657"/>
      <c r="R69" s="657"/>
      <c r="S69" s="657"/>
      <c r="T69" s="657"/>
      <c r="U69" s="657"/>
      <c r="V69" s="657"/>
      <c r="W69" s="657"/>
      <c r="X69" s="657"/>
      <c r="Y69" s="657"/>
      <c r="Z69" s="657"/>
      <c r="AA69" s="657"/>
      <c r="AB69" s="657"/>
      <c r="AC69" s="657"/>
      <c r="AD69" s="660"/>
      <c r="AE69" s="656"/>
      <c r="AF69" s="661"/>
      <c r="AG69" s="656"/>
      <c r="AH69" s="656"/>
      <c r="AI69" s="656"/>
      <c r="AJ69" s="656"/>
      <c r="AK69" s="656"/>
      <c r="AL69" s="656"/>
      <c r="AM69" s="656"/>
      <c r="AN69" s="656"/>
      <c r="AO69" s="656"/>
      <c r="AP69" s="662"/>
      <c r="AQ69" s="662"/>
      <c r="AR69" s="656"/>
      <c r="AS69" s="656"/>
      <c r="AT69" s="656"/>
      <c r="AU69" s="656"/>
      <c r="AV69" s="656"/>
      <c r="AW69" s="656"/>
      <c r="AX69" s="662"/>
    </row>
    <row r="70" spans="1:51" ht="15.75" customHeight="1" x14ac:dyDescent="0.25">
      <c r="A70" s="663"/>
      <c r="B70" s="663"/>
      <c r="C70" s="965" t="s">
        <v>80</v>
      </c>
      <c r="D70" s="966"/>
      <c r="E70" s="966"/>
      <c r="F70" s="966"/>
      <c r="G70" s="966"/>
      <c r="H70" s="966"/>
      <c r="I70" s="966"/>
      <c r="J70" s="966"/>
      <c r="K70" s="966"/>
      <c r="L70" s="966"/>
      <c r="M70" s="966"/>
      <c r="N70" s="966"/>
      <c r="O70" s="966"/>
      <c r="P70" s="966"/>
      <c r="Q70" s="966"/>
      <c r="R70" s="966"/>
      <c r="S70" s="966"/>
      <c r="T70" s="664"/>
      <c r="U70" s="665"/>
      <c r="V70" s="665"/>
      <c r="W70" s="663"/>
      <c r="X70" s="663"/>
      <c r="Y70" s="663"/>
      <c r="Z70" s="663"/>
      <c r="AA70" s="63"/>
      <c r="AB70" s="63"/>
      <c r="AC70" s="63"/>
      <c r="AD70" s="117"/>
      <c r="AE70" s="63"/>
      <c r="AF70" s="118"/>
      <c r="AG70" s="119"/>
      <c r="AH70" s="63"/>
      <c r="AI70" s="63"/>
      <c r="AJ70" s="63"/>
      <c r="AK70" s="63"/>
      <c r="AL70" s="63"/>
      <c r="AM70" s="63"/>
      <c r="AN70" s="63"/>
      <c r="AO70" s="63"/>
      <c r="AP70" s="63"/>
      <c r="AQ70" s="63"/>
      <c r="AR70" s="63"/>
      <c r="AS70" s="63"/>
      <c r="AT70" s="63"/>
      <c r="AU70" s="63"/>
      <c r="AV70" s="63"/>
      <c r="AW70" s="63"/>
      <c r="AX70" s="63"/>
      <c r="AY70" s="63"/>
    </row>
    <row r="71" spans="1:51" ht="26.25" customHeight="1" x14ac:dyDescent="0.25">
      <c r="A71" s="63"/>
      <c r="B71" s="32" t="s">
        <v>81</v>
      </c>
      <c r="C71" s="967" t="s">
        <v>82</v>
      </c>
      <c r="D71" s="739"/>
      <c r="E71" s="739"/>
      <c r="F71" s="739"/>
      <c r="G71" s="739"/>
      <c r="H71" s="739"/>
      <c r="I71" s="892"/>
      <c r="J71" s="968" t="s">
        <v>83</v>
      </c>
      <c r="K71" s="739"/>
      <c r="L71" s="739"/>
      <c r="M71" s="739"/>
      <c r="N71" s="739"/>
      <c r="O71" s="739"/>
      <c r="P71" s="892"/>
      <c r="Q71" s="664"/>
      <c r="R71" s="664"/>
      <c r="S71" s="664"/>
      <c r="T71" s="664"/>
      <c r="U71" s="666"/>
      <c r="V71" s="666"/>
      <c r="W71" s="663"/>
      <c r="X71" s="663"/>
      <c r="Y71" s="663"/>
      <c r="Z71" s="663"/>
      <c r="AA71" s="663"/>
      <c r="AB71" s="663"/>
      <c r="AC71" s="663"/>
      <c r="AD71" s="667"/>
      <c r="AE71" s="663"/>
      <c r="AF71" s="58"/>
      <c r="AG71" s="120"/>
      <c r="AH71" s="63"/>
      <c r="AI71" s="63"/>
      <c r="AJ71" s="63"/>
      <c r="AK71" s="63"/>
      <c r="AL71" s="63"/>
      <c r="AM71" s="63"/>
      <c r="AN71" s="63"/>
      <c r="AO71" s="63"/>
      <c r="AP71" s="63"/>
      <c r="AQ71" s="63"/>
      <c r="AR71" s="63"/>
      <c r="AS71" s="63"/>
      <c r="AT71" s="63"/>
      <c r="AU71" s="63"/>
      <c r="AV71" s="63"/>
      <c r="AW71" s="63"/>
      <c r="AX71" s="63"/>
      <c r="AY71" s="63"/>
    </row>
    <row r="72" spans="1:51" ht="38.25" customHeight="1" x14ac:dyDescent="0.25">
      <c r="A72" s="663"/>
      <c r="B72" s="34">
        <v>13</v>
      </c>
      <c r="C72" s="959" t="s">
        <v>161</v>
      </c>
      <c r="D72" s="739"/>
      <c r="E72" s="739"/>
      <c r="F72" s="739"/>
      <c r="G72" s="739"/>
      <c r="H72" s="739"/>
      <c r="I72" s="892"/>
      <c r="J72" s="959" t="s">
        <v>84</v>
      </c>
      <c r="K72" s="739"/>
      <c r="L72" s="739"/>
      <c r="M72" s="739"/>
      <c r="N72" s="739"/>
      <c r="O72" s="739"/>
      <c r="P72" s="892"/>
      <c r="Q72" s="664"/>
      <c r="R72" s="664"/>
      <c r="S72" s="664"/>
      <c r="T72" s="664"/>
      <c r="U72" s="668"/>
      <c r="V72" s="669"/>
      <c r="W72" s="663"/>
      <c r="X72" s="663"/>
      <c r="Y72" s="663"/>
      <c r="Z72" s="663"/>
      <c r="AA72" s="663"/>
      <c r="AB72" s="663"/>
      <c r="AC72" s="663"/>
      <c r="AD72" s="667"/>
      <c r="AE72" s="663"/>
      <c r="AF72" s="58"/>
      <c r="AG72" s="63"/>
      <c r="AH72" s="63"/>
      <c r="AI72" s="63"/>
      <c r="AJ72" s="63"/>
      <c r="AK72" s="63"/>
      <c r="AL72" s="63"/>
      <c r="AM72" s="63"/>
      <c r="AN72" s="63"/>
      <c r="AO72" s="63"/>
      <c r="AP72" s="63"/>
      <c r="AQ72" s="63"/>
      <c r="AR72" s="63"/>
      <c r="AS72" s="63"/>
      <c r="AT72" s="63"/>
      <c r="AU72" s="63"/>
      <c r="AV72" s="63"/>
      <c r="AW72" s="63"/>
      <c r="AX72" s="63"/>
      <c r="AY72" s="63"/>
    </row>
    <row r="73" spans="1:51" ht="26.25" customHeight="1" x14ac:dyDescent="0.25">
      <c r="A73" s="663"/>
      <c r="B73" s="34">
        <v>14</v>
      </c>
      <c r="C73" s="959" t="s">
        <v>85</v>
      </c>
      <c r="D73" s="739"/>
      <c r="E73" s="739"/>
      <c r="F73" s="739"/>
      <c r="G73" s="739"/>
      <c r="H73" s="739"/>
      <c r="I73" s="892"/>
      <c r="J73" s="960" t="s">
        <v>162</v>
      </c>
      <c r="K73" s="739"/>
      <c r="L73" s="739"/>
      <c r="M73" s="739"/>
      <c r="N73" s="739"/>
      <c r="O73" s="739"/>
      <c r="P73" s="892"/>
      <c r="Q73" s="664"/>
      <c r="R73" s="664"/>
      <c r="S73" s="664"/>
      <c r="T73" s="664"/>
      <c r="U73" s="664"/>
      <c r="V73" s="669"/>
      <c r="W73" s="663"/>
      <c r="X73" s="663"/>
      <c r="Y73" s="663"/>
      <c r="Z73" s="663"/>
      <c r="AA73" s="663"/>
      <c r="AB73" s="663"/>
      <c r="AC73" s="663"/>
      <c r="AD73" s="667"/>
      <c r="AE73" s="663"/>
      <c r="AF73" s="58"/>
      <c r="AG73" s="63"/>
      <c r="AH73" s="63"/>
      <c r="AI73" s="63"/>
      <c r="AJ73" s="63"/>
      <c r="AK73" s="63"/>
      <c r="AL73" s="63"/>
      <c r="AM73" s="63"/>
      <c r="AN73" s="63"/>
      <c r="AO73" s="63"/>
      <c r="AP73" s="63"/>
      <c r="AQ73" s="63"/>
      <c r="AR73" s="63"/>
      <c r="AS73" s="63"/>
      <c r="AT73" s="63"/>
      <c r="AU73" s="63"/>
      <c r="AV73" s="63"/>
      <c r="AW73" s="63"/>
      <c r="AX73" s="63"/>
      <c r="AY73" s="63"/>
    </row>
    <row r="74" spans="1:51" ht="15.75" customHeight="1" x14ac:dyDescent="0.25">
      <c r="A74" s="670"/>
      <c r="B74" s="670"/>
      <c r="C74" s="670"/>
      <c r="D74" s="670"/>
      <c r="E74" s="121"/>
      <c r="F74" s="121"/>
      <c r="G74" s="121"/>
      <c r="H74" s="121"/>
      <c r="I74" s="121"/>
      <c r="J74" s="121"/>
      <c r="K74" s="121"/>
      <c r="L74" s="121"/>
      <c r="M74" s="121"/>
      <c r="N74" s="121"/>
      <c r="O74" s="122"/>
      <c r="P74" s="121"/>
      <c r="Q74" s="121"/>
      <c r="R74" s="670"/>
      <c r="S74" s="670"/>
      <c r="T74" s="670"/>
      <c r="U74" s="670"/>
      <c r="V74" s="217"/>
      <c r="W74" s="670"/>
      <c r="X74" s="670"/>
      <c r="Y74" s="670"/>
      <c r="Z74" s="670"/>
      <c r="AA74" s="670"/>
      <c r="AB74" s="126"/>
      <c r="AC74" s="670"/>
      <c r="AD74" s="4"/>
      <c r="AE74" s="670"/>
      <c r="AF74" s="58"/>
      <c r="AG74" s="670"/>
      <c r="AH74" s="670"/>
      <c r="AI74" s="670"/>
      <c r="AJ74" s="670"/>
      <c r="AK74" s="670"/>
      <c r="AL74" s="670"/>
      <c r="AM74" s="670"/>
      <c r="AN74" s="670"/>
      <c r="AO74" s="670"/>
      <c r="AP74" s="670"/>
      <c r="AQ74" s="670"/>
      <c r="AR74" s="670"/>
      <c r="AS74" s="670"/>
      <c r="AT74" s="670"/>
      <c r="AU74" s="670"/>
      <c r="AV74" s="670"/>
      <c r="AW74" s="670"/>
      <c r="AX74" s="670"/>
    </row>
    <row r="75" spans="1:51" ht="15" customHeight="1" x14ac:dyDescent="0.25">
      <c r="A75" s="670"/>
      <c r="B75" s="670"/>
      <c r="C75" s="670"/>
      <c r="D75" s="670"/>
      <c r="E75" s="670"/>
      <c r="F75" s="3"/>
      <c r="G75" s="670"/>
      <c r="H75" s="670"/>
      <c r="I75" s="670"/>
      <c r="J75" s="670"/>
      <c r="K75" s="670"/>
      <c r="L75" s="670"/>
      <c r="M75" s="670"/>
      <c r="N75" s="670"/>
      <c r="O75" s="123"/>
      <c r="P75" s="670"/>
      <c r="Q75" s="670"/>
      <c r="R75" s="670"/>
      <c r="S75" s="670"/>
      <c r="T75" s="670"/>
      <c r="U75" s="670"/>
      <c r="V75" s="670"/>
      <c r="W75" s="670"/>
      <c r="X75" s="670"/>
      <c r="Y75" s="670"/>
      <c r="Z75" s="670"/>
      <c r="AA75" s="670"/>
      <c r="AB75" s="33"/>
      <c r="AC75" s="670"/>
      <c r="AD75" s="124"/>
      <c r="AE75" s="670"/>
      <c r="AF75" s="125"/>
      <c r="AG75" s="670"/>
      <c r="AH75" s="670"/>
      <c r="AI75" s="670"/>
      <c r="AJ75" s="670"/>
      <c r="AK75" s="670"/>
      <c r="AL75" s="670"/>
      <c r="AM75" s="670"/>
      <c r="AN75" s="670"/>
      <c r="AO75" s="670"/>
      <c r="AP75" s="670"/>
      <c r="AQ75" s="670"/>
      <c r="AR75" s="670"/>
      <c r="AS75" s="670"/>
      <c r="AT75" s="670"/>
      <c r="AU75" s="670"/>
      <c r="AV75" s="670"/>
      <c r="AW75" s="670"/>
      <c r="AX75" s="670"/>
    </row>
    <row r="76" spans="1:51" ht="15.75" customHeight="1" x14ac:dyDescent="0.25">
      <c r="A76" s="670"/>
      <c r="B76" s="670"/>
      <c r="C76" s="670"/>
      <c r="D76" s="670"/>
      <c r="E76" s="671"/>
      <c r="F76" s="28"/>
      <c r="G76" s="24"/>
      <c r="H76" s="102"/>
      <c r="I76" s="102"/>
      <c r="J76" s="102"/>
      <c r="K76" s="102"/>
      <c r="L76" s="102"/>
      <c r="M76" s="102"/>
      <c r="N76" s="102"/>
      <c r="O76" s="123"/>
      <c r="P76" s="24"/>
      <c r="Q76" s="102"/>
      <c r="R76" s="102"/>
      <c r="S76" s="102"/>
      <c r="T76" s="102"/>
      <c r="U76" s="102"/>
      <c r="V76" s="102"/>
      <c r="W76" s="102"/>
      <c r="X76" s="102"/>
      <c r="Y76" s="102"/>
      <c r="Z76" s="102"/>
      <c r="AA76" s="102"/>
      <c r="AC76" s="24"/>
      <c r="AD76" s="4"/>
      <c r="AE76" s="670"/>
      <c r="AF76" s="670"/>
      <c r="AG76" s="670"/>
      <c r="AH76" s="670"/>
      <c r="AI76" s="670"/>
      <c r="AJ76" s="670"/>
      <c r="AK76" s="670"/>
      <c r="AL76" s="670"/>
      <c r="AM76" s="670"/>
      <c r="AN76" s="670"/>
      <c r="AO76" s="670"/>
      <c r="AP76" s="670"/>
      <c r="AQ76" s="670"/>
      <c r="AR76" s="670"/>
      <c r="AS76" s="670"/>
      <c r="AT76" s="670"/>
      <c r="AU76" s="670"/>
      <c r="AV76" s="670"/>
      <c r="AW76" s="670"/>
      <c r="AX76" s="670"/>
    </row>
    <row r="77" spans="1:51" ht="15.75" customHeight="1" x14ac:dyDescent="0.25">
      <c r="A77" s="670"/>
      <c r="B77" s="670"/>
      <c r="C77" s="670"/>
      <c r="D77" s="670"/>
      <c r="E77" s="671"/>
      <c r="F77" s="21"/>
      <c r="G77" s="24"/>
      <c r="H77" s="672"/>
      <c r="I77" s="126"/>
      <c r="J77" s="670"/>
      <c r="K77" s="670"/>
      <c r="L77" s="670"/>
      <c r="M77" s="670"/>
      <c r="N77" s="217"/>
      <c r="O77" s="123"/>
      <c r="P77" s="24"/>
      <c r="Q77" s="670"/>
      <c r="R77" s="109"/>
      <c r="S77" s="670"/>
      <c r="T77" s="671"/>
      <c r="U77" s="217"/>
      <c r="V77" s="217"/>
      <c r="W77" s="670"/>
      <c r="X77" s="670"/>
      <c r="Y77" s="670"/>
      <c r="Z77" s="670"/>
      <c r="AA77" s="670"/>
      <c r="AB77" s="670"/>
      <c r="AC77" s="54"/>
      <c r="AD77" s="58"/>
      <c r="AE77" s="670"/>
      <c r="AF77" s="670"/>
      <c r="AG77" s="670"/>
      <c r="AH77" s="670"/>
      <c r="AI77" s="670"/>
      <c r="AJ77" s="670"/>
      <c r="AK77" s="670"/>
      <c r="AL77" s="670"/>
      <c r="AM77" s="670"/>
      <c r="AN77" s="670"/>
      <c r="AO77" s="670"/>
      <c r="AP77" s="670"/>
      <c r="AQ77" s="670"/>
      <c r="AR77" s="670"/>
      <c r="AS77" s="670"/>
      <c r="AT77" s="670"/>
      <c r="AU77" s="670"/>
      <c r="AV77" s="670"/>
      <c r="AW77" s="670"/>
      <c r="AX77" s="670"/>
    </row>
    <row r="78" spans="1:51" ht="15.75" customHeight="1" x14ac:dyDescent="0.25">
      <c r="A78" s="670"/>
      <c r="B78" s="670"/>
      <c r="C78" s="670"/>
      <c r="D78" s="670"/>
      <c r="E78" s="109"/>
      <c r="F78" s="21"/>
      <c r="G78" s="670"/>
      <c r="H78" s="672"/>
      <c r="I78" s="126"/>
      <c r="J78" s="670"/>
      <c r="K78" s="670"/>
      <c r="L78" s="670"/>
      <c r="M78" s="61"/>
      <c r="N78" s="670"/>
      <c r="O78" s="123"/>
      <c r="P78" s="670"/>
      <c r="Q78" s="670"/>
      <c r="R78" s="61"/>
      <c r="S78" s="670"/>
      <c r="T78" s="671"/>
      <c r="U78" s="670"/>
      <c r="V78" s="670"/>
      <c r="W78" s="670"/>
      <c r="X78" s="670"/>
      <c r="Y78" s="670"/>
      <c r="Z78" s="670"/>
      <c r="AA78" s="670"/>
      <c r="AB78" s="126"/>
      <c r="AC78" s="670"/>
      <c r="AD78" s="4"/>
      <c r="AE78" s="670"/>
      <c r="AF78" s="670"/>
      <c r="AG78" s="670"/>
      <c r="AH78" s="670"/>
      <c r="AI78" s="670"/>
      <c r="AJ78" s="670"/>
      <c r="AK78" s="670"/>
      <c r="AL78" s="670"/>
      <c r="AM78" s="670"/>
      <c r="AN78" s="670"/>
      <c r="AO78" s="670"/>
      <c r="AP78" s="670"/>
      <c r="AQ78" s="670"/>
      <c r="AR78" s="670"/>
      <c r="AS78" s="670"/>
      <c r="AT78" s="670"/>
      <c r="AU78" s="670"/>
      <c r="AV78" s="670"/>
      <c r="AW78" s="670"/>
      <c r="AX78" s="670"/>
    </row>
    <row r="79" spans="1:51" ht="15.75" customHeight="1" x14ac:dyDescent="0.25">
      <c r="A79" s="670"/>
      <c r="B79" s="670"/>
      <c r="C79" s="670"/>
      <c r="D79" s="670"/>
      <c r="E79" s="24"/>
      <c r="F79" s="3"/>
      <c r="G79" s="24"/>
      <c r="H79" s="107"/>
      <c r="I79" s="126"/>
      <c r="J79" s="670"/>
      <c r="K79" s="670"/>
      <c r="L79" s="670"/>
      <c r="M79" s="670"/>
      <c r="N79" s="670"/>
      <c r="O79" s="123"/>
      <c r="P79" s="670"/>
      <c r="Q79" s="24">
        <v>901344136</v>
      </c>
      <c r="R79" s="670"/>
      <c r="S79" s="670"/>
      <c r="T79" s="671"/>
      <c r="U79" s="670"/>
      <c r="V79" s="670"/>
      <c r="W79" s="670"/>
      <c r="X79" s="670"/>
      <c r="Y79" s="670"/>
      <c r="Z79" s="670"/>
      <c r="AA79" s="670"/>
      <c r="AB79" s="126"/>
      <c r="AC79" s="670"/>
      <c r="AD79" s="4"/>
      <c r="AE79" s="670"/>
      <c r="AF79" s="670"/>
      <c r="AG79" s="670"/>
      <c r="AH79" s="670"/>
      <c r="AI79" s="670"/>
      <c r="AJ79" s="670"/>
      <c r="AK79" s="670"/>
      <c r="AL79" s="670"/>
      <c r="AM79" s="670"/>
      <c r="AN79" s="670"/>
      <c r="AO79" s="670"/>
      <c r="AP79" s="670"/>
      <c r="AQ79" s="670"/>
      <c r="AR79" s="670"/>
      <c r="AS79" s="670"/>
      <c r="AT79" s="670"/>
      <c r="AU79" s="670"/>
      <c r="AV79" s="670"/>
      <c r="AW79" s="670"/>
      <c r="AX79" s="670"/>
    </row>
    <row r="80" spans="1:51" ht="15.75" customHeight="1" x14ac:dyDescent="0.25">
      <c r="A80" s="670"/>
      <c r="B80" s="670"/>
      <c r="C80" s="670"/>
      <c r="D80" s="670"/>
      <c r="E80" s="670"/>
      <c r="F80" s="3"/>
      <c r="G80" s="670"/>
      <c r="H80" s="670"/>
      <c r="I80" s="126"/>
      <c r="J80" s="670"/>
      <c r="K80" s="670"/>
      <c r="L80" s="670"/>
      <c r="M80" s="670"/>
      <c r="N80" s="670"/>
      <c r="O80" s="123"/>
      <c r="P80" s="670"/>
      <c r="Q80" s="24">
        <f>Q79/5</f>
        <v>180268827.19999999</v>
      </c>
      <c r="R80" s="670"/>
      <c r="S80" s="670"/>
      <c r="T80" s="671"/>
      <c r="U80" s="670"/>
      <c r="V80" s="670"/>
      <c r="W80" s="670"/>
      <c r="X80" s="670"/>
      <c r="Y80" s="670"/>
      <c r="Z80" s="670"/>
      <c r="AA80" s="670"/>
      <c r="AB80" s="126"/>
      <c r="AC80" s="670"/>
      <c r="AD80" s="4"/>
      <c r="AE80" s="670"/>
      <c r="AF80" s="670"/>
      <c r="AG80" s="670"/>
      <c r="AH80" s="670"/>
      <c r="AI80" s="670"/>
      <c r="AJ80" s="670"/>
      <c r="AK80" s="670"/>
      <c r="AL80" s="670"/>
      <c r="AM80" s="670"/>
      <c r="AN80" s="670"/>
      <c r="AO80" s="670"/>
      <c r="AP80" s="670"/>
      <c r="AQ80" s="670"/>
      <c r="AR80" s="670"/>
      <c r="AS80" s="670"/>
      <c r="AT80" s="670"/>
      <c r="AU80" s="670"/>
      <c r="AV80" s="670"/>
      <c r="AW80" s="670"/>
      <c r="AX80" s="670"/>
    </row>
    <row r="81" spans="1:50" ht="15.75" customHeight="1" x14ac:dyDescent="0.25">
      <c r="A81" s="670"/>
      <c r="B81" s="670"/>
      <c r="C81" s="670"/>
      <c r="D81" s="670"/>
      <c r="E81" s="24"/>
      <c r="F81" s="28"/>
      <c r="G81" s="109"/>
      <c r="H81" s="126"/>
      <c r="I81" s="126"/>
      <c r="J81" s="670"/>
      <c r="K81" s="670"/>
      <c r="L81" s="670"/>
      <c r="M81" s="670"/>
      <c r="N81" s="670"/>
      <c r="O81" s="123"/>
      <c r="P81" s="670"/>
      <c r="Q81" s="670"/>
      <c r="R81" s="670"/>
      <c r="S81" s="670"/>
      <c r="T81" s="670"/>
      <c r="U81" s="670"/>
      <c r="V81" s="670"/>
      <c r="W81" s="670"/>
      <c r="X81" s="670"/>
      <c r="Y81" s="670"/>
      <c r="Z81" s="670"/>
      <c r="AA81" s="670"/>
      <c r="AB81" s="670"/>
      <c r="AC81" s="670"/>
      <c r="AD81" s="4"/>
      <c r="AE81" s="670"/>
      <c r="AF81" s="670"/>
      <c r="AG81" s="670"/>
      <c r="AH81" s="670"/>
      <c r="AI81" s="670"/>
      <c r="AJ81" s="670"/>
      <c r="AK81" s="670"/>
      <c r="AL81" s="670"/>
      <c r="AM81" s="670"/>
      <c r="AN81" s="670"/>
      <c r="AO81" s="670"/>
      <c r="AP81" s="670"/>
      <c r="AQ81" s="670"/>
      <c r="AR81" s="670"/>
      <c r="AS81" s="670"/>
      <c r="AT81" s="670"/>
      <c r="AU81" s="670"/>
      <c r="AV81" s="670"/>
      <c r="AW81" s="670"/>
      <c r="AX81" s="670"/>
    </row>
    <row r="82" spans="1:50" ht="15.75" customHeight="1" x14ac:dyDescent="0.25">
      <c r="A82" s="670"/>
      <c r="B82" s="670"/>
      <c r="C82" s="670"/>
      <c r="D82" s="670"/>
      <c r="E82" s="670"/>
      <c r="F82" s="28"/>
      <c r="G82" s="24"/>
      <c r="H82" s="126"/>
      <c r="I82" s="126"/>
      <c r="J82" s="670"/>
      <c r="K82" s="670"/>
      <c r="L82" s="670"/>
      <c r="M82" s="670"/>
      <c r="N82" s="670"/>
      <c r="O82" s="123"/>
      <c r="P82" s="670"/>
      <c r="Q82" s="670"/>
      <c r="R82" s="670"/>
      <c r="S82" s="670"/>
      <c r="T82" s="670"/>
      <c r="U82" s="670"/>
      <c r="V82" s="670"/>
      <c r="W82" s="670"/>
      <c r="X82" s="670"/>
      <c r="Y82" s="670"/>
      <c r="Z82" s="670"/>
      <c r="AA82" s="670"/>
      <c r="AB82" s="670"/>
      <c r="AC82" s="670"/>
      <c r="AD82" s="4"/>
      <c r="AE82" s="670"/>
      <c r="AF82" s="670"/>
      <c r="AG82" s="670"/>
      <c r="AH82" s="670"/>
      <c r="AI82" s="670"/>
      <c r="AJ82" s="670"/>
      <c r="AK82" s="670"/>
      <c r="AL82" s="670"/>
      <c r="AM82" s="670"/>
      <c r="AN82" s="670"/>
      <c r="AO82" s="670"/>
      <c r="AP82" s="670"/>
      <c r="AQ82" s="670"/>
      <c r="AR82" s="670"/>
      <c r="AS82" s="670"/>
      <c r="AT82" s="670"/>
      <c r="AU82" s="670"/>
      <c r="AV82" s="670"/>
      <c r="AW82" s="670"/>
      <c r="AX82" s="670"/>
    </row>
    <row r="83" spans="1:50" ht="15.75" customHeight="1" x14ac:dyDescent="0.25">
      <c r="A83" s="670"/>
      <c r="B83" s="670"/>
      <c r="C83" s="670"/>
      <c r="D83" s="670"/>
      <c r="E83" s="670"/>
      <c r="F83" s="28"/>
      <c r="G83" s="24"/>
      <c r="H83" s="126"/>
      <c r="I83" s="126"/>
      <c r="J83" s="670"/>
      <c r="K83" s="670"/>
      <c r="L83" s="670"/>
      <c r="M83" s="670"/>
      <c r="N83" s="670"/>
      <c r="O83" s="123"/>
      <c r="P83" s="670"/>
      <c r="Q83" s="670"/>
      <c r="R83" s="670"/>
      <c r="S83" s="670"/>
      <c r="T83" s="670"/>
      <c r="U83" s="670"/>
      <c r="V83" s="670"/>
      <c r="W83" s="670"/>
      <c r="X83" s="670"/>
      <c r="Y83" s="670"/>
      <c r="Z83" s="670"/>
      <c r="AA83" s="670"/>
      <c r="AB83" s="670"/>
      <c r="AC83" s="670"/>
      <c r="AD83" s="4"/>
      <c r="AE83" s="670"/>
      <c r="AF83" s="670"/>
      <c r="AG83" s="670"/>
      <c r="AH83" s="670"/>
      <c r="AI83" s="670"/>
      <c r="AJ83" s="670"/>
      <c r="AK83" s="670"/>
      <c r="AL83" s="670"/>
      <c r="AM83" s="670"/>
      <c r="AN83" s="670"/>
      <c r="AO83" s="670"/>
      <c r="AP83" s="670"/>
      <c r="AQ83" s="670"/>
      <c r="AR83" s="670"/>
      <c r="AS83" s="670"/>
      <c r="AT83" s="670"/>
      <c r="AU83" s="670"/>
      <c r="AV83" s="670"/>
      <c r="AW83" s="670"/>
      <c r="AX83" s="670"/>
    </row>
    <row r="84" spans="1:50" ht="15.75" customHeight="1" x14ac:dyDescent="0.25">
      <c r="F84" s="3"/>
      <c r="I84" s="126"/>
      <c r="O84" s="123"/>
      <c r="R84" s="670"/>
      <c r="S84" s="670"/>
      <c r="T84" s="670"/>
      <c r="U84" s="670"/>
      <c r="V84" s="670"/>
      <c r="W84" s="670"/>
      <c r="X84" s="670"/>
      <c r="Y84" s="670"/>
      <c r="Z84" s="670"/>
      <c r="AA84" s="670"/>
      <c r="AB84" s="670"/>
      <c r="AC84" s="670"/>
      <c r="AD84" s="4"/>
    </row>
    <row r="85" spans="1:50" ht="15.75" customHeight="1" x14ac:dyDescent="0.25">
      <c r="F85" s="3"/>
      <c r="I85" s="126"/>
      <c r="O85" s="123"/>
      <c r="R85" s="670"/>
      <c r="S85" s="670"/>
      <c r="T85" s="670"/>
      <c r="U85" s="670"/>
      <c r="V85" s="670"/>
      <c r="W85" s="670"/>
      <c r="X85" s="670"/>
      <c r="Y85" s="670"/>
      <c r="Z85" s="670"/>
      <c r="AA85" s="670"/>
      <c r="AB85" s="670"/>
      <c r="AC85" s="670"/>
      <c r="AD85" s="4"/>
    </row>
    <row r="86" spans="1:50" ht="15.75" customHeight="1" x14ac:dyDescent="0.25">
      <c r="F86" s="3"/>
      <c r="I86" s="126"/>
      <c r="O86" s="123"/>
      <c r="R86" s="670"/>
      <c r="S86" s="670"/>
      <c r="T86" s="670"/>
      <c r="U86" s="670"/>
      <c r="V86" s="670"/>
      <c r="W86" s="670"/>
      <c r="X86" s="670"/>
      <c r="Y86" s="670"/>
      <c r="Z86" s="670"/>
      <c r="AA86" s="670"/>
      <c r="AB86" s="670"/>
      <c r="AC86" s="670"/>
      <c r="AD86" s="4"/>
    </row>
    <row r="87" spans="1:50" ht="15.75" customHeight="1" x14ac:dyDescent="0.25">
      <c r="F87" s="3"/>
      <c r="I87" s="126"/>
      <c r="O87" s="123"/>
      <c r="R87" s="670"/>
      <c r="S87" s="670"/>
      <c r="T87" s="670"/>
      <c r="U87" s="670"/>
      <c r="V87" s="670"/>
      <c r="W87" s="670"/>
      <c r="X87" s="670"/>
      <c r="Y87" s="670"/>
      <c r="Z87" s="670"/>
      <c r="AA87" s="670"/>
      <c r="AB87" s="670"/>
      <c r="AC87" s="670"/>
      <c r="AD87" s="4"/>
    </row>
    <row r="88" spans="1:50" ht="15.75" customHeight="1" x14ac:dyDescent="0.25">
      <c r="F88" s="3"/>
      <c r="O88" s="123"/>
      <c r="R88" s="670"/>
      <c r="S88" s="670"/>
      <c r="T88" s="670"/>
      <c r="U88" s="670"/>
      <c r="V88" s="670"/>
      <c r="W88" s="670"/>
      <c r="X88" s="670"/>
      <c r="Y88" s="670"/>
      <c r="Z88" s="670"/>
      <c r="AA88" s="670"/>
      <c r="AB88" s="670"/>
      <c r="AC88" s="670"/>
      <c r="AD88" s="4"/>
    </row>
    <row r="89" spans="1:50" ht="15.75" customHeight="1" x14ac:dyDescent="0.25">
      <c r="F89" s="3"/>
      <c r="O89" s="123"/>
      <c r="R89" s="670"/>
      <c r="S89" s="670"/>
      <c r="T89" s="670"/>
      <c r="U89" s="670"/>
      <c r="V89" s="670"/>
      <c r="W89" s="670"/>
      <c r="X89" s="670"/>
      <c r="Y89" s="670"/>
      <c r="Z89" s="670"/>
      <c r="AA89" s="670"/>
      <c r="AB89" s="670"/>
      <c r="AC89" s="670"/>
      <c r="AD89" s="4"/>
    </row>
    <row r="90" spans="1:50" ht="15.75" customHeight="1" x14ac:dyDescent="0.25">
      <c r="F90" s="3"/>
      <c r="O90" s="123"/>
      <c r="R90" s="670"/>
      <c r="S90" s="670"/>
      <c r="T90" s="670"/>
      <c r="U90" s="670"/>
      <c r="V90" s="670"/>
      <c r="W90" s="670"/>
      <c r="X90" s="670"/>
      <c r="Y90" s="670"/>
      <c r="Z90" s="670"/>
      <c r="AA90" s="670"/>
      <c r="AB90" s="670"/>
      <c r="AC90" s="670"/>
      <c r="AD90" s="4"/>
    </row>
    <row r="91" spans="1:50" ht="15.75" customHeight="1" x14ac:dyDescent="0.25">
      <c r="F91" s="3"/>
      <c r="O91" s="123"/>
      <c r="R91" s="670"/>
      <c r="S91" s="670"/>
      <c r="T91" s="670"/>
      <c r="U91" s="670"/>
      <c r="V91" s="670"/>
      <c r="W91" s="670"/>
      <c r="X91" s="670"/>
      <c r="Y91" s="670"/>
      <c r="Z91" s="670"/>
      <c r="AA91" s="670"/>
      <c r="AB91" s="670"/>
      <c r="AC91" s="670"/>
      <c r="AD91" s="4"/>
    </row>
    <row r="92" spans="1:50" ht="15.75" customHeight="1" x14ac:dyDescent="0.25">
      <c r="F92" s="3"/>
      <c r="O92" s="123"/>
      <c r="R92" s="670"/>
      <c r="S92" s="670"/>
      <c r="T92" s="670"/>
      <c r="U92" s="670"/>
      <c r="V92" s="670"/>
      <c r="W92" s="670"/>
      <c r="X92" s="670"/>
      <c r="Y92" s="670"/>
      <c r="Z92" s="670"/>
      <c r="AA92" s="670"/>
      <c r="AB92" s="670"/>
      <c r="AC92" s="670"/>
      <c r="AD92" s="4"/>
    </row>
    <row r="93" spans="1:50" ht="15.75" customHeight="1" x14ac:dyDescent="0.25">
      <c r="F93" s="3"/>
      <c r="O93" s="123"/>
      <c r="R93" s="670"/>
      <c r="S93" s="670"/>
      <c r="T93" s="670"/>
      <c r="U93" s="670"/>
      <c r="V93" s="670"/>
      <c r="W93" s="670"/>
      <c r="X93" s="670"/>
      <c r="Y93" s="670"/>
      <c r="Z93" s="670"/>
      <c r="AA93" s="670"/>
      <c r="AB93" s="670"/>
      <c r="AC93" s="670"/>
      <c r="AD93" s="4"/>
    </row>
    <row r="94" spans="1:50" ht="15.75" customHeight="1" x14ac:dyDescent="0.25">
      <c r="F94" s="3"/>
      <c r="O94" s="123"/>
      <c r="R94" s="670"/>
      <c r="S94" s="670"/>
      <c r="T94" s="670"/>
      <c r="U94" s="670"/>
      <c r="V94" s="670"/>
      <c r="W94" s="670"/>
      <c r="X94" s="670"/>
      <c r="Y94" s="670"/>
      <c r="Z94" s="670"/>
      <c r="AA94" s="670"/>
      <c r="AB94" s="670"/>
      <c r="AC94" s="670"/>
      <c r="AD94" s="4"/>
    </row>
    <row r="95" spans="1:50" ht="15.75" customHeight="1" x14ac:dyDescent="0.25">
      <c r="F95" s="3"/>
      <c r="O95" s="123"/>
      <c r="R95" s="670"/>
      <c r="S95" s="670"/>
      <c r="T95" s="670"/>
      <c r="U95" s="670"/>
      <c r="V95" s="670"/>
      <c r="W95" s="670"/>
      <c r="X95" s="670"/>
      <c r="Y95" s="670"/>
      <c r="Z95" s="670"/>
      <c r="AA95" s="670"/>
      <c r="AB95" s="670"/>
      <c r="AC95" s="670"/>
      <c r="AD95" s="4"/>
    </row>
    <row r="96" spans="1:50" ht="15.75" customHeight="1" x14ac:dyDescent="0.25">
      <c r="F96" s="3"/>
      <c r="O96" s="123"/>
      <c r="R96" s="670"/>
      <c r="S96" s="670"/>
      <c r="T96" s="670"/>
      <c r="U96" s="670"/>
      <c r="V96" s="670"/>
      <c r="W96" s="670"/>
      <c r="X96" s="670"/>
      <c r="Y96" s="670"/>
      <c r="Z96" s="670"/>
      <c r="AA96" s="670"/>
      <c r="AB96" s="670"/>
      <c r="AC96" s="670"/>
      <c r="AD96" s="4"/>
    </row>
    <row r="97" spans="6:30" ht="15.75" customHeight="1" x14ac:dyDescent="0.25">
      <c r="F97" s="3"/>
      <c r="O97" s="123"/>
      <c r="R97" s="670"/>
      <c r="S97" s="670"/>
      <c r="T97" s="670"/>
      <c r="U97" s="670"/>
      <c r="V97" s="670"/>
      <c r="W97" s="670"/>
      <c r="X97" s="670"/>
      <c r="Y97" s="670"/>
      <c r="Z97" s="670"/>
      <c r="AA97" s="670"/>
      <c r="AB97" s="670"/>
      <c r="AC97" s="670"/>
      <c r="AD97" s="4"/>
    </row>
    <row r="98" spans="6:30" ht="15.75" customHeight="1" x14ac:dyDescent="0.25">
      <c r="F98" s="3"/>
      <c r="O98" s="123"/>
      <c r="R98" s="670"/>
      <c r="S98" s="670"/>
      <c r="T98" s="670"/>
      <c r="U98" s="670"/>
      <c r="V98" s="670"/>
      <c r="W98" s="670"/>
      <c r="X98" s="670"/>
      <c r="Y98" s="670"/>
      <c r="Z98" s="670"/>
      <c r="AA98" s="670"/>
      <c r="AB98" s="670"/>
      <c r="AC98" s="670"/>
      <c r="AD98" s="4"/>
    </row>
    <row r="99" spans="6:30" ht="15.75" customHeight="1" x14ac:dyDescent="0.25">
      <c r="F99" s="3"/>
      <c r="O99" s="123"/>
      <c r="R99" s="670"/>
      <c r="S99" s="670"/>
      <c r="T99" s="670"/>
      <c r="U99" s="670"/>
      <c r="V99" s="670"/>
      <c r="W99" s="670"/>
      <c r="X99" s="670"/>
      <c r="Y99" s="670"/>
      <c r="Z99" s="670"/>
      <c r="AA99" s="670"/>
      <c r="AB99" s="670"/>
      <c r="AC99" s="670"/>
      <c r="AD99" s="4"/>
    </row>
    <row r="100" spans="6:30" ht="15.75" customHeight="1" x14ac:dyDescent="0.25">
      <c r="F100" s="3"/>
      <c r="O100" s="123"/>
      <c r="R100" s="670"/>
      <c r="S100" s="670"/>
      <c r="T100" s="670"/>
      <c r="U100" s="670"/>
      <c r="V100" s="670"/>
      <c r="W100" s="670"/>
      <c r="X100" s="670"/>
      <c r="Y100" s="670"/>
      <c r="Z100" s="670"/>
      <c r="AA100" s="670"/>
      <c r="AB100" s="670"/>
      <c r="AC100" s="670"/>
      <c r="AD100" s="4"/>
    </row>
    <row r="101" spans="6:30" ht="15.75" customHeight="1" x14ac:dyDescent="0.25">
      <c r="F101" s="3"/>
      <c r="O101" s="123"/>
      <c r="R101" s="670"/>
      <c r="S101" s="670"/>
      <c r="T101" s="670"/>
      <c r="U101" s="670"/>
      <c r="V101" s="670"/>
      <c r="W101" s="670"/>
      <c r="X101" s="670"/>
      <c r="Y101" s="670"/>
      <c r="Z101" s="670"/>
      <c r="AA101" s="670"/>
      <c r="AB101" s="670"/>
      <c r="AC101" s="670"/>
      <c r="AD101" s="4"/>
    </row>
    <row r="102" spans="6:30" ht="15.75" customHeight="1" x14ac:dyDescent="0.25">
      <c r="F102" s="3"/>
      <c r="O102" s="123"/>
      <c r="R102" s="670"/>
      <c r="S102" s="670"/>
      <c r="T102" s="670"/>
      <c r="U102" s="670"/>
      <c r="V102" s="670"/>
      <c r="W102" s="670"/>
      <c r="X102" s="670"/>
      <c r="Y102" s="670"/>
      <c r="Z102" s="670"/>
      <c r="AA102" s="670"/>
      <c r="AB102" s="670"/>
      <c r="AC102" s="670"/>
      <c r="AD102" s="4"/>
    </row>
    <row r="103" spans="6:30" ht="15.75" customHeight="1" x14ac:dyDescent="0.25">
      <c r="F103" s="3"/>
      <c r="O103" s="123"/>
      <c r="R103" s="670"/>
      <c r="S103" s="670"/>
      <c r="T103" s="670"/>
      <c r="U103" s="670"/>
      <c r="V103" s="670"/>
      <c r="W103" s="670"/>
      <c r="X103" s="670"/>
      <c r="Y103" s="670"/>
      <c r="Z103" s="670"/>
      <c r="AA103" s="670"/>
      <c r="AB103" s="670"/>
      <c r="AC103" s="670"/>
      <c r="AD103" s="4"/>
    </row>
    <row r="104" spans="6:30" ht="15.75" customHeight="1" x14ac:dyDescent="0.25">
      <c r="F104" s="3"/>
      <c r="O104" s="123"/>
      <c r="R104" s="670"/>
      <c r="S104" s="670"/>
      <c r="T104" s="670"/>
      <c r="U104" s="670"/>
      <c r="V104" s="670"/>
      <c r="W104" s="670"/>
      <c r="X104" s="670"/>
      <c r="Y104" s="670"/>
      <c r="Z104" s="670"/>
      <c r="AA104" s="670"/>
      <c r="AB104" s="670"/>
      <c r="AC104" s="670"/>
      <c r="AD104" s="4"/>
    </row>
    <row r="105" spans="6:30" ht="15.75" customHeight="1" x14ac:dyDescent="0.25">
      <c r="F105" s="3"/>
      <c r="O105" s="123"/>
      <c r="R105" s="670"/>
      <c r="S105" s="670"/>
      <c r="T105" s="670"/>
      <c r="U105" s="670"/>
      <c r="V105" s="670"/>
      <c r="W105" s="670"/>
      <c r="X105" s="670"/>
      <c r="Y105" s="670"/>
      <c r="Z105" s="670"/>
      <c r="AA105" s="670"/>
      <c r="AB105" s="670"/>
      <c r="AC105" s="670"/>
      <c r="AD105" s="4"/>
    </row>
    <row r="106" spans="6:30" ht="15.75" customHeight="1" x14ac:dyDescent="0.25">
      <c r="F106" s="3"/>
      <c r="O106" s="123"/>
      <c r="R106" s="670"/>
      <c r="S106" s="670"/>
      <c r="T106" s="670"/>
      <c r="U106" s="670"/>
      <c r="V106" s="670"/>
      <c r="W106" s="670"/>
      <c r="X106" s="670"/>
      <c r="Y106" s="670"/>
      <c r="Z106" s="670"/>
      <c r="AA106" s="670"/>
      <c r="AB106" s="670"/>
      <c r="AC106" s="670"/>
      <c r="AD106" s="4"/>
    </row>
    <row r="107" spans="6:30" ht="15.75" customHeight="1" x14ac:dyDescent="0.25">
      <c r="F107" s="3"/>
      <c r="O107" s="123"/>
      <c r="R107" s="670"/>
      <c r="S107" s="670"/>
      <c r="T107" s="670"/>
      <c r="U107" s="670"/>
      <c r="V107" s="670"/>
      <c r="W107" s="670"/>
      <c r="X107" s="670"/>
      <c r="Y107" s="670"/>
      <c r="Z107" s="670"/>
      <c r="AA107" s="670"/>
      <c r="AB107" s="670"/>
      <c r="AC107" s="670"/>
      <c r="AD107" s="4"/>
    </row>
    <row r="108" spans="6:30" ht="15.75" customHeight="1" x14ac:dyDescent="0.25">
      <c r="F108" s="3"/>
      <c r="O108" s="123"/>
      <c r="R108" s="670"/>
      <c r="S108" s="670"/>
      <c r="T108" s="670"/>
      <c r="U108" s="670"/>
      <c r="V108" s="670"/>
      <c r="W108" s="670"/>
      <c r="X108" s="670"/>
      <c r="Y108" s="670"/>
      <c r="Z108" s="670"/>
      <c r="AA108" s="670"/>
      <c r="AB108" s="670"/>
      <c r="AC108" s="670"/>
      <c r="AD108" s="4"/>
    </row>
    <row r="109" spans="6:30" ht="15.75" customHeight="1" x14ac:dyDescent="0.25">
      <c r="F109" s="3"/>
      <c r="O109" s="123"/>
      <c r="R109" s="670"/>
      <c r="S109" s="670"/>
      <c r="T109" s="670"/>
      <c r="U109" s="670"/>
      <c r="V109" s="670"/>
      <c r="W109" s="670"/>
      <c r="X109" s="670"/>
      <c r="Y109" s="670"/>
      <c r="Z109" s="670"/>
      <c r="AA109" s="670"/>
      <c r="AB109" s="670"/>
      <c r="AC109" s="670"/>
      <c r="AD109" s="4"/>
    </row>
    <row r="110" spans="6:30" ht="15.75" customHeight="1" x14ac:dyDescent="0.25">
      <c r="F110" s="3"/>
      <c r="O110" s="123"/>
      <c r="R110" s="670"/>
      <c r="S110" s="670"/>
      <c r="T110" s="670"/>
      <c r="U110" s="670"/>
      <c r="V110" s="670"/>
      <c r="W110" s="670"/>
      <c r="X110" s="670"/>
      <c r="Y110" s="670"/>
      <c r="Z110" s="670"/>
      <c r="AA110" s="670"/>
      <c r="AB110" s="670"/>
      <c r="AC110" s="670"/>
      <c r="AD110" s="4"/>
    </row>
    <row r="111" spans="6:30" ht="15.75" customHeight="1" x14ac:dyDescent="0.25">
      <c r="F111" s="3"/>
      <c r="O111" s="123"/>
      <c r="R111" s="670"/>
      <c r="S111" s="670"/>
      <c r="T111" s="670"/>
      <c r="U111" s="670"/>
      <c r="V111" s="670"/>
      <c r="W111" s="670"/>
      <c r="X111" s="670"/>
      <c r="Y111" s="670"/>
      <c r="Z111" s="670"/>
      <c r="AA111" s="670"/>
      <c r="AB111" s="670"/>
      <c r="AC111" s="670"/>
      <c r="AD111" s="4"/>
    </row>
    <row r="112" spans="6:30" ht="15.75" customHeight="1" x14ac:dyDescent="0.25">
      <c r="F112" s="3"/>
      <c r="O112" s="123"/>
      <c r="R112" s="670"/>
      <c r="S112" s="670"/>
      <c r="T112" s="670"/>
      <c r="U112" s="670"/>
      <c r="V112" s="670"/>
      <c r="W112" s="670"/>
      <c r="X112" s="670"/>
      <c r="Y112" s="670"/>
      <c r="Z112" s="670"/>
      <c r="AA112" s="670"/>
      <c r="AB112" s="670"/>
      <c r="AC112" s="670"/>
      <c r="AD112" s="4"/>
    </row>
    <row r="113" spans="6:30" ht="15.75" customHeight="1" x14ac:dyDescent="0.25">
      <c r="F113" s="3"/>
      <c r="O113" s="123"/>
      <c r="R113" s="670"/>
      <c r="S113" s="670"/>
      <c r="T113" s="670"/>
      <c r="U113" s="670"/>
      <c r="V113" s="670"/>
      <c r="W113" s="670"/>
      <c r="X113" s="670"/>
      <c r="Y113" s="670"/>
      <c r="Z113" s="670"/>
      <c r="AA113" s="670"/>
      <c r="AB113" s="670"/>
      <c r="AC113" s="670"/>
      <c r="AD113" s="4"/>
    </row>
    <row r="114" spans="6:30" ht="15.75" customHeight="1" x14ac:dyDescent="0.25">
      <c r="F114" s="3"/>
      <c r="O114" s="123"/>
      <c r="R114" s="670"/>
      <c r="S114" s="670"/>
      <c r="T114" s="670"/>
      <c r="U114" s="670"/>
      <c r="V114" s="670"/>
      <c r="W114" s="670"/>
      <c r="X114" s="670"/>
      <c r="Y114" s="670"/>
      <c r="Z114" s="670"/>
      <c r="AA114" s="670"/>
      <c r="AB114" s="670"/>
      <c r="AC114" s="670"/>
      <c r="AD114" s="4"/>
    </row>
    <row r="115" spans="6:30" ht="15.75" customHeight="1" x14ac:dyDescent="0.25">
      <c r="F115" s="3"/>
      <c r="O115" s="123"/>
      <c r="R115" s="670"/>
      <c r="S115" s="670"/>
      <c r="T115" s="670"/>
      <c r="U115" s="670"/>
      <c r="V115" s="670"/>
      <c r="W115" s="670"/>
      <c r="X115" s="670"/>
      <c r="Y115" s="670"/>
      <c r="Z115" s="670"/>
      <c r="AA115" s="670"/>
      <c r="AB115" s="670"/>
      <c r="AC115" s="670"/>
      <c r="AD115" s="4"/>
    </row>
    <row r="116" spans="6:30" ht="15.75" customHeight="1" x14ac:dyDescent="0.25">
      <c r="F116" s="3"/>
      <c r="O116" s="123"/>
      <c r="R116" s="670"/>
      <c r="S116" s="670"/>
      <c r="T116" s="670"/>
      <c r="U116" s="670"/>
      <c r="V116" s="670"/>
      <c r="W116" s="670"/>
      <c r="X116" s="670"/>
      <c r="Y116" s="670"/>
      <c r="Z116" s="670"/>
      <c r="AA116" s="670"/>
      <c r="AB116" s="670"/>
      <c r="AC116" s="670"/>
      <c r="AD116" s="4"/>
    </row>
    <row r="117" spans="6:30" ht="15.75" customHeight="1" x14ac:dyDescent="0.25">
      <c r="F117" s="3"/>
      <c r="O117" s="123"/>
      <c r="R117" s="670"/>
      <c r="S117" s="670"/>
      <c r="T117" s="670"/>
      <c r="U117" s="670"/>
      <c r="V117" s="670"/>
      <c r="W117" s="670"/>
      <c r="X117" s="670"/>
      <c r="Y117" s="670"/>
      <c r="Z117" s="670"/>
      <c r="AA117" s="670"/>
      <c r="AB117" s="670"/>
      <c r="AC117" s="670"/>
      <c r="AD117" s="4"/>
    </row>
    <row r="118" spans="6:30" ht="15.75" customHeight="1" x14ac:dyDescent="0.25">
      <c r="F118" s="3"/>
      <c r="O118" s="123"/>
      <c r="R118" s="670"/>
      <c r="S118" s="670"/>
      <c r="T118" s="670"/>
      <c r="U118" s="670"/>
      <c r="V118" s="670"/>
      <c r="W118" s="670"/>
      <c r="X118" s="670"/>
      <c r="Y118" s="670"/>
      <c r="Z118" s="670"/>
      <c r="AA118" s="670"/>
      <c r="AB118" s="670"/>
      <c r="AC118" s="670"/>
      <c r="AD118" s="4"/>
    </row>
    <row r="119" spans="6:30" ht="15.75" customHeight="1" x14ac:dyDescent="0.25">
      <c r="F119" s="3"/>
      <c r="O119" s="123"/>
      <c r="R119" s="670"/>
      <c r="S119" s="670"/>
      <c r="T119" s="670"/>
      <c r="U119" s="670"/>
      <c r="V119" s="670"/>
      <c r="W119" s="670"/>
      <c r="X119" s="670"/>
      <c r="Y119" s="670"/>
      <c r="Z119" s="670"/>
      <c r="AA119" s="670"/>
      <c r="AB119" s="670"/>
      <c r="AC119" s="670"/>
      <c r="AD119" s="4"/>
    </row>
    <row r="120" spans="6:30" ht="15.75" customHeight="1" x14ac:dyDescent="0.25">
      <c r="F120" s="3"/>
      <c r="O120" s="123"/>
      <c r="R120" s="670"/>
      <c r="S120" s="670"/>
      <c r="T120" s="670"/>
      <c r="U120" s="670"/>
      <c r="V120" s="670"/>
      <c r="W120" s="670"/>
      <c r="X120" s="670"/>
      <c r="Y120" s="670"/>
      <c r="Z120" s="670"/>
      <c r="AA120" s="670"/>
      <c r="AB120" s="670"/>
      <c r="AC120" s="670"/>
      <c r="AD120" s="4"/>
    </row>
    <row r="121" spans="6:30" ht="15.75" customHeight="1" x14ac:dyDescent="0.25">
      <c r="F121" s="3"/>
      <c r="O121" s="123"/>
      <c r="R121" s="670"/>
      <c r="S121" s="670"/>
      <c r="T121" s="670"/>
      <c r="U121" s="670"/>
      <c r="V121" s="670"/>
      <c r="W121" s="670"/>
      <c r="X121" s="670"/>
      <c r="Y121" s="670"/>
      <c r="Z121" s="670"/>
      <c r="AA121" s="670"/>
      <c r="AB121" s="670"/>
      <c r="AC121" s="670"/>
      <c r="AD121" s="4"/>
    </row>
    <row r="122" spans="6:30" ht="15.75" customHeight="1" x14ac:dyDescent="0.25">
      <c r="F122" s="3"/>
      <c r="O122" s="123"/>
      <c r="R122" s="670"/>
      <c r="S122" s="670"/>
      <c r="T122" s="670"/>
      <c r="U122" s="670"/>
      <c r="V122" s="670"/>
      <c r="W122" s="670"/>
      <c r="X122" s="670"/>
      <c r="Y122" s="670"/>
      <c r="Z122" s="670"/>
      <c r="AA122" s="670"/>
      <c r="AB122" s="670"/>
      <c r="AC122" s="670"/>
      <c r="AD122" s="4"/>
    </row>
    <row r="123" spans="6:30" ht="15.75" customHeight="1" x14ac:dyDescent="0.25">
      <c r="F123" s="3"/>
      <c r="O123" s="123"/>
      <c r="R123" s="670"/>
      <c r="S123" s="670"/>
      <c r="T123" s="670"/>
      <c r="U123" s="670"/>
      <c r="V123" s="670"/>
      <c r="W123" s="670"/>
      <c r="X123" s="670"/>
      <c r="Y123" s="670"/>
      <c r="Z123" s="670"/>
      <c r="AA123" s="670"/>
      <c r="AB123" s="670"/>
      <c r="AC123" s="670"/>
      <c r="AD123" s="4"/>
    </row>
    <row r="124" spans="6:30" ht="15.75" customHeight="1" x14ac:dyDescent="0.25">
      <c r="F124" s="3"/>
      <c r="O124" s="123"/>
      <c r="R124" s="670"/>
      <c r="S124" s="670"/>
      <c r="T124" s="670"/>
      <c r="U124" s="670"/>
      <c r="V124" s="670"/>
      <c r="W124" s="670"/>
      <c r="X124" s="670"/>
      <c r="Y124" s="670"/>
      <c r="Z124" s="670"/>
      <c r="AA124" s="670"/>
      <c r="AB124" s="670"/>
      <c r="AC124" s="670"/>
      <c r="AD124" s="4"/>
    </row>
    <row r="125" spans="6:30" ht="15.75" customHeight="1" x14ac:dyDescent="0.25">
      <c r="F125" s="3"/>
      <c r="O125" s="123"/>
      <c r="R125" s="670"/>
      <c r="S125" s="670"/>
      <c r="T125" s="670"/>
      <c r="U125" s="670"/>
      <c r="V125" s="670"/>
      <c r="W125" s="670"/>
      <c r="X125" s="670"/>
      <c r="Y125" s="670"/>
      <c r="Z125" s="670"/>
      <c r="AA125" s="670"/>
      <c r="AB125" s="670"/>
      <c r="AC125" s="670"/>
      <c r="AD125" s="4"/>
    </row>
    <row r="126" spans="6:30" ht="15.75" customHeight="1" x14ac:dyDescent="0.25">
      <c r="F126" s="3"/>
      <c r="O126" s="123"/>
      <c r="R126" s="670"/>
      <c r="S126" s="670"/>
      <c r="T126" s="670"/>
      <c r="U126" s="670"/>
      <c r="V126" s="670"/>
      <c r="W126" s="670"/>
      <c r="X126" s="670"/>
      <c r="Y126" s="670"/>
      <c r="Z126" s="670"/>
      <c r="AA126" s="670"/>
      <c r="AB126" s="670"/>
      <c r="AC126" s="670"/>
      <c r="AD126" s="4"/>
    </row>
    <row r="127" spans="6:30" ht="15.75" customHeight="1" x14ac:dyDescent="0.25">
      <c r="F127" s="3"/>
      <c r="O127" s="123"/>
      <c r="R127" s="670"/>
      <c r="S127" s="670"/>
      <c r="T127" s="670"/>
      <c r="U127" s="670"/>
      <c r="V127" s="670"/>
      <c r="W127" s="670"/>
      <c r="X127" s="670"/>
      <c r="Y127" s="670"/>
      <c r="Z127" s="670"/>
      <c r="AA127" s="670"/>
      <c r="AB127" s="670"/>
      <c r="AC127" s="670"/>
      <c r="AD127" s="4"/>
    </row>
    <row r="128" spans="6:30" ht="15.75" customHeight="1" x14ac:dyDescent="0.25">
      <c r="F128" s="3"/>
      <c r="O128" s="123"/>
      <c r="R128" s="670"/>
      <c r="S128" s="670"/>
      <c r="T128" s="670"/>
      <c r="U128" s="670"/>
      <c r="V128" s="670"/>
      <c r="W128" s="670"/>
      <c r="X128" s="670"/>
      <c r="Y128" s="670"/>
      <c r="Z128" s="670"/>
      <c r="AA128" s="670"/>
      <c r="AB128" s="670"/>
      <c r="AC128" s="670"/>
      <c r="AD128" s="4"/>
    </row>
    <row r="129" spans="6:30" ht="15.75" customHeight="1" x14ac:dyDescent="0.25">
      <c r="F129" s="3"/>
      <c r="O129" s="123"/>
      <c r="R129" s="670"/>
      <c r="S129" s="670"/>
      <c r="T129" s="670"/>
      <c r="U129" s="670"/>
      <c r="V129" s="670"/>
      <c r="W129" s="670"/>
      <c r="X129" s="670"/>
      <c r="Y129" s="670"/>
      <c r="Z129" s="670"/>
      <c r="AA129" s="670"/>
      <c r="AB129" s="670"/>
      <c r="AC129" s="670"/>
      <c r="AD129" s="4"/>
    </row>
    <row r="130" spans="6:30" ht="15.75" customHeight="1" x14ac:dyDescent="0.25">
      <c r="F130" s="3"/>
      <c r="O130" s="123"/>
      <c r="R130" s="670"/>
      <c r="S130" s="670"/>
      <c r="T130" s="670"/>
      <c r="U130" s="670"/>
      <c r="V130" s="670"/>
      <c r="W130" s="670"/>
      <c r="X130" s="670"/>
      <c r="Y130" s="670"/>
      <c r="Z130" s="670"/>
      <c r="AA130" s="670"/>
      <c r="AB130" s="670"/>
      <c r="AC130" s="670"/>
      <c r="AD130" s="4"/>
    </row>
    <row r="131" spans="6:30" ht="15.75" customHeight="1" x14ac:dyDescent="0.25">
      <c r="F131" s="3"/>
      <c r="O131" s="123"/>
      <c r="R131" s="670"/>
      <c r="S131" s="670"/>
      <c r="T131" s="670"/>
      <c r="U131" s="670"/>
      <c r="V131" s="670"/>
      <c r="W131" s="670"/>
      <c r="X131" s="670"/>
      <c r="Y131" s="670"/>
      <c r="Z131" s="670"/>
      <c r="AA131" s="670"/>
      <c r="AB131" s="670"/>
      <c r="AC131" s="670"/>
      <c r="AD131" s="4"/>
    </row>
    <row r="132" spans="6:30" ht="15.75" customHeight="1" x14ac:dyDescent="0.25">
      <c r="F132" s="3"/>
      <c r="O132" s="123"/>
      <c r="R132" s="670"/>
      <c r="S132" s="670"/>
      <c r="T132" s="670"/>
      <c r="U132" s="670"/>
      <c r="V132" s="670"/>
      <c r="W132" s="670"/>
      <c r="X132" s="670"/>
      <c r="Y132" s="670"/>
      <c r="Z132" s="670"/>
      <c r="AA132" s="670"/>
      <c r="AB132" s="670"/>
      <c r="AC132" s="670"/>
      <c r="AD132" s="4"/>
    </row>
    <row r="133" spans="6:30" ht="15.75" customHeight="1" x14ac:dyDescent="0.25">
      <c r="F133" s="3"/>
      <c r="O133" s="123"/>
      <c r="R133" s="670"/>
      <c r="S133" s="670"/>
      <c r="T133" s="670"/>
      <c r="U133" s="670"/>
      <c r="V133" s="670"/>
      <c r="W133" s="670"/>
      <c r="X133" s="670"/>
      <c r="Y133" s="670"/>
      <c r="Z133" s="670"/>
      <c r="AA133" s="670"/>
      <c r="AB133" s="670"/>
      <c r="AC133" s="670"/>
      <c r="AD133" s="4"/>
    </row>
    <row r="134" spans="6:30" ht="15.75" customHeight="1" x14ac:dyDescent="0.25">
      <c r="F134" s="3"/>
      <c r="O134" s="123"/>
      <c r="R134" s="670"/>
      <c r="S134" s="670"/>
      <c r="T134" s="670"/>
      <c r="U134" s="670"/>
      <c r="V134" s="670"/>
      <c r="W134" s="670"/>
      <c r="X134" s="670"/>
      <c r="Y134" s="670"/>
      <c r="Z134" s="670"/>
      <c r="AA134" s="670"/>
      <c r="AB134" s="670"/>
      <c r="AC134" s="670"/>
      <c r="AD134" s="4"/>
    </row>
    <row r="135" spans="6:30" ht="15.75" customHeight="1" x14ac:dyDescent="0.25">
      <c r="F135" s="3"/>
      <c r="O135" s="123"/>
      <c r="R135" s="670"/>
      <c r="S135" s="670"/>
      <c r="T135" s="670"/>
      <c r="U135" s="670"/>
      <c r="V135" s="670"/>
      <c r="W135" s="670"/>
      <c r="X135" s="670"/>
      <c r="Y135" s="670"/>
      <c r="Z135" s="670"/>
      <c r="AA135" s="670"/>
      <c r="AB135" s="670"/>
      <c r="AC135" s="670"/>
      <c r="AD135" s="4"/>
    </row>
    <row r="136" spans="6:30" ht="15.75" customHeight="1" x14ac:dyDescent="0.25">
      <c r="F136" s="3"/>
      <c r="O136" s="123"/>
      <c r="R136" s="670"/>
      <c r="S136" s="670"/>
      <c r="T136" s="670"/>
      <c r="U136" s="670"/>
      <c r="V136" s="670"/>
      <c r="W136" s="670"/>
      <c r="X136" s="670"/>
      <c r="Y136" s="670"/>
      <c r="Z136" s="670"/>
      <c r="AA136" s="670"/>
      <c r="AB136" s="670"/>
      <c r="AC136" s="670"/>
      <c r="AD136" s="4"/>
    </row>
    <row r="137" spans="6:30" ht="15.75" customHeight="1" x14ac:dyDescent="0.25">
      <c r="F137" s="3"/>
      <c r="O137" s="123"/>
      <c r="R137" s="670"/>
      <c r="S137" s="670"/>
      <c r="T137" s="670"/>
      <c r="U137" s="670"/>
      <c r="V137" s="670"/>
      <c r="W137" s="670"/>
      <c r="X137" s="670"/>
      <c r="Y137" s="670"/>
      <c r="Z137" s="670"/>
      <c r="AA137" s="670"/>
      <c r="AB137" s="670"/>
      <c r="AC137" s="670"/>
      <c r="AD137" s="4"/>
    </row>
    <row r="138" spans="6:30" ht="15.75" customHeight="1" x14ac:dyDescent="0.25">
      <c r="F138" s="3"/>
      <c r="O138" s="123"/>
      <c r="R138" s="670"/>
      <c r="S138" s="670"/>
      <c r="T138" s="670"/>
      <c r="U138" s="670"/>
      <c r="V138" s="670"/>
      <c r="W138" s="670"/>
      <c r="X138" s="670"/>
      <c r="Y138" s="670"/>
      <c r="Z138" s="670"/>
      <c r="AA138" s="670"/>
      <c r="AB138" s="670"/>
      <c r="AC138" s="670"/>
      <c r="AD138" s="4"/>
    </row>
    <row r="139" spans="6:30" ht="15.75" customHeight="1" x14ac:dyDescent="0.25">
      <c r="F139" s="3"/>
      <c r="O139" s="123"/>
      <c r="R139" s="670"/>
      <c r="S139" s="670"/>
      <c r="T139" s="670"/>
      <c r="U139" s="670"/>
      <c r="V139" s="670"/>
      <c r="W139" s="670"/>
      <c r="X139" s="670"/>
      <c r="Y139" s="670"/>
      <c r="Z139" s="670"/>
      <c r="AA139" s="670"/>
      <c r="AB139" s="670"/>
      <c r="AC139" s="670"/>
      <c r="AD139" s="4"/>
    </row>
    <row r="140" spans="6:30" ht="15.75" customHeight="1" x14ac:dyDescent="0.25">
      <c r="F140" s="3"/>
      <c r="O140" s="123"/>
      <c r="R140" s="670"/>
      <c r="S140" s="670"/>
      <c r="T140" s="670"/>
      <c r="U140" s="670"/>
      <c r="V140" s="670"/>
      <c r="W140" s="670"/>
      <c r="X140" s="670"/>
      <c r="Y140" s="670"/>
      <c r="Z140" s="670"/>
      <c r="AA140" s="670"/>
      <c r="AB140" s="670"/>
      <c r="AC140" s="670"/>
      <c r="AD140" s="4"/>
    </row>
    <row r="141" spans="6:30" ht="15.75" customHeight="1" x14ac:dyDescent="0.25">
      <c r="F141" s="3"/>
      <c r="O141" s="123"/>
      <c r="R141" s="670"/>
      <c r="S141" s="670"/>
      <c r="T141" s="670"/>
      <c r="U141" s="670"/>
      <c r="V141" s="670"/>
      <c r="W141" s="670"/>
      <c r="X141" s="670"/>
      <c r="Y141" s="670"/>
      <c r="Z141" s="670"/>
      <c r="AA141" s="670"/>
      <c r="AB141" s="670"/>
      <c r="AC141" s="670"/>
      <c r="AD141" s="4"/>
    </row>
    <row r="142" spans="6:30" ht="15.75" customHeight="1" x14ac:dyDescent="0.25">
      <c r="F142" s="3"/>
      <c r="O142" s="123"/>
      <c r="R142" s="670"/>
      <c r="S142" s="670"/>
      <c r="T142" s="670"/>
      <c r="U142" s="670"/>
      <c r="V142" s="670"/>
      <c r="W142" s="670"/>
      <c r="X142" s="670"/>
      <c r="Y142" s="670"/>
      <c r="Z142" s="670"/>
      <c r="AA142" s="670"/>
      <c r="AB142" s="670"/>
      <c r="AC142" s="670"/>
      <c r="AD142" s="4"/>
    </row>
    <row r="143" spans="6:30" ht="15.75" customHeight="1" x14ac:dyDescent="0.25">
      <c r="F143" s="3"/>
      <c r="O143" s="123"/>
      <c r="R143" s="670"/>
      <c r="S143" s="670"/>
      <c r="T143" s="670"/>
      <c r="U143" s="670"/>
      <c r="V143" s="670"/>
      <c r="W143" s="670"/>
      <c r="X143" s="670"/>
      <c r="Y143" s="670"/>
      <c r="Z143" s="670"/>
      <c r="AA143" s="670"/>
      <c r="AB143" s="670"/>
      <c r="AC143" s="670"/>
      <c r="AD143" s="4"/>
    </row>
    <row r="144" spans="6:30" ht="15.75" customHeight="1" x14ac:dyDescent="0.25">
      <c r="F144" s="3"/>
      <c r="O144" s="123"/>
      <c r="R144" s="670"/>
      <c r="S144" s="670"/>
      <c r="T144" s="670"/>
      <c r="U144" s="670"/>
      <c r="V144" s="670"/>
      <c r="W144" s="670"/>
      <c r="X144" s="670"/>
      <c r="Y144" s="670"/>
      <c r="Z144" s="670"/>
      <c r="AA144" s="670"/>
      <c r="AB144" s="670"/>
      <c r="AC144" s="670"/>
      <c r="AD144" s="4"/>
    </row>
    <row r="145" spans="6:30" ht="15.75" customHeight="1" x14ac:dyDescent="0.25">
      <c r="F145" s="3"/>
      <c r="O145" s="123"/>
      <c r="R145" s="670"/>
      <c r="S145" s="670"/>
      <c r="T145" s="670"/>
      <c r="U145" s="670"/>
      <c r="V145" s="670"/>
      <c r="W145" s="670"/>
      <c r="X145" s="670"/>
      <c r="Y145" s="670"/>
      <c r="Z145" s="670"/>
      <c r="AA145" s="670"/>
      <c r="AB145" s="670"/>
      <c r="AC145" s="670"/>
      <c r="AD145" s="4"/>
    </row>
    <row r="146" spans="6:30" ht="15.75" customHeight="1" x14ac:dyDescent="0.25">
      <c r="F146" s="3"/>
      <c r="O146" s="123"/>
      <c r="R146" s="670"/>
      <c r="S146" s="670"/>
      <c r="T146" s="670"/>
      <c r="U146" s="670"/>
      <c r="V146" s="670"/>
      <c r="W146" s="670"/>
      <c r="X146" s="670"/>
      <c r="Y146" s="670"/>
      <c r="Z146" s="670"/>
      <c r="AA146" s="670"/>
      <c r="AB146" s="670"/>
      <c r="AC146" s="670"/>
      <c r="AD146" s="4"/>
    </row>
    <row r="147" spans="6:30" ht="15.75" customHeight="1" x14ac:dyDescent="0.25">
      <c r="F147" s="3"/>
      <c r="O147" s="123"/>
      <c r="R147" s="670"/>
      <c r="S147" s="670"/>
      <c r="T147" s="670"/>
      <c r="U147" s="670"/>
      <c r="V147" s="670"/>
      <c r="W147" s="670"/>
      <c r="X147" s="670"/>
      <c r="Y147" s="670"/>
      <c r="Z147" s="670"/>
      <c r="AA147" s="670"/>
      <c r="AB147" s="670"/>
      <c r="AC147" s="670"/>
      <c r="AD147" s="4"/>
    </row>
    <row r="148" spans="6:30" ht="15.75" customHeight="1" x14ac:dyDescent="0.25">
      <c r="F148" s="3"/>
      <c r="O148" s="123"/>
      <c r="R148" s="670"/>
      <c r="S148" s="670"/>
      <c r="T148" s="670"/>
      <c r="U148" s="670"/>
      <c r="V148" s="670"/>
      <c r="W148" s="670"/>
      <c r="X148" s="670"/>
      <c r="Y148" s="670"/>
      <c r="Z148" s="670"/>
      <c r="AA148" s="670"/>
      <c r="AB148" s="670"/>
      <c r="AC148" s="670"/>
      <c r="AD148" s="4"/>
    </row>
    <row r="149" spans="6:30" ht="15.75" customHeight="1" x14ac:dyDescent="0.25">
      <c r="F149" s="3"/>
      <c r="O149" s="123"/>
      <c r="R149" s="670"/>
      <c r="S149" s="670"/>
      <c r="T149" s="670"/>
      <c r="U149" s="670"/>
      <c r="V149" s="670"/>
      <c r="W149" s="670"/>
      <c r="X149" s="670"/>
      <c r="Y149" s="670"/>
      <c r="Z149" s="670"/>
      <c r="AA149" s="670"/>
      <c r="AB149" s="670"/>
      <c r="AC149" s="670"/>
      <c r="AD149" s="4"/>
    </row>
    <row r="150" spans="6:30" ht="15.75" customHeight="1" x14ac:dyDescent="0.25">
      <c r="F150" s="3"/>
      <c r="O150" s="123"/>
      <c r="R150" s="670"/>
      <c r="S150" s="670"/>
      <c r="T150" s="670"/>
      <c r="U150" s="670"/>
      <c r="V150" s="670"/>
      <c r="W150" s="670"/>
      <c r="X150" s="670"/>
      <c r="Y150" s="670"/>
      <c r="Z150" s="670"/>
      <c r="AA150" s="670"/>
      <c r="AB150" s="670"/>
      <c r="AC150" s="670"/>
      <c r="AD150" s="4"/>
    </row>
    <row r="151" spans="6:30" ht="15.75" customHeight="1" x14ac:dyDescent="0.25">
      <c r="F151" s="3"/>
      <c r="O151" s="123"/>
      <c r="R151" s="670"/>
      <c r="S151" s="670"/>
      <c r="T151" s="670"/>
      <c r="U151" s="670"/>
      <c r="V151" s="670"/>
      <c r="W151" s="670"/>
      <c r="X151" s="670"/>
      <c r="Y151" s="670"/>
      <c r="Z151" s="670"/>
      <c r="AA151" s="670"/>
      <c r="AB151" s="670"/>
      <c r="AC151" s="670"/>
      <c r="AD151" s="4"/>
    </row>
    <row r="152" spans="6:30" ht="15.75" customHeight="1" x14ac:dyDescent="0.25">
      <c r="F152" s="3"/>
      <c r="O152" s="123"/>
      <c r="R152" s="670"/>
      <c r="S152" s="670"/>
      <c r="T152" s="670"/>
      <c r="U152" s="670"/>
      <c r="V152" s="670"/>
      <c r="W152" s="670"/>
      <c r="X152" s="670"/>
      <c r="Y152" s="670"/>
      <c r="Z152" s="670"/>
      <c r="AA152" s="670"/>
      <c r="AB152" s="670"/>
      <c r="AC152" s="670"/>
      <c r="AD152" s="4"/>
    </row>
    <row r="153" spans="6:30" ht="15.75" customHeight="1" x14ac:dyDescent="0.25">
      <c r="F153" s="3"/>
      <c r="O153" s="123"/>
      <c r="R153" s="670"/>
      <c r="S153" s="670"/>
      <c r="T153" s="670"/>
      <c r="U153" s="670"/>
      <c r="V153" s="670"/>
      <c r="W153" s="670"/>
      <c r="X153" s="670"/>
      <c r="Y153" s="670"/>
      <c r="Z153" s="670"/>
      <c r="AA153" s="670"/>
      <c r="AB153" s="670"/>
      <c r="AC153" s="670"/>
      <c r="AD153" s="4"/>
    </row>
    <row r="154" spans="6:30" ht="15.75" customHeight="1" x14ac:dyDescent="0.25">
      <c r="F154" s="3"/>
      <c r="O154" s="123"/>
      <c r="R154" s="670"/>
      <c r="S154" s="670"/>
      <c r="T154" s="670"/>
      <c r="U154" s="670"/>
      <c r="V154" s="670"/>
      <c r="W154" s="670"/>
      <c r="X154" s="670"/>
      <c r="Y154" s="670"/>
      <c r="Z154" s="670"/>
      <c r="AA154" s="670"/>
      <c r="AB154" s="670"/>
      <c r="AC154" s="670"/>
      <c r="AD154" s="4"/>
    </row>
    <row r="155" spans="6:30" ht="15.75" customHeight="1" x14ac:dyDescent="0.25">
      <c r="F155" s="3"/>
      <c r="O155" s="123"/>
      <c r="R155" s="670"/>
      <c r="S155" s="670"/>
      <c r="T155" s="670"/>
      <c r="U155" s="670"/>
      <c r="V155" s="670"/>
      <c r="W155" s="670"/>
      <c r="X155" s="670"/>
      <c r="Y155" s="670"/>
      <c r="Z155" s="670"/>
      <c r="AA155" s="670"/>
      <c r="AB155" s="670"/>
      <c r="AC155" s="670"/>
      <c r="AD155" s="4"/>
    </row>
    <row r="156" spans="6:30" ht="15.75" customHeight="1" x14ac:dyDescent="0.25">
      <c r="F156" s="3"/>
      <c r="O156" s="123"/>
      <c r="R156" s="670"/>
      <c r="S156" s="670"/>
      <c r="T156" s="670"/>
      <c r="U156" s="670"/>
      <c r="V156" s="670"/>
      <c r="W156" s="670"/>
      <c r="X156" s="670"/>
      <c r="Y156" s="670"/>
      <c r="Z156" s="670"/>
      <c r="AA156" s="670"/>
      <c r="AB156" s="670"/>
      <c r="AC156" s="670"/>
      <c r="AD156" s="4"/>
    </row>
    <row r="157" spans="6:30" ht="15.75" customHeight="1" x14ac:dyDescent="0.25">
      <c r="F157" s="3"/>
      <c r="O157" s="123"/>
      <c r="R157" s="670"/>
      <c r="S157" s="670"/>
      <c r="T157" s="670"/>
      <c r="U157" s="670"/>
      <c r="V157" s="670"/>
      <c r="W157" s="670"/>
      <c r="X157" s="670"/>
      <c r="Y157" s="670"/>
      <c r="Z157" s="670"/>
      <c r="AA157" s="670"/>
      <c r="AB157" s="670"/>
      <c r="AC157" s="670"/>
      <c r="AD157" s="4"/>
    </row>
    <row r="158" spans="6:30" ht="15.75" customHeight="1" x14ac:dyDescent="0.25">
      <c r="F158" s="3"/>
      <c r="O158" s="123"/>
      <c r="R158" s="670"/>
      <c r="S158" s="670"/>
      <c r="T158" s="670"/>
      <c r="U158" s="670"/>
      <c r="V158" s="670"/>
      <c r="W158" s="670"/>
      <c r="X158" s="670"/>
      <c r="Y158" s="670"/>
      <c r="Z158" s="670"/>
      <c r="AA158" s="670"/>
      <c r="AB158" s="670"/>
      <c r="AC158" s="670"/>
      <c r="AD158" s="4"/>
    </row>
    <row r="159" spans="6:30" ht="15.75" customHeight="1" x14ac:dyDescent="0.25">
      <c r="F159" s="3"/>
      <c r="O159" s="123"/>
      <c r="R159" s="670"/>
      <c r="S159" s="670"/>
      <c r="T159" s="670"/>
      <c r="U159" s="670"/>
      <c r="V159" s="670"/>
      <c r="W159" s="670"/>
      <c r="X159" s="670"/>
      <c r="Y159" s="670"/>
      <c r="Z159" s="670"/>
      <c r="AA159" s="670"/>
      <c r="AB159" s="670"/>
      <c r="AC159" s="670"/>
      <c r="AD159" s="4"/>
    </row>
    <row r="160" spans="6:30" ht="15.75" customHeight="1" x14ac:dyDescent="0.25">
      <c r="F160" s="3"/>
      <c r="O160" s="123"/>
      <c r="R160" s="670"/>
      <c r="S160" s="670"/>
      <c r="T160" s="670"/>
      <c r="U160" s="670"/>
      <c r="V160" s="670"/>
      <c r="W160" s="670"/>
      <c r="X160" s="670"/>
      <c r="Y160" s="670"/>
      <c r="Z160" s="670"/>
      <c r="AA160" s="670"/>
      <c r="AB160" s="670"/>
      <c r="AC160" s="670"/>
      <c r="AD160" s="4"/>
    </row>
    <row r="161" spans="6:30" ht="15.75" customHeight="1" x14ac:dyDescent="0.25">
      <c r="F161" s="3"/>
      <c r="O161" s="123"/>
      <c r="R161" s="670"/>
      <c r="S161" s="670"/>
      <c r="T161" s="670"/>
      <c r="U161" s="670"/>
      <c r="V161" s="670"/>
      <c r="W161" s="670"/>
      <c r="X161" s="670"/>
      <c r="Y161" s="670"/>
      <c r="Z161" s="670"/>
      <c r="AA161" s="670"/>
      <c r="AB161" s="670"/>
      <c r="AC161" s="670"/>
      <c r="AD161" s="4"/>
    </row>
    <row r="162" spans="6:30" ht="15.75" customHeight="1" x14ac:dyDescent="0.25">
      <c r="F162" s="3"/>
      <c r="O162" s="123"/>
      <c r="R162" s="670"/>
      <c r="S162" s="670"/>
      <c r="T162" s="670"/>
      <c r="U162" s="670"/>
      <c r="V162" s="670"/>
      <c r="W162" s="670"/>
      <c r="X162" s="670"/>
      <c r="Y162" s="670"/>
      <c r="Z162" s="670"/>
      <c r="AA162" s="670"/>
      <c r="AB162" s="670"/>
      <c r="AC162" s="670"/>
      <c r="AD162" s="4"/>
    </row>
    <row r="163" spans="6:30" ht="15.75" customHeight="1" x14ac:dyDescent="0.25">
      <c r="F163" s="3"/>
      <c r="O163" s="123"/>
      <c r="R163" s="670"/>
      <c r="S163" s="670"/>
      <c r="T163" s="670"/>
      <c r="U163" s="670"/>
      <c r="V163" s="670"/>
      <c r="W163" s="670"/>
      <c r="X163" s="670"/>
      <c r="Y163" s="670"/>
      <c r="Z163" s="670"/>
      <c r="AA163" s="670"/>
      <c r="AB163" s="670"/>
      <c r="AC163" s="670"/>
      <c r="AD163" s="4"/>
    </row>
    <row r="164" spans="6:30" ht="15.75" customHeight="1" x14ac:dyDescent="0.25">
      <c r="F164" s="3"/>
      <c r="O164" s="123"/>
      <c r="R164" s="670"/>
      <c r="S164" s="670"/>
      <c r="T164" s="670"/>
      <c r="U164" s="670"/>
      <c r="V164" s="670"/>
      <c r="W164" s="670"/>
      <c r="X164" s="670"/>
      <c r="Y164" s="670"/>
      <c r="Z164" s="670"/>
      <c r="AA164" s="670"/>
      <c r="AB164" s="670"/>
      <c r="AC164" s="670"/>
      <c r="AD164" s="4"/>
    </row>
    <row r="165" spans="6:30" ht="15.75" customHeight="1" x14ac:dyDescent="0.25">
      <c r="F165" s="3"/>
      <c r="O165" s="123"/>
      <c r="R165" s="670"/>
      <c r="S165" s="670"/>
      <c r="T165" s="670"/>
      <c r="U165" s="670"/>
      <c r="V165" s="670"/>
      <c r="W165" s="670"/>
      <c r="X165" s="670"/>
      <c r="Y165" s="670"/>
      <c r="Z165" s="670"/>
      <c r="AA165" s="670"/>
      <c r="AB165" s="670"/>
      <c r="AC165" s="670"/>
      <c r="AD165" s="4"/>
    </row>
    <row r="166" spans="6:30" ht="15.75" customHeight="1" x14ac:dyDescent="0.25">
      <c r="F166" s="3"/>
      <c r="O166" s="123"/>
      <c r="R166" s="670"/>
      <c r="S166" s="670"/>
      <c r="T166" s="670"/>
      <c r="U166" s="670"/>
      <c r="V166" s="670"/>
      <c r="W166" s="670"/>
      <c r="X166" s="670"/>
      <c r="Y166" s="670"/>
      <c r="Z166" s="670"/>
      <c r="AA166" s="670"/>
      <c r="AB166" s="670"/>
      <c r="AC166" s="670"/>
      <c r="AD166" s="4"/>
    </row>
    <row r="167" spans="6:30" ht="15.75" customHeight="1" x14ac:dyDescent="0.25">
      <c r="F167" s="3"/>
      <c r="O167" s="123"/>
      <c r="R167" s="670"/>
      <c r="S167" s="670"/>
      <c r="T167" s="670"/>
      <c r="U167" s="670"/>
      <c r="V167" s="670"/>
      <c r="W167" s="670"/>
      <c r="X167" s="670"/>
      <c r="Y167" s="670"/>
      <c r="Z167" s="670"/>
      <c r="AA167" s="670"/>
      <c r="AB167" s="670"/>
      <c r="AC167" s="670"/>
      <c r="AD167" s="4"/>
    </row>
    <row r="168" spans="6:30" ht="15.75" customHeight="1" x14ac:dyDescent="0.25">
      <c r="F168" s="3"/>
      <c r="O168" s="123"/>
      <c r="R168" s="670"/>
      <c r="S168" s="670"/>
      <c r="T168" s="670"/>
      <c r="U168" s="670"/>
      <c r="V168" s="670"/>
      <c r="W168" s="670"/>
      <c r="X168" s="670"/>
      <c r="Y168" s="670"/>
      <c r="Z168" s="670"/>
      <c r="AA168" s="670"/>
      <c r="AB168" s="670"/>
      <c r="AC168" s="670"/>
      <c r="AD168" s="4"/>
    </row>
    <row r="169" spans="6:30" ht="15.75" customHeight="1" x14ac:dyDescent="0.25">
      <c r="F169" s="3"/>
      <c r="O169" s="123"/>
      <c r="R169" s="670"/>
      <c r="S169" s="670"/>
      <c r="T169" s="670"/>
      <c r="U169" s="670"/>
      <c r="V169" s="670"/>
      <c r="W169" s="670"/>
      <c r="X169" s="670"/>
      <c r="Y169" s="670"/>
      <c r="Z169" s="670"/>
      <c r="AA169" s="670"/>
      <c r="AB169" s="670"/>
      <c r="AC169" s="670"/>
      <c r="AD169" s="4"/>
    </row>
    <row r="170" spans="6:30" ht="15.75" customHeight="1" x14ac:dyDescent="0.25">
      <c r="F170" s="3"/>
      <c r="O170" s="123"/>
      <c r="R170" s="670"/>
      <c r="S170" s="670"/>
      <c r="T170" s="670"/>
      <c r="U170" s="670"/>
      <c r="V170" s="670"/>
      <c r="W170" s="670"/>
      <c r="X170" s="670"/>
      <c r="Y170" s="670"/>
      <c r="Z170" s="670"/>
      <c r="AA170" s="670"/>
      <c r="AB170" s="670"/>
      <c r="AC170" s="670"/>
      <c r="AD170" s="4"/>
    </row>
    <row r="171" spans="6:30" ht="15.75" customHeight="1" x14ac:dyDescent="0.25">
      <c r="F171" s="3"/>
      <c r="O171" s="123"/>
      <c r="R171" s="670"/>
      <c r="S171" s="670"/>
      <c r="T171" s="670"/>
      <c r="U171" s="670"/>
      <c r="V171" s="670"/>
      <c r="W171" s="670"/>
      <c r="X171" s="670"/>
      <c r="Y171" s="670"/>
      <c r="Z171" s="670"/>
      <c r="AA171" s="670"/>
      <c r="AB171" s="670"/>
      <c r="AC171" s="670"/>
      <c r="AD171" s="4"/>
    </row>
    <row r="172" spans="6:30" ht="15.75" customHeight="1" x14ac:dyDescent="0.25">
      <c r="F172" s="3"/>
      <c r="O172" s="123"/>
      <c r="R172" s="670"/>
      <c r="S172" s="670"/>
      <c r="T172" s="670"/>
      <c r="U172" s="670"/>
      <c r="V172" s="670"/>
      <c r="W172" s="670"/>
      <c r="X172" s="670"/>
      <c r="Y172" s="670"/>
      <c r="Z172" s="670"/>
      <c r="AA172" s="670"/>
      <c r="AB172" s="670"/>
      <c r="AC172" s="670"/>
      <c r="AD172" s="4"/>
    </row>
    <row r="173" spans="6:30" ht="15.75" customHeight="1" x14ac:dyDescent="0.25">
      <c r="F173" s="3"/>
      <c r="O173" s="123"/>
      <c r="R173" s="670"/>
      <c r="S173" s="670"/>
      <c r="T173" s="670"/>
      <c r="U173" s="670"/>
      <c r="V173" s="670"/>
      <c r="W173" s="670"/>
      <c r="X173" s="670"/>
      <c r="Y173" s="670"/>
      <c r="Z173" s="670"/>
      <c r="AA173" s="670"/>
      <c r="AB173" s="670"/>
      <c r="AC173" s="670"/>
      <c r="AD173" s="4"/>
    </row>
    <row r="174" spans="6:30" ht="15.75" customHeight="1" x14ac:dyDescent="0.25">
      <c r="F174" s="3"/>
      <c r="O174" s="123"/>
      <c r="R174" s="670"/>
      <c r="S174" s="670"/>
      <c r="T174" s="670"/>
      <c r="U174" s="670"/>
      <c r="V174" s="670"/>
      <c r="W174" s="670"/>
      <c r="X174" s="670"/>
      <c r="Y174" s="670"/>
      <c r="Z174" s="670"/>
      <c r="AA174" s="670"/>
      <c r="AB174" s="670"/>
      <c r="AC174" s="670"/>
      <c r="AD174" s="4"/>
    </row>
    <row r="175" spans="6:30" ht="15.75" customHeight="1" x14ac:dyDescent="0.25">
      <c r="F175" s="3"/>
      <c r="O175" s="123"/>
      <c r="R175" s="670"/>
      <c r="S175" s="670"/>
      <c r="T175" s="670"/>
      <c r="U175" s="670"/>
      <c r="V175" s="670"/>
      <c r="W175" s="670"/>
      <c r="X175" s="670"/>
      <c r="Y175" s="670"/>
      <c r="Z175" s="670"/>
      <c r="AA175" s="670"/>
      <c r="AB175" s="670"/>
      <c r="AC175" s="670"/>
      <c r="AD175" s="4"/>
    </row>
    <row r="176" spans="6:30" ht="15.75" customHeight="1" x14ac:dyDescent="0.25">
      <c r="F176" s="3"/>
      <c r="O176" s="123"/>
      <c r="R176" s="670"/>
      <c r="S176" s="670"/>
      <c r="T176" s="670"/>
      <c r="U176" s="670"/>
      <c r="V176" s="670"/>
      <c r="W176" s="670"/>
      <c r="X176" s="670"/>
      <c r="Y176" s="670"/>
      <c r="Z176" s="670"/>
      <c r="AA176" s="670"/>
      <c r="AB176" s="670"/>
      <c r="AC176" s="670"/>
      <c r="AD176" s="4"/>
    </row>
    <row r="177" spans="6:30" ht="15.75" customHeight="1" x14ac:dyDescent="0.25">
      <c r="F177" s="3"/>
      <c r="O177" s="123"/>
      <c r="R177" s="670"/>
      <c r="S177" s="670"/>
      <c r="T177" s="670"/>
      <c r="U177" s="670"/>
      <c r="V177" s="670"/>
      <c r="W177" s="670"/>
      <c r="X177" s="670"/>
      <c r="Y177" s="670"/>
      <c r="Z177" s="670"/>
      <c r="AA177" s="670"/>
      <c r="AB177" s="670"/>
      <c r="AC177" s="670"/>
      <c r="AD177" s="4"/>
    </row>
    <row r="178" spans="6:30" ht="15.75" customHeight="1" x14ac:dyDescent="0.25">
      <c r="F178" s="3"/>
      <c r="O178" s="123"/>
      <c r="R178" s="670"/>
      <c r="S178" s="670"/>
      <c r="T178" s="670"/>
      <c r="U178" s="670"/>
      <c r="V178" s="670"/>
      <c r="W178" s="670"/>
      <c r="X178" s="670"/>
      <c r="Y178" s="670"/>
      <c r="Z178" s="670"/>
      <c r="AA178" s="670"/>
      <c r="AB178" s="670"/>
      <c r="AC178" s="670"/>
      <c r="AD178" s="4"/>
    </row>
    <row r="179" spans="6:30" ht="15.75" customHeight="1" x14ac:dyDescent="0.25">
      <c r="F179" s="3"/>
      <c r="O179" s="123"/>
      <c r="R179" s="670"/>
      <c r="S179" s="670"/>
      <c r="T179" s="670"/>
      <c r="U179" s="670"/>
      <c r="V179" s="670"/>
      <c r="W179" s="670"/>
      <c r="X179" s="670"/>
      <c r="Y179" s="670"/>
      <c r="Z179" s="670"/>
      <c r="AA179" s="670"/>
      <c r="AB179" s="670"/>
      <c r="AC179" s="670"/>
      <c r="AD179" s="4"/>
    </row>
    <row r="180" spans="6:30" ht="15.75" customHeight="1" x14ac:dyDescent="0.25">
      <c r="F180" s="3"/>
      <c r="O180" s="123"/>
      <c r="R180" s="670"/>
      <c r="S180" s="670"/>
      <c r="T180" s="670"/>
      <c r="U180" s="670"/>
      <c r="V180" s="670"/>
      <c r="W180" s="670"/>
      <c r="X180" s="670"/>
      <c r="Y180" s="670"/>
      <c r="Z180" s="670"/>
      <c r="AA180" s="670"/>
      <c r="AB180" s="670"/>
      <c r="AC180" s="670"/>
      <c r="AD180" s="4"/>
    </row>
    <row r="181" spans="6:30" ht="15.75" customHeight="1" x14ac:dyDescent="0.25">
      <c r="F181" s="3"/>
      <c r="O181" s="123"/>
      <c r="R181" s="670"/>
      <c r="S181" s="670"/>
      <c r="T181" s="670"/>
      <c r="U181" s="670"/>
      <c r="V181" s="670"/>
      <c r="W181" s="670"/>
      <c r="X181" s="670"/>
      <c r="Y181" s="670"/>
      <c r="Z181" s="670"/>
      <c r="AA181" s="670"/>
      <c r="AB181" s="670"/>
      <c r="AC181" s="670"/>
      <c r="AD181" s="4"/>
    </row>
    <row r="182" spans="6:30" ht="15.75" customHeight="1" x14ac:dyDescent="0.25">
      <c r="F182" s="3"/>
      <c r="O182" s="123"/>
      <c r="R182" s="670"/>
      <c r="S182" s="670"/>
      <c r="T182" s="670"/>
      <c r="U182" s="670"/>
      <c r="V182" s="670"/>
      <c r="W182" s="670"/>
      <c r="X182" s="670"/>
      <c r="Y182" s="670"/>
      <c r="Z182" s="670"/>
      <c r="AA182" s="670"/>
      <c r="AB182" s="670"/>
      <c r="AC182" s="670"/>
      <c r="AD182" s="4"/>
    </row>
    <row r="183" spans="6:30" ht="15.75" customHeight="1" x14ac:dyDescent="0.25">
      <c r="F183" s="3"/>
      <c r="O183" s="123"/>
      <c r="R183" s="670"/>
      <c r="S183" s="670"/>
      <c r="T183" s="670"/>
      <c r="U183" s="670"/>
      <c r="V183" s="670"/>
      <c r="W183" s="670"/>
      <c r="X183" s="670"/>
      <c r="Y183" s="670"/>
      <c r="Z183" s="670"/>
      <c r="AA183" s="670"/>
      <c r="AB183" s="670"/>
      <c r="AC183" s="670"/>
      <c r="AD183" s="4"/>
    </row>
    <row r="184" spans="6:30" ht="15.75" customHeight="1" x14ac:dyDescent="0.25">
      <c r="F184" s="3"/>
      <c r="O184" s="123"/>
      <c r="R184" s="670"/>
      <c r="S184" s="670"/>
      <c r="T184" s="670"/>
      <c r="U184" s="670"/>
      <c r="V184" s="670"/>
      <c r="W184" s="670"/>
      <c r="X184" s="670"/>
      <c r="Y184" s="670"/>
      <c r="Z184" s="670"/>
      <c r="AA184" s="670"/>
      <c r="AB184" s="670"/>
      <c r="AC184" s="670"/>
      <c r="AD184" s="4"/>
    </row>
    <row r="185" spans="6:30" ht="15.75" customHeight="1" x14ac:dyDescent="0.25">
      <c r="F185" s="3"/>
      <c r="O185" s="123"/>
      <c r="R185" s="670"/>
      <c r="S185" s="670"/>
      <c r="T185" s="670"/>
      <c r="U185" s="670"/>
      <c r="V185" s="670"/>
      <c r="W185" s="670"/>
      <c r="X185" s="670"/>
      <c r="Y185" s="670"/>
      <c r="Z185" s="670"/>
      <c r="AA185" s="670"/>
      <c r="AB185" s="670"/>
      <c r="AC185" s="670"/>
      <c r="AD185" s="4"/>
    </row>
    <row r="186" spans="6:30" ht="15.75" customHeight="1" x14ac:dyDescent="0.25">
      <c r="F186" s="3"/>
      <c r="O186" s="123"/>
      <c r="R186" s="670"/>
      <c r="S186" s="670"/>
      <c r="T186" s="670"/>
      <c r="U186" s="670"/>
      <c r="V186" s="670"/>
      <c r="W186" s="670"/>
      <c r="X186" s="670"/>
      <c r="Y186" s="670"/>
      <c r="Z186" s="670"/>
      <c r="AA186" s="670"/>
      <c r="AB186" s="670"/>
      <c r="AC186" s="670"/>
      <c r="AD186" s="4"/>
    </row>
    <row r="187" spans="6:30" ht="15.75" customHeight="1" x14ac:dyDescent="0.25">
      <c r="F187" s="3"/>
      <c r="O187" s="123"/>
      <c r="R187" s="670"/>
      <c r="S187" s="670"/>
      <c r="T187" s="670"/>
      <c r="U187" s="670"/>
      <c r="V187" s="670"/>
      <c r="W187" s="670"/>
      <c r="X187" s="670"/>
      <c r="Y187" s="670"/>
      <c r="Z187" s="670"/>
      <c r="AA187" s="670"/>
      <c r="AB187" s="670"/>
      <c r="AC187" s="670"/>
      <c r="AD187" s="4"/>
    </row>
    <row r="188" spans="6:30" ht="15.75" customHeight="1" x14ac:dyDescent="0.25">
      <c r="F188" s="3"/>
      <c r="O188" s="123"/>
      <c r="R188" s="670"/>
      <c r="S188" s="670"/>
      <c r="T188" s="670"/>
      <c r="U188" s="670"/>
      <c r="V188" s="670"/>
      <c r="W188" s="670"/>
      <c r="X188" s="670"/>
      <c r="Y188" s="670"/>
      <c r="Z188" s="670"/>
      <c r="AA188" s="670"/>
      <c r="AB188" s="670"/>
      <c r="AC188" s="670"/>
      <c r="AD188" s="4"/>
    </row>
    <row r="189" spans="6:30" ht="15.75" customHeight="1" x14ac:dyDescent="0.25">
      <c r="F189" s="3"/>
      <c r="O189" s="123"/>
      <c r="R189" s="670"/>
      <c r="S189" s="670"/>
      <c r="T189" s="670"/>
      <c r="U189" s="670"/>
      <c r="V189" s="670"/>
      <c r="W189" s="670"/>
      <c r="X189" s="670"/>
      <c r="Y189" s="670"/>
      <c r="Z189" s="670"/>
      <c r="AA189" s="670"/>
      <c r="AB189" s="670"/>
      <c r="AC189" s="670"/>
      <c r="AD189" s="4"/>
    </row>
    <row r="190" spans="6:30" ht="15.75" customHeight="1" x14ac:dyDescent="0.25">
      <c r="F190" s="3"/>
      <c r="O190" s="123"/>
      <c r="R190" s="670"/>
      <c r="S190" s="670"/>
      <c r="T190" s="670"/>
      <c r="U190" s="670"/>
      <c r="V190" s="670"/>
      <c r="W190" s="670"/>
      <c r="X190" s="670"/>
      <c r="Y190" s="670"/>
      <c r="Z190" s="670"/>
      <c r="AA190" s="670"/>
      <c r="AB190" s="670"/>
      <c r="AC190" s="670"/>
      <c r="AD190" s="4"/>
    </row>
    <row r="191" spans="6:30" ht="15.75" customHeight="1" x14ac:dyDescent="0.25">
      <c r="F191" s="3"/>
      <c r="O191" s="123"/>
      <c r="R191" s="670"/>
      <c r="S191" s="670"/>
      <c r="T191" s="670"/>
      <c r="U191" s="670"/>
      <c r="V191" s="670"/>
      <c r="W191" s="670"/>
      <c r="X191" s="670"/>
      <c r="Y191" s="670"/>
      <c r="Z191" s="670"/>
      <c r="AA191" s="670"/>
      <c r="AB191" s="670"/>
      <c r="AC191" s="670"/>
      <c r="AD191" s="4"/>
    </row>
    <row r="192" spans="6:30" ht="15.75" customHeight="1" x14ac:dyDescent="0.25">
      <c r="F192" s="3"/>
      <c r="O192" s="123"/>
      <c r="R192" s="670"/>
      <c r="S192" s="670"/>
      <c r="T192" s="670"/>
      <c r="U192" s="670"/>
      <c r="V192" s="670"/>
      <c r="W192" s="670"/>
      <c r="X192" s="670"/>
      <c r="Y192" s="670"/>
      <c r="Z192" s="670"/>
      <c r="AA192" s="670"/>
      <c r="AB192" s="670"/>
      <c r="AC192" s="670"/>
      <c r="AD192" s="4"/>
    </row>
    <row r="193" spans="6:30" ht="15.75" customHeight="1" x14ac:dyDescent="0.25">
      <c r="F193" s="3"/>
      <c r="O193" s="123"/>
      <c r="R193" s="670"/>
      <c r="S193" s="670"/>
      <c r="T193" s="670"/>
      <c r="U193" s="670"/>
      <c r="V193" s="670"/>
      <c r="W193" s="670"/>
      <c r="X193" s="670"/>
      <c r="Y193" s="670"/>
      <c r="Z193" s="670"/>
      <c r="AA193" s="670"/>
      <c r="AB193" s="670"/>
      <c r="AC193" s="670"/>
      <c r="AD193" s="4"/>
    </row>
    <row r="194" spans="6:30" ht="15.75" customHeight="1" x14ac:dyDescent="0.25">
      <c r="F194" s="3"/>
      <c r="O194" s="123"/>
      <c r="R194" s="670"/>
      <c r="S194" s="670"/>
      <c r="T194" s="670"/>
      <c r="U194" s="670"/>
      <c r="V194" s="670"/>
      <c r="W194" s="670"/>
      <c r="X194" s="670"/>
      <c r="Y194" s="670"/>
      <c r="Z194" s="670"/>
      <c r="AA194" s="670"/>
      <c r="AB194" s="670"/>
      <c r="AC194" s="670"/>
      <c r="AD194" s="4"/>
    </row>
    <row r="195" spans="6:30" ht="15.75" customHeight="1" x14ac:dyDescent="0.25">
      <c r="F195" s="3"/>
      <c r="O195" s="123"/>
      <c r="R195" s="670"/>
      <c r="S195" s="670"/>
      <c r="T195" s="670"/>
      <c r="U195" s="670"/>
      <c r="V195" s="670"/>
      <c r="W195" s="670"/>
      <c r="X195" s="670"/>
      <c r="Y195" s="670"/>
      <c r="Z195" s="670"/>
      <c r="AA195" s="670"/>
      <c r="AB195" s="670"/>
      <c r="AC195" s="670"/>
      <c r="AD195" s="4"/>
    </row>
    <row r="196" spans="6:30" ht="15.75" customHeight="1" x14ac:dyDescent="0.25">
      <c r="F196" s="3"/>
      <c r="O196" s="123"/>
      <c r="R196" s="670"/>
      <c r="S196" s="670"/>
      <c r="T196" s="670"/>
      <c r="U196" s="670"/>
      <c r="V196" s="670"/>
      <c r="W196" s="670"/>
      <c r="X196" s="670"/>
      <c r="Y196" s="670"/>
      <c r="Z196" s="670"/>
      <c r="AA196" s="670"/>
      <c r="AB196" s="670"/>
      <c r="AC196" s="670"/>
      <c r="AD196" s="4"/>
    </row>
    <row r="197" spans="6:30" ht="15.75" customHeight="1" x14ac:dyDescent="0.25">
      <c r="F197" s="3"/>
      <c r="O197" s="123"/>
      <c r="R197" s="670"/>
      <c r="S197" s="670"/>
      <c r="T197" s="670"/>
      <c r="U197" s="670"/>
      <c r="V197" s="670"/>
      <c r="W197" s="670"/>
      <c r="X197" s="670"/>
      <c r="Y197" s="670"/>
      <c r="Z197" s="670"/>
      <c r="AA197" s="670"/>
      <c r="AB197" s="670"/>
      <c r="AC197" s="670"/>
      <c r="AD197" s="4"/>
    </row>
    <row r="198" spans="6:30" ht="15.75" customHeight="1" x14ac:dyDescent="0.25">
      <c r="F198" s="3"/>
      <c r="O198" s="123"/>
      <c r="R198" s="670"/>
      <c r="S198" s="670"/>
      <c r="T198" s="670"/>
      <c r="U198" s="670"/>
      <c r="V198" s="670"/>
      <c r="W198" s="670"/>
      <c r="X198" s="670"/>
      <c r="Y198" s="670"/>
      <c r="Z198" s="670"/>
      <c r="AA198" s="670"/>
      <c r="AB198" s="670"/>
      <c r="AC198" s="670"/>
      <c r="AD198" s="4"/>
    </row>
    <row r="199" spans="6:30" ht="15.75" customHeight="1" x14ac:dyDescent="0.25">
      <c r="F199" s="3"/>
      <c r="O199" s="123"/>
      <c r="R199" s="670"/>
      <c r="S199" s="670"/>
      <c r="T199" s="670"/>
      <c r="U199" s="670"/>
      <c r="V199" s="670"/>
      <c r="W199" s="670"/>
      <c r="X199" s="670"/>
      <c r="Y199" s="670"/>
      <c r="Z199" s="670"/>
      <c r="AA199" s="670"/>
      <c r="AB199" s="670"/>
      <c r="AC199" s="670"/>
      <c r="AD199" s="4"/>
    </row>
    <row r="200" spans="6:30" ht="15.75" customHeight="1" x14ac:dyDescent="0.25">
      <c r="F200" s="3"/>
      <c r="O200" s="123"/>
      <c r="R200" s="670"/>
      <c r="S200" s="670"/>
      <c r="T200" s="670"/>
      <c r="U200" s="670"/>
      <c r="V200" s="670"/>
      <c r="W200" s="670"/>
      <c r="X200" s="670"/>
      <c r="Y200" s="670"/>
      <c r="Z200" s="670"/>
      <c r="AA200" s="670"/>
      <c r="AB200" s="670"/>
      <c r="AC200" s="670"/>
      <c r="AD200" s="4"/>
    </row>
    <row r="201" spans="6:30" ht="15.75" customHeight="1" x14ac:dyDescent="0.25">
      <c r="F201" s="3"/>
      <c r="O201" s="123"/>
      <c r="R201" s="670"/>
      <c r="S201" s="670"/>
      <c r="T201" s="670"/>
      <c r="U201" s="670"/>
      <c r="V201" s="670"/>
      <c r="W201" s="670"/>
      <c r="X201" s="670"/>
      <c r="Y201" s="670"/>
      <c r="Z201" s="670"/>
      <c r="AA201" s="670"/>
      <c r="AB201" s="670"/>
      <c r="AC201" s="670"/>
      <c r="AD201" s="4"/>
    </row>
    <row r="202" spans="6:30" ht="15.75" customHeight="1" x14ac:dyDescent="0.25">
      <c r="F202" s="3"/>
      <c r="O202" s="123"/>
      <c r="R202" s="670"/>
      <c r="S202" s="670"/>
      <c r="T202" s="670"/>
      <c r="U202" s="670"/>
      <c r="V202" s="670"/>
      <c r="W202" s="670"/>
      <c r="X202" s="670"/>
      <c r="Y202" s="670"/>
      <c r="Z202" s="670"/>
      <c r="AA202" s="670"/>
      <c r="AB202" s="670"/>
      <c r="AC202" s="670"/>
      <c r="AD202" s="4"/>
    </row>
    <row r="203" spans="6:30" ht="15.75" customHeight="1" x14ac:dyDescent="0.25">
      <c r="F203" s="3"/>
      <c r="O203" s="123"/>
      <c r="R203" s="670"/>
      <c r="S203" s="670"/>
      <c r="T203" s="670"/>
      <c r="U203" s="670"/>
      <c r="V203" s="670"/>
      <c r="W203" s="670"/>
      <c r="X203" s="670"/>
      <c r="Y203" s="670"/>
      <c r="Z203" s="670"/>
      <c r="AA203" s="670"/>
      <c r="AB203" s="670"/>
      <c r="AC203" s="670"/>
      <c r="AD203" s="4"/>
    </row>
    <row r="204" spans="6:30" ht="15.75" customHeight="1" x14ac:dyDescent="0.25">
      <c r="F204" s="3"/>
      <c r="O204" s="123"/>
      <c r="R204" s="670"/>
      <c r="S204" s="670"/>
      <c r="T204" s="670"/>
      <c r="U204" s="670"/>
      <c r="V204" s="670"/>
      <c r="W204" s="670"/>
      <c r="X204" s="670"/>
      <c r="Y204" s="670"/>
      <c r="Z204" s="670"/>
      <c r="AA204" s="670"/>
      <c r="AB204" s="670"/>
      <c r="AC204" s="670"/>
      <c r="AD204" s="4"/>
    </row>
    <row r="205" spans="6:30" ht="15.75" customHeight="1" x14ac:dyDescent="0.25">
      <c r="F205" s="3"/>
      <c r="O205" s="123"/>
      <c r="R205" s="670"/>
      <c r="S205" s="670"/>
      <c r="T205" s="670"/>
      <c r="U205" s="670"/>
      <c r="V205" s="670"/>
      <c r="W205" s="670"/>
      <c r="X205" s="670"/>
      <c r="Y205" s="670"/>
      <c r="Z205" s="670"/>
      <c r="AA205" s="670"/>
      <c r="AB205" s="670"/>
      <c r="AC205" s="670"/>
      <c r="AD205" s="4"/>
    </row>
    <row r="206" spans="6:30" ht="15.75" customHeight="1" x14ac:dyDescent="0.25">
      <c r="F206" s="3"/>
      <c r="O206" s="123"/>
      <c r="R206" s="670"/>
      <c r="S206" s="670"/>
      <c r="T206" s="670"/>
      <c r="U206" s="670"/>
      <c r="V206" s="670"/>
      <c r="W206" s="670"/>
      <c r="X206" s="670"/>
      <c r="Y206" s="670"/>
      <c r="Z206" s="670"/>
      <c r="AA206" s="670"/>
      <c r="AB206" s="670"/>
      <c r="AC206" s="670"/>
      <c r="AD206" s="4"/>
    </row>
    <row r="207" spans="6:30" ht="15.75" customHeight="1" x14ac:dyDescent="0.25">
      <c r="F207" s="3"/>
      <c r="O207" s="123"/>
      <c r="R207" s="670"/>
      <c r="S207" s="670"/>
      <c r="T207" s="670"/>
      <c r="U207" s="670"/>
      <c r="V207" s="670"/>
      <c r="W207" s="670"/>
      <c r="X207" s="670"/>
      <c r="Y207" s="670"/>
      <c r="Z207" s="670"/>
      <c r="AA207" s="670"/>
      <c r="AB207" s="670"/>
      <c r="AC207" s="670"/>
      <c r="AD207" s="4"/>
    </row>
    <row r="208" spans="6:30" ht="15.75" customHeight="1" x14ac:dyDescent="0.25">
      <c r="F208" s="3"/>
      <c r="O208" s="123"/>
      <c r="R208" s="670"/>
      <c r="S208" s="670"/>
      <c r="T208" s="670"/>
      <c r="U208" s="670"/>
      <c r="V208" s="670"/>
      <c r="W208" s="670"/>
      <c r="X208" s="670"/>
      <c r="Y208" s="670"/>
      <c r="Z208" s="670"/>
      <c r="AA208" s="670"/>
      <c r="AB208" s="670"/>
      <c r="AC208" s="670"/>
      <c r="AD208" s="4"/>
    </row>
    <row r="209" spans="6:30" ht="15.75" customHeight="1" x14ac:dyDescent="0.25">
      <c r="F209" s="3"/>
      <c r="O209" s="123"/>
      <c r="R209" s="670"/>
      <c r="S209" s="670"/>
      <c r="T209" s="670"/>
      <c r="U209" s="670"/>
      <c r="V209" s="670"/>
      <c r="W209" s="670"/>
      <c r="X209" s="670"/>
      <c r="Y209" s="670"/>
      <c r="Z209" s="670"/>
      <c r="AA209" s="670"/>
      <c r="AB209" s="670"/>
      <c r="AC209" s="670"/>
      <c r="AD209" s="4"/>
    </row>
    <row r="210" spans="6:30" ht="15.75" customHeight="1" x14ac:dyDescent="0.25">
      <c r="F210" s="3"/>
      <c r="O210" s="123"/>
      <c r="R210" s="670"/>
      <c r="S210" s="670"/>
      <c r="T210" s="670"/>
      <c r="U210" s="670"/>
      <c r="V210" s="670"/>
      <c r="W210" s="670"/>
      <c r="X210" s="670"/>
      <c r="Y210" s="670"/>
      <c r="Z210" s="670"/>
      <c r="AA210" s="670"/>
      <c r="AB210" s="670"/>
      <c r="AC210" s="670"/>
      <c r="AD210" s="4"/>
    </row>
    <row r="211" spans="6:30" ht="15.75" customHeight="1" x14ac:dyDescent="0.25">
      <c r="F211" s="3"/>
      <c r="O211" s="123"/>
      <c r="R211" s="670"/>
      <c r="S211" s="670"/>
      <c r="T211" s="670"/>
      <c r="U211" s="670"/>
      <c r="V211" s="670"/>
      <c r="W211" s="670"/>
      <c r="X211" s="670"/>
      <c r="Y211" s="670"/>
      <c r="Z211" s="670"/>
      <c r="AA211" s="670"/>
      <c r="AB211" s="670"/>
      <c r="AC211" s="670"/>
      <c r="AD211" s="4"/>
    </row>
    <row r="212" spans="6:30" ht="15.75" customHeight="1" x14ac:dyDescent="0.25">
      <c r="F212" s="3"/>
      <c r="O212" s="123"/>
      <c r="R212" s="670"/>
      <c r="S212" s="670"/>
      <c r="T212" s="670"/>
      <c r="U212" s="670"/>
      <c r="V212" s="670"/>
      <c r="W212" s="670"/>
      <c r="X212" s="670"/>
      <c r="Y212" s="670"/>
      <c r="Z212" s="670"/>
      <c r="AA212" s="670"/>
      <c r="AB212" s="670"/>
      <c r="AC212" s="670"/>
      <c r="AD212" s="4"/>
    </row>
    <row r="213" spans="6:30" ht="15.75" customHeight="1" x14ac:dyDescent="0.25">
      <c r="F213" s="3"/>
      <c r="O213" s="123"/>
      <c r="R213" s="670"/>
      <c r="S213" s="670"/>
      <c r="T213" s="670"/>
      <c r="U213" s="670"/>
      <c r="V213" s="670"/>
      <c r="W213" s="670"/>
      <c r="X213" s="670"/>
      <c r="Y213" s="670"/>
      <c r="Z213" s="670"/>
      <c r="AA213" s="670"/>
      <c r="AB213" s="670"/>
      <c r="AC213" s="670"/>
      <c r="AD213" s="4"/>
    </row>
    <row r="214" spans="6:30" ht="15.75" customHeight="1" x14ac:dyDescent="0.25">
      <c r="F214" s="3"/>
      <c r="O214" s="123"/>
      <c r="R214" s="670"/>
      <c r="S214" s="670"/>
      <c r="T214" s="670"/>
      <c r="U214" s="670"/>
      <c r="V214" s="670"/>
      <c r="W214" s="670"/>
      <c r="X214" s="670"/>
      <c r="Y214" s="670"/>
      <c r="Z214" s="670"/>
      <c r="AA214" s="670"/>
      <c r="AB214" s="670"/>
      <c r="AC214" s="670"/>
      <c r="AD214" s="4"/>
    </row>
    <row r="215" spans="6:30" ht="15.75" customHeight="1" x14ac:dyDescent="0.25">
      <c r="F215" s="3"/>
      <c r="O215" s="123"/>
      <c r="R215" s="670"/>
      <c r="S215" s="670"/>
      <c r="T215" s="670"/>
      <c r="U215" s="670"/>
      <c r="V215" s="670"/>
      <c r="W215" s="670"/>
      <c r="X215" s="670"/>
      <c r="Y215" s="670"/>
      <c r="Z215" s="670"/>
      <c r="AA215" s="670"/>
      <c r="AB215" s="670"/>
      <c r="AC215" s="670"/>
      <c r="AD215" s="4"/>
    </row>
    <row r="216" spans="6:30" ht="15.75" customHeight="1" x14ac:dyDescent="0.25">
      <c r="F216" s="3"/>
      <c r="O216" s="123"/>
      <c r="R216" s="670"/>
      <c r="S216" s="670"/>
      <c r="T216" s="670"/>
      <c r="U216" s="670"/>
      <c r="V216" s="670"/>
      <c r="W216" s="670"/>
      <c r="X216" s="670"/>
      <c r="Y216" s="670"/>
      <c r="Z216" s="670"/>
      <c r="AA216" s="670"/>
      <c r="AB216" s="670"/>
      <c r="AC216" s="670"/>
      <c r="AD216" s="4"/>
    </row>
    <row r="217" spans="6:30" ht="15.75" customHeight="1" x14ac:dyDescent="0.25">
      <c r="F217" s="3"/>
      <c r="O217" s="123"/>
      <c r="R217" s="670"/>
      <c r="S217" s="670"/>
      <c r="T217" s="670"/>
      <c r="U217" s="670"/>
      <c r="V217" s="670"/>
      <c r="W217" s="670"/>
      <c r="X217" s="670"/>
      <c r="Y217" s="670"/>
      <c r="Z217" s="670"/>
      <c r="AA217" s="670"/>
      <c r="AB217" s="670"/>
      <c r="AC217" s="670"/>
      <c r="AD217" s="4"/>
    </row>
    <row r="218" spans="6:30" ht="15.75" customHeight="1" x14ac:dyDescent="0.25">
      <c r="F218" s="3"/>
      <c r="O218" s="123"/>
      <c r="R218" s="670"/>
      <c r="S218" s="670"/>
      <c r="T218" s="670"/>
      <c r="U218" s="670"/>
      <c r="V218" s="670"/>
      <c r="W218" s="670"/>
      <c r="X218" s="670"/>
      <c r="Y218" s="670"/>
      <c r="Z218" s="670"/>
      <c r="AA218" s="670"/>
      <c r="AB218" s="670"/>
      <c r="AC218" s="670"/>
      <c r="AD218" s="4"/>
    </row>
    <row r="219" spans="6:30" ht="15.75" customHeight="1" x14ac:dyDescent="0.25">
      <c r="F219" s="3"/>
      <c r="O219" s="123"/>
      <c r="R219" s="670"/>
      <c r="S219" s="670"/>
      <c r="T219" s="670"/>
      <c r="U219" s="670"/>
      <c r="V219" s="670"/>
      <c r="W219" s="670"/>
      <c r="X219" s="670"/>
      <c r="Y219" s="670"/>
      <c r="Z219" s="670"/>
      <c r="AA219" s="670"/>
      <c r="AB219" s="670"/>
      <c r="AC219" s="670"/>
      <c r="AD219" s="4"/>
    </row>
    <row r="220" spans="6:30" ht="15.75" customHeight="1" x14ac:dyDescent="0.25">
      <c r="F220" s="3"/>
      <c r="O220" s="123"/>
      <c r="R220" s="670"/>
      <c r="S220" s="670"/>
      <c r="T220" s="670"/>
      <c r="U220" s="670"/>
      <c r="V220" s="670"/>
      <c r="W220" s="670"/>
      <c r="X220" s="670"/>
      <c r="Y220" s="670"/>
      <c r="Z220" s="670"/>
      <c r="AA220" s="670"/>
      <c r="AB220" s="670"/>
      <c r="AC220" s="670"/>
      <c r="AD220" s="4"/>
    </row>
    <row r="221" spans="6:30" ht="15.75" customHeight="1" x14ac:dyDescent="0.25">
      <c r="F221" s="3"/>
      <c r="O221" s="123"/>
      <c r="R221" s="670"/>
      <c r="S221" s="670"/>
      <c r="T221" s="670"/>
      <c r="U221" s="670"/>
      <c r="V221" s="670"/>
      <c r="W221" s="670"/>
      <c r="X221" s="670"/>
      <c r="Y221" s="670"/>
      <c r="Z221" s="670"/>
      <c r="AA221" s="670"/>
      <c r="AB221" s="670"/>
      <c r="AC221" s="670"/>
      <c r="AD221" s="4"/>
    </row>
    <row r="222" spans="6:30" ht="15.75" customHeight="1" x14ac:dyDescent="0.25">
      <c r="F222" s="3"/>
      <c r="O222" s="123"/>
      <c r="R222" s="670"/>
      <c r="S222" s="670"/>
      <c r="T222" s="670"/>
      <c r="U222" s="670"/>
      <c r="V222" s="670"/>
      <c r="W222" s="670"/>
      <c r="X222" s="670"/>
      <c r="Y222" s="670"/>
      <c r="Z222" s="670"/>
      <c r="AA222" s="670"/>
      <c r="AB222" s="670"/>
      <c r="AC222" s="670"/>
      <c r="AD222" s="4"/>
    </row>
    <row r="223" spans="6:30" ht="15.75" customHeight="1" x14ac:dyDescent="0.25">
      <c r="F223" s="3"/>
      <c r="O223" s="123"/>
      <c r="R223" s="670"/>
      <c r="S223" s="670"/>
      <c r="T223" s="670"/>
      <c r="U223" s="670"/>
      <c r="V223" s="670"/>
      <c r="W223" s="670"/>
      <c r="X223" s="670"/>
      <c r="Y223" s="670"/>
      <c r="Z223" s="670"/>
      <c r="AA223" s="670"/>
      <c r="AB223" s="670"/>
      <c r="AC223" s="670"/>
      <c r="AD223" s="4"/>
    </row>
    <row r="224" spans="6:30" ht="15.75" customHeight="1" x14ac:dyDescent="0.25">
      <c r="F224" s="3"/>
      <c r="O224" s="123"/>
      <c r="R224" s="670"/>
      <c r="S224" s="670"/>
      <c r="T224" s="670"/>
      <c r="U224" s="670"/>
      <c r="V224" s="670"/>
      <c r="W224" s="670"/>
      <c r="X224" s="670"/>
      <c r="Y224" s="670"/>
      <c r="Z224" s="670"/>
      <c r="AA224" s="670"/>
      <c r="AB224" s="670"/>
      <c r="AC224" s="670"/>
      <c r="AD224" s="4"/>
    </row>
    <row r="225" spans="6:30" ht="15.75" customHeight="1" x14ac:dyDescent="0.25">
      <c r="F225" s="3"/>
      <c r="O225" s="123"/>
      <c r="R225" s="670"/>
      <c r="S225" s="670"/>
      <c r="T225" s="670"/>
      <c r="U225" s="670"/>
      <c r="V225" s="670"/>
      <c r="W225" s="670"/>
      <c r="X225" s="670"/>
      <c r="Y225" s="670"/>
      <c r="Z225" s="670"/>
      <c r="AA225" s="670"/>
      <c r="AB225" s="670"/>
      <c r="AC225" s="670"/>
      <c r="AD225" s="4"/>
    </row>
    <row r="226" spans="6:30" ht="15.75" customHeight="1" x14ac:dyDescent="0.25">
      <c r="F226" s="3"/>
      <c r="O226" s="123"/>
      <c r="R226" s="670"/>
      <c r="S226" s="670"/>
      <c r="T226" s="670"/>
      <c r="U226" s="670"/>
      <c r="V226" s="670"/>
      <c r="W226" s="670"/>
      <c r="X226" s="670"/>
      <c r="Y226" s="670"/>
      <c r="Z226" s="670"/>
      <c r="AA226" s="670"/>
      <c r="AB226" s="670"/>
      <c r="AC226" s="670"/>
      <c r="AD226" s="4"/>
    </row>
    <row r="227" spans="6:30" ht="15.75" customHeight="1" x14ac:dyDescent="0.25">
      <c r="F227" s="3"/>
      <c r="O227" s="123"/>
      <c r="R227" s="670"/>
      <c r="S227" s="670"/>
      <c r="T227" s="670"/>
      <c r="U227" s="670"/>
      <c r="V227" s="670"/>
      <c r="W227" s="670"/>
      <c r="X227" s="670"/>
      <c r="Y227" s="670"/>
      <c r="Z227" s="670"/>
      <c r="AA227" s="670"/>
      <c r="AB227" s="670"/>
      <c r="AC227" s="670"/>
      <c r="AD227" s="4"/>
    </row>
    <row r="228" spans="6:30" ht="15.75" customHeight="1" x14ac:dyDescent="0.25">
      <c r="F228" s="3"/>
      <c r="O228" s="123"/>
      <c r="R228" s="670"/>
      <c r="S228" s="670"/>
      <c r="T228" s="670"/>
      <c r="U228" s="670"/>
      <c r="V228" s="670"/>
      <c r="W228" s="670"/>
      <c r="X228" s="670"/>
      <c r="Y228" s="670"/>
      <c r="Z228" s="670"/>
      <c r="AA228" s="670"/>
      <c r="AB228" s="670"/>
      <c r="AC228" s="670"/>
      <c r="AD228" s="4"/>
    </row>
    <row r="229" spans="6:30" ht="15.75" customHeight="1" x14ac:dyDescent="0.25">
      <c r="F229" s="3"/>
      <c r="O229" s="123"/>
      <c r="R229" s="670"/>
      <c r="S229" s="670"/>
      <c r="T229" s="670"/>
      <c r="U229" s="670"/>
      <c r="V229" s="670"/>
      <c r="W229" s="670"/>
      <c r="X229" s="670"/>
      <c r="Y229" s="670"/>
      <c r="Z229" s="670"/>
      <c r="AA229" s="670"/>
      <c r="AB229" s="670"/>
      <c r="AC229" s="670"/>
      <c r="AD229" s="4"/>
    </row>
    <row r="230" spans="6:30" ht="15.75" customHeight="1" x14ac:dyDescent="0.25">
      <c r="F230" s="3"/>
      <c r="O230" s="123"/>
      <c r="R230" s="670"/>
      <c r="S230" s="670"/>
      <c r="T230" s="670"/>
      <c r="U230" s="670"/>
      <c r="V230" s="670"/>
      <c r="W230" s="670"/>
      <c r="X230" s="670"/>
      <c r="Y230" s="670"/>
      <c r="Z230" s="670"/>
      <c r="AA230" s="670"/>
      <c r="AB230" s="670"/>
      <c r="AC230" s="670"/>
      <c r="AD230" s="4"/>
    </row>
    <row r="231" spans="6:30" ht="15.75" customHeight="1" x14ac:dyDescent="0.25">
      <c r="F231" s="3"/>
      <c r="O231" s="123"/>
      <c r="R231" s="670"/>
      <c r="S231" s="670"/>
      <c r="T231" s="670"/>
      <c r="U231" s="670"/>
      <c r="V231" s="670"/>
      <c r="W231" s="670"/>
      <c r="X231" s="670"/>
      <c r="Y231" s="670"/>
      <c r="Z231" s="670"/>
      <c r="AA231" s="670"/>
      <c r="AB231" s="670"/>
      <c r="AC231" s="670"/>
      <c r="AD231" s="4"/>
    </row>
    <row r="232" spans="6:30" ht="15.75" customHeight="1" x14ac:dyDescent="0.25">
      <c r="F232" s="3"/>
      <c r="O232" s="123"/>
      <c r="R232" s="670"/>
      <c r="S232" s="670"/>
      <c r="T232" s="670"/>
      <c r="U232" s="670"/>
      <c r="V232" s="670"/>
      <c r="W232" s="670"/>
      <c r="X232" s="670"/>
      <c r="Y232" s="670"/>
      <c r="Z232" s="670"/>
      <c r="AA232" s="670"/>
      <c r="AB232" s="670"/>
      <c r="AC232" s="670"/>
      <c r="AD232" s="4"/>
    </row>
    <row r="233" spans="6:30" ht="15.75" customHeight="1" x14ac:dyDescent="0.25">
      <c r="F233" s="3"/>
      <c r="O233" s="123"/>
      <c r="R233" s="670"/>
      <c r="S233" s="670"/>
      <c r="T233" s="670"/>
      <c r="U233" s="670"/>
      <c r="V233" s="670"/>
      <c r="W233" s="670"/>
      <c r="X233" s="670"/>
      <c r="Y233" s="670"/>
      <c r="Z233" s="670"/>
      <c r="AA233" s="670"/>
      <c r="AB233" s="670"/>
      <c r="AC233" s="670"/>
      <c r="AD233" s="4"/>
    </row>
    <row r="234" spans="6:30" ht="15.75" customHeight="1" x14ac:dyDescent="0.25">
      <c r="F234" s="3"/>
      <c r="O234" s="123"/>
      <c r="R234" s="670"/>
      <c r="S234" s="670"/>
      <c r="T234" s="670"/>
      <c r="U234" s="670"/>
      <c r="V234" s="670"/>
      <c r="W234" s="670"/>
      <c r="X234" s="670"/>
      <c r="Y234" s="670"/>
      <c r="Z234" s="670"/>
      <c r="AA234" s="670"/>
      <c r="AB234" s="670"/>
      <c r="AC234" s="670"/>
      <c r="AD234" s="4"/>
    </row>
    <row r="235" spans="6:30" ht="15.75" customHeight="1" x14ac:dyDescent="0.25">
      <c r="F235" s="3"/>
      <c r="O235" s="123"/>
      <c r="R235" s="670"/>
      <c r="S235" s="670"/>
      <c r="T235" s="670"/>
      <c r="U235" s="670"/>
      <c r="V235" s="670"/>
      <c r="W235" s="670"/>
      <c r="X235" s="670"/>
      <c r="Y235" s="670"/>
      <c r="Z235" s="670"/>
      <c r="AA235" s="670"/>
      <c r="AB235" s="670"/>
      <c r="AC235" s="670"/>
      <c r="AD235" s="4"/>
    </row>
    <row r="236" spans="6:30" ht="15.75" customHeight="1" x14ac:dyDescent="0.25">
      <c r="F236" s="3"/>
      <c r="O236" s="123"/>
      <c r="R236" s="670"/>
      <c r="S236" s="670"/>
      <c r="T236" s="670"/>
      <c r="U236" s="670"/>
      <c r="V236" s="670"/>
      <c r="W236" s="670"/>
      <c r="X236" s="670"/>
      <c r="Y236" s="670"/>
      <c r="Z236" s="670"/>
      <c r="AA236" s="670"/>
      <c r="AB236" s="670"/>
      <c r="AC236" s="670"/>
      <c r="AD236" s="4"/>
    </row>
    <row r="237" spans="6:30" ht="15.75" customHeight="1" x14ac:dyDescent="0.25">
      <c r="F237" s="3"/>
      <c r="O237" s="123"/>
      <c r="R237" s="670"/>
      <c r="S237" s="670"/>
      <c r="T237" s="670"/>
      <c r="U237" s="670"/>
      <c r="V237" s="670"/>
      <c r="W237" s="670"/>
      <c r="X237" s="670"/>
      <c r="Y237" s="670"/>
      <c r="Z237" s="670"/>
      <c r="AA237" s="670"/>
      <c r="AB237" s="670"/>
      <c r="AC237" s="670"/>
      <c r="AD237" s="4"/>
    </row>
    <row r="238" spans="6:30" ht="15.75" customHeight="1" x14ac:dyDescent="0.25">
      <c r="F238" s="3"/>
      <c r="O238" s="123"/>
      <c r="R238" s="670"/>
      <c r="S238" s="670"/>
      <c r="T238" s="670"/>
      <c r="U238" s="670"/>
      <c r="V238" s="670"/>
      <c r="W238" s="670"/>
      <c r="X238" s="670"/>
      <c r="Y238" s="670"/>
      <c r="Z238" s="670"/>
      <c r="AA238" s="670"/>
      <c r="AB238" s="670"/>
      <c r="AC238" s="670"/>
      <c r="AD238" s="4"/>
    </row>
    <row r="239" spans="6:30" ht="15.75" customHeight="1" x14ac:dyDescent="0.25">
      <c r="F239" s="3"/>
      <c r="O239" s="123"/>
      <c r="R239" s="670"/>
      <c r="S239" s="670"/>
      <c r="T239" s="670"/>
      <c r="U239" s="670"/>
      <c r="V239" s="670"/>
      <c r="W239" s="670"/>
      <c r="X239" s="670"/>
      <c r="Y239" s="670"/>
      <c r="Z239" s="670"/>
      <c r="AA239" s="670"/>
      <c r="AB239" s="670"/>
      <c r="AC239" s="670"/>
      <c r="AD239" s="4"/>
    </row>
    <row r="240" spans="6:30" ht="15.75" customHeight="1" x14ac:dyDescent="0.25">
      <c r="F240" s="3"/>
      <c r="O240" s="123"/>
      <c r="R240" s="670"/>
      <c r="S240" s="670"/>
      <c r="T240" s="670"/>
      <c r="U240" s="670"/>
      <c r="V240" s="670"/>
      <c r="W240" s="670"/>
      <c r="X240" s="670"/>
      <c r="Y240" s="670"/>
      <c r="Z240" s="670"/>
      <c r="AA240" s="670"/>
      <c r="AB240" s="670"/>
      <c r="AC240" s="670"/>
      <c r="AD240" s="4"/>
    </row>
    <row r="241" spans="6:30" ht="15.75" customHeight="1" x14ac:dyDescent="0.25">
      <c r="F241" s="3"/>
      <c r="O241" s="123"/>
      <c r="R241" s="670"/>
      <c r="S241" s="670"/>
      <c r="T241" s="670"/>
      <c r="U241" s="670"/>
      <c r="V241" s="670"/>
      <c r="W241" s="670"/>
      <c r="X241" s="670"/>
      <c r="Y241" s="670"/>
      <c r="Z241" s="670"/>
      <c r="AA241" s="670"/>
      <c r="AB241" s="670"/>
      <c r="AC241" s="670"/>
      <c r="AD241" s="4"/>
    </row>
    <row r="242" spans="6:30" ht="15.75" customHeight="1" x14ac:dyDescent="0.25">
      <c r="F242" s="3"/>
      <c r="O242" s="123"/>
      <c r="R242" s="670"/>
      <c r="S242" s="670"/>
      <c r="T242" s="670"/>
      <c r="U242" s="670"/>
      <c r="V242" s="670"/>
      <c r="W242" s="670"/>
      <c r="X242" s="670"/>
      <c r="Y242" s="670"/>
      <c r="Z242" s="670"/>
      <c r="AA242" s="670"/>
      <c r="AB242" s="670"/>
      <c r="AC242" s="670"/>
      <c r="AD242" s="4"/>
    </row>
    <row r="243" spans="6:30" ht="15.75" customHeight="1" x14ac:dyDescent="0.25">
      <c r="F243" s="3"/>
      <c r="O243" s="123"/>
      <c r="R243" s="670"/>
      <c r="S243" s="670"/>
      <c r="T243" s="670"/>
      <c r="U243" s="670"/>
      <c r="V243" s="670"/>
      <c r="W243" s="670"/>
      <c r="X243" s="670"/>
      <c r="Y243" s="670"/>
      <c r="Z243" s="670"/>
      <c r="AA243" s="670"/>
      <c r="AB243" s="670"/>
      <c r="AC243" s="670"/>
      <c r="AD243" s="4"/>
    </row>
    <row r="244" spans="6:30" ht="15.75" customHeight="1" x14ac:dyDescent="0.25">
      <c r="F244" s="3"/>
      <c r="O244" s="123"/>
      <c r="R244" s="670"/>
      <c r="S244" s="670"/>
      <c r="T244" s="670"/>
      <c r="U244" s="670"/>
      <c r="V244" s="670"/>
      <c r="W244" s="670"/>
      <c r="X244" s="670"/>
      <c r="Y244" s="670"/>
      <c r="Z244" s="670"/>
      <c r="AA244" s="670"/>
      <c r="AB244" s="670"/>
      <c r="AC244" s="670"/>
      <c r="AD244" s="4"/>
    </row>
    <row r="245" spans="6:30" ht="15.75" customHeight="1" x14ac:dyDescent="0.25">
      <c r="F245" s="3"/>
      <c r="O245" s="123"/>
      <c r="R245" s="670"/>
      <c r="S245" s="670"/>
      <c r="T245" s="670"/>
      <c r="U245" s="670"/>
      <c r="V245" s="670"/>
      <c r="W245" s="670"/>
      <c r="X245" s="670"/>
      <c r="Y245" s="670"/>
      <c r="Z245" s="670"/>
      <c r="AA245" s="670"/>
      <c r="AB245" s="670"/>
      <c r="AC245" s="670"/>
      <c r="AD245" s="4"/>
    </row>
    <row r="246" spans="6:30" ht="15.75" customHeight="1" x14ac:dyDescent="0.25">
      <c r="F246" s="3"/>
      <c r="O246" s="123"/>
      <c r="R246" s="670"/>
      <c r="S246" s="670"/>
      <c r="T246" s="670"/>
      <c r="U246" s="670"/>
      <c r="V246" s="670"/>
      <c r="W246" s="670"/>
      <c r="X246" s="670"/>
      <c r="Y246" s="670"/>
      <c r="Z246" s="670"/>
      <c r="AA246" s="670"/>
      <c r="AB246" s="670"/>
      <c r="AC246" s="670"/>
      <c r="AD246" s="4"/>
    </row>
    <row r="247" spans="6:30" ht="15.75" customHeight="1" x14ac:dyDescent="0.25">
      <c r="F247" s="3"/>
      <c r="O247" s="123"/>
      <c r="R247" s="670"/>
      <c r="S247" s="670"/>
      <c r="T247" s="670"/>
      <c r="U247" s="670"/>
      <c r="V247" s="670"/>
      <c r="W247" s="670"/>
      <c r="X247" s="670"/>
      <c r="Y247" s="670"/>
      <c r="Z247" s="670"/>
      <c r="AA247" s="670"/>
      <c r="AB247" s="670"/>
      <c r="AC247" s="670"/>
      <c r="AD247" s="4"/>
    </row>
    <row r="248" spans="6:30" ht="15.75" customHeight="1" x14ac:dyDescent="0.25">
      <c r="F248" s="3"/>
      <c r="O248" s="123"/>
      <c r="R248" s="670"/>
      <c r="S248" s="670"/>
      <c r="T248" s="670"/>
      <c r="U248" s="670"/>
      <c r="V248" s="670"/>
      <c r="W248" s="670"/>
      <c r="X248" s="670"/>
      <c r="Y248" s="670"/>
      <c r="Z248" s="670"/>
      <c r="AA248" s="670"/>
      <c r="AB248" s="670"/>
      <c r="AC248" s="670"/>
      <c r="AD248" s="4"/>
    </row>
    <row r="249" spans="6:30" ht="15.75" customHeight="1" x14ac:dyDescent="0.25">
      <c r="F249" s="3"/>
      <c r="O249" s="123"/>
      <c r="R249" s="670"/>
      <c r="S249" s="670"/>
      <c r="T249" s="670"/>
      <c r="U249" s="670"/>
      <c r="V249" s="670"/>
      <c r="W249" s="670"/>
      <c r="X249" s="670"/>
      <c r="Y249" s="670"/>
      <c r="Z249" s="670"/>
      <c r="AA249" s="670"/>
      <c r="AB249" s="670"/>
      <c r="AC249" s="670"/>
      <c r="AD249" s="4"/>
    </row>
    <row r="250" spans="6:30" ht="15.75" customHeight="1" x14ac:dyDescent="0.25">
      <c r="F250" s="3"/>
      <c r="O250" s="123"/>
      <c r="R250" s="670"/>
      <c r="S250" s="670"/>
      <c r="T250" s="670"/>
      <c r="U250" s="670"/>
      <c r="V250" s="670"/>
      <c r="W250" s="670"/>
      <c r="X250" s="670"/>
      <c r="Y250" s="670"/>
      <c r="Z250" s="670"/>
      <c r="AA250" s="670"/>
      <c r="AB250" s="670"/>
      <c r="AC250" s="670"/>
      <c r="AD250" s="4"/>
    </row>
    <row r="251" spans="6:30" ht="15.75" customHeight="1" x14ac:dyDescent="0.25">
      <c r="F251" s="3"/>
      <c r="O251" s="123"/>
      <c r="R251" s="670"/>
      <c r="S251" s="670"/>
      <c r="T251" s="670"/>
      <c r="U251" s="670"/>
      <c r="V251" s="670"/>
      <c r="W251" s="670"/>
      <c r="X251" s="670"/>
      <c r="Y251" s="670"/>
      <c r="Z251" s="670"/>
      <c r="AA251" s="670"/>
      <c r="AB251" s="670"/>
      <c r="AC251" s="670"/>
      <c r="AD251" s="4"/>
    </row>
    <row r="252" spans="6:30" ht="15.75" customHeight="1" x14ac:dyDescent="0.25">
      <c r="F252" s="3"/>
      <c r="O252" s="123"/>
      <c r="R252" s="670"/>
      <c r="S252" s="670"/>
      <c r="T252" s="670"/>
      <c r="U252" s="670"/>
      <c r="V252" s="670"/>
      <c r="W252" s="670"/>
      <c r="X252" s="670"/>
      <c r="Y252" s="670"/>
      <c r="Z252" s="670"/>
      <c r="AA252" s="670"/>
      <c r="AB252" s="670"/>
      <c r="AC252" s="670"/>
      <c r="AD252" s="4"/>
    </row>
    <row r="253" spans="6:30" ht="15.75" customHeight="1" x14ac:dyDescent="0.25">
      <c r="F253" s="3"/>
      <c r="O253" s="123"/>
      <c r="R253" s="670"/>
      <c r="S253" s="670"/>
      <c r="T253" s="670"/>
      <c r="U253" s="670"/>
      <c r="V253" s="670"/>
      <c r="W253" s="670"/>
      <c r="X253" s="670"/>
      <c r="Y253" s="670"/>
      <c r="Z253" s="670"/>
      <c r="AA253" s="670"/>
      <c r="AB253" s="670"/>
      <c r="AC253" s="670"/>
      <c r="AD253" s="4"/>
    </row>
    <row r="254" spans="6:30" ht="15.75" customHeight="1" x14ac:dyDescent="0.25">
      <c r="F254" s="3"/>
      <c r="O254" s="123"/>
      <c r="R254" s="670"/>
      <c r="S254" s="670"/>
      <c r="T254" s="670"/>
      <c r="U254" s="670"/>
      <c r="V254" s="670"/>
      <c r="W254" s="670"/>
      <c r="X254" s="670"/>
      <c r="Y254" s="670"/>
      <c r="Z254" s="670"/>
      <c r="AA254" s="670"/>
      <c r="AB254" s="670"/>
      <c r="AC254" s="670"/>
      <c r="AD254" s="4"/>
    </row>
    <row r="255" spans="6:30" ht="15.75" customHeight="1" x14ac:dyDescent="0.25">
      <c r="F255" s="3"/>
      <c r="O255" s="123"/>
      <c r="R255" s="670"/>
      <c r="S255" s="670"/>
      <c r="T255" s="670"/>
      <c r="U255" s="670"/>
      <c r="V255" s="670"/>
      <c r="W255" s="670"/>
      <c r="X255" s="670"/>
      <c r="Y255" s="670"/>
      <c r="Z255" s="670"/>
      <c r="AA255" s="670"/>
      <c r="AB255" s="670"/>
      <c r="AC255" s="670"/>
      <c r="AD255" s="4"/>
    </row>
    <row r="256" spans="6:30" ht="15.75" customHeight="1" x14ac:dyDescent="0.25">
      <c r="F256" s="3"/>
      <c r="O256" s="123"/>
      <c r="R256" s="670"/>
      <c r="S256" s="670"/>
      <c r="T256" s="670"/>
      <c r="U256" s="670"/>
      <c r="V256" s="670"/>
      <c r="W256" s="670"/>
      <c r="X256" s="670"/>
      <c r="Y256" s="670"/>
      <c r="Z256" s="670"/>
      <c r="AA256" s="670"/>
      <c r="AB256" s="670"/>
      <c r="AC256" s="670"/>
      <c r="AD256" s="4"/>
    </row>
    <row r="257" spans="6:30" ht="15.75" customHeight="1" x14ac:dyDescent="0.25">
      <c r="F257" s="3"/>
      <c r="O257" s="123"/>
      <c r="R257" s="670"/>
      <c r="S257" s="670"/>
      <c r="T257" s="670"/>
      <c r="U257" s="670"/>
      <c r="V257" s="670"/>
      <c r="W257" s="670"/>
      <c r="X257" s="670"/>
      <c r="Y257" s="670"/>
      <c r="Z257" s="670"/>
      <c r="AA257" s="670"/>
      <c r="AB257" s="670"/>
      <c r="AC257" s="670"/>
      <c r="AD257" s="4"/>
    </row>
    <row r="258" spans="6:30" ht="15.75" customHeight="1" x14ac:dyDescent="0.25">
      <c r="F258" s="3"/>
      <c r="O258" s="123"/>
      <c r="R258" s="670"/>
      <c r="S258" s="670"/>
      <c r="T258" s="670"/>
      <c r="U258" s="670"/>
      <c r="V258" s="670"/>
      <c r="W258" s="670"/>
      <c r="X258" s="670"/>
      <c r="Y258" s="670"/>
      <c r="Z258" s="670"/>
      <c r="AA258" s="670"/>
      <c r="AB258" s="670"/>
      <c r="AC258" s="670"/>
      <c r="AD258" s="4"/>
    </row>
    <row r="259" spans="6:30" ht="15.75" customHeight="1" x14ac:dyDescent="0.25">
      <c r="F259" s="3"/>
      <c r="O259" s="123"/>
      <c r="R259" s="670"/>
      <c r="S259" s="670"/>
      <c r="T259" s="670"/>
      <c r="U259" s="670"/>
      <c r="V259" s="670"/>
      <c r="W259" s="670"/>
      <c r="X259" s="670"/>
      <c r="Y259" s="670"/>
      <c r="Z259" s="670"/>
      <c r="AA259" s="670"/>
      <c r="AB259" s="670"/>
      <c r="AC259" s="670"/>
      <c r="AD259" s="4"/>
    </row>
    <row r="260" spans="6:30" ht="15.75" customHeight="1" x14ac:dyDescent="0.25">
      <c r="F260" s="3"/>
      <c r="O260" s="123"/>
      <c r="R260" s="670"/>
      <c r="S260" s="670"/>
      <c r="T260" s="670"/>
      <c r="U260" s="670"/>
      <c r="V260" s="670"/>
      <c r="W260" s="670"/>
      <c r="X260" s="670"/>
      <c r="Y260" s="670"/>
      <c r="Z260" s="670"/>
      <c r="AA260" s="670"/>
      <c r="AB260" s="670"/>
      <c r="AC260" s="670"/>
      <c r="AD260" s="4"/>
    </row>
    <row r="261" spans="6:30" ht="15.75" customHeight="1" x14ac:dyDescent="0.25">
      <c r="F261" s="3"/>
      <c r="O261" s="123"/>
      <c r="R261" s="670"/>
      <c r="S261" s="670"/>
      <c r="T261" s="670"/>
      <c r="U261" s="670"/>
      <c r="V261" s="670"/>
      <c r="W261" s="670"/>
      <c r="X261" s="670"/>
      <c r="Y261" s="670"/>
      <c r="Z261" s="670"/>
      <c r="AA261" s="670"/>
      <c r="AB261" s="670"/>
      <c r="AC261" s="670"/>
      <c r="AD261" s="4"/>
    </row>
    <row r="262" spans="6:30" ht="15.75" customHeight="1" x14ac:dyDescent="0.25">
      <c r="F262" s="3"/>
      <c r="O262" s="123"/>
      <c r="R262" s="670"/>
      <c r="S262" s="670"/>
      <c r="T262" s="670"/>
      <c r="U262" s="670"/>
      <c r="V262" s="670"/>
      <c r="W262" s="670"/>
      <c r="X262" s="670"/>
      <c r="Y262" s="670"/>
      <c r="Z262" s="670"/>
      <c r="AA262" s="670"/>
      <c r="AB262" s="670"/>
      <c r="AC262" s="670"/>
      <c r="AD262" s="4"/>
    </row>
    <row r="263" spans="6:30" ht="15.75" customHeight="1" x14ac:dyDescent="0.25">
      <c r="F263" s="3"/>
      <c r="O263" s="123"/>
      <c r="R263" s="670"/>
      <c r="S263" s="670"/>
      <c r="T263" s="670"/>
      <c r="U263" s="670"/>
      <c r="V263" s="670"/>
      <c r="W263" s="670"/>
      <c r="X263" s="670"/>
      <c r="Y263" s="670"/>
      <c r="Z263" s="670"/>
      <c r="AA263" s="670"/>
      <c r="AB263" s="670"/>
      <c r="AC263" s="670"/>
      <c r="AD263" s="4"/>
    </row>
    <row r="264" spans="6:30" ht="15.75" customHeight="1" x14ac:dyDescent="0.25">
      <c r="F264" s="3"/>
      <c r="O264" s="123"/>
      <c r="R264" s="670"/>
      <c r="S264" s="670"/>
      <c r="T264" s="670"/>
      <c r="U264" s="670"/>
      <c r="V264" s="670"/>
      <c r="W264" s="670"/>
      <c r="X264" s="670"/>
      <c r="Y264" s="670"/>
      <c r="Z264" s="670"/>
      <c r="AA264" s="670"/>
      <c r="AB264" s="670"/>
      <c r="AC264" s="670"/>
      <c r="AD264" s="4"/>
    </row>
    <row r="265" spans="6:30" ht="15.75" customHeight="1" x14ac:dyDescent="0.25">
      <c r="F265" s="3"/>
      <c r="O265" s="123"/>
      <c r="R265" s="670"/>
      <c r="S265" s="670"/>
      <c r="T265" s="670"/>
      <c r="U265" s="670"/>
      <c r="V265" s="670"/>
      <c r="W265" s="670"/>
      <c r="X265" s="670"/>
      <c r="Y265" s="670"/>
      <c r="Z265" s="670"/>
      <c r="AA265" s="670"/>
      <c r="AB265" s="670"/>
      <c r="AC265" s="670"/>
      <c r="AD265" s="4"/>
    </row>
    <row r="266" spans="6:30" ht="15.75" customHeight="1" x14ac:dyDescent="0.25">
      <c r="F266" s="3"/>
      <c r="O266" s="123"/>
      <c r="R266" s="670"/>
      <c r="S266" s="670"/>
      <c r="T266" s="670"/>
      <c r="U266" s="670"/>
      <c r="V266" s="670"/>
      <c r="W266" s="670"/>
      <c r="X266" s="670"/>
      <c r="Y266" s="670"/>
      <c r="Z266" s="670"/>
      <c r="AA266" s="670"/>
      <c r="AB266" s="670"/>
      <c r="AC266" s="670"/>
      <c r="AD266" s="4"/>
    </row>
    <row r="267" spans="6:30" ht="15.75" customHeight="1" x14ac:dyDescent="0.25">
      <c r="F267" s="3"/>
      <c r="O267" s="123"/>
      <c r="R267" s="670"/>
      <c r="S267" s="670"/>
      <c r="T267" s="670"/>
      <c r="U267" s="670"/>
      <c r="V267" s="670"/>
      <c r="W267" s="670"/>
      <c r="X267" s="670"/>
      <c r="Y267" s="670"/>
      <c r="Z267" s="670"/>
      <c r="AA267" s="670"/>
      <c r="AB267" s="670"/>
      <c r="AC267" s="670"/>
      <c r="AD267" s="4"/>
    </row>
    <row r="268" spans="6:30" ht="15.75" customHeight="1" x14ac:dyDescent="0.25">
      <c r="F268" s="3"/>
      <c r="O268" s="123"/>
      <c r="R268" s="670"/>
      <c r="S268" s="670"/>
      <c r="T268" s="670"/>
      <c r="U268" s="670"/>
      <c r="V268" s="670"/>
      <c r="W268" s="670"/>
      <c r="X268" s="670"/>
      <c r="Y268" s="670"/>
      <c r="Z268" s="670"/>
      <c r="AA268" s="670"/>
      <c r="AB268" s="670"/>
      <c r="AC268" s="670"/>
      <c r="AD268" s="4"/>
    </row>
    <row r="269" spans="6:30" ht="15.75" customHeight="1" x14ac:dyDescent="0.25">
      <c r="F269" s="3"/>
      <c r="O269" s="123"/>
      <c r="R269" s="670"/>
      <c r="S269" s="670"/>
      <c r="T269" s="670"/>
      <c r="U269" s="670"/>
      <c r="V269" s="670"/>
      <c r="W269" s="670"/>
      <c r="X269" s="670"/>
      <c r="Y269" s="670"/>
      <c r="Z269" s="670"/>
      <c r="AA269" s="670"/>
      <c r="AB269" s="670"/>
      <c r="AC269" s="670"/>
      <c r="AD269" s="4"/>
    </row>
    <row r="270" spans="6:30" ht="15.75" customHeight="1" x14ac:dyDescent="0.25">
      <c r="F270" s="3"/>
      <c r="O270" s="123"/>
      <c r="R270" s="670"/>
      <c r="S270" s="670"/>
      <c r="T270" s="670"/>
      <c r="U270" s="670"/>
      <c r="V270" s="670"/>
      <c r="W270" s="670"/>
      <c r="X270" s="670"/>
      <c r="Y270" s="670"/>
      <c r="Z270" s="670"/>
      <c r="AA270" s="670"/>
      <c r="AB270" s="670"/>
      <c r="AC270" s="670"/>
      <c r="AD270" s="4"/>
    </row>
    <row r="271" spans="6:30" ht="15.75" customHeight="1" x14ac:dyDescent="0.25">
      <c r="F271" s="3"/>
      <c r="O271" s="123"/>
      <c r="R271" s="670"/>
      <c r="S271" s="670"/>
      <c r="T271" s="670"/>
      <c r="U271" s="670"/>
      <c r="V271" s="670"/>
      <c r="W271" s="670"/>
      <c r="X271" s="670"/>
      <c r="Y271" s="670"/>
      <c r="Z271" s="670"/>
      <c r="AA271" s="670"/>
      <c r="AB271" s="670"/>
      <c r="AC271" s="670"/>
      <c r="AD271" s="4"/>
    </row>
    <row r="272" spans="6:30" ht="15.75" customHeight="1" x14ac:dyDescent="0.25">
      <c r="F272" s="3"/>
      <c r="O272" s="123"/>
      <c r="R272" s="670"/>
      <c r="S272" s="670"/>
      <c r="T272" s="670"/>
      <c r="U272" s="670"/>
      <c r="V272" s="670"/>
      <c r="W272" s="670"/>
      <c r="X272" s="670"/>
      <c r="Y272" s="670"/>
      <c r="Z272" s="670"/>
      <c r="AA272" s="670"/>
      <c r="AB272" s="670"/>
      <c r="AC272" s="670"/>
      <c r="AD272" s="4"/>
    </row>
    <row r="273" spans="6:30" ht="15.75" customHeight="1" x14ac:dyDescent="0.25">
      <c r="F273" s="3"/>
      <c r="O273" s="123"/>
      <c r="R273" s="670"/>
      <c r="S273" s="670"/>
      <c r="T273" s="670"/>
      <c r="U273" s="670"/>
      <c r="V273" s="670"/>
      <c r="W273" s="670"/>
      <c r="X273" s="670"/>
      <c r="Y273" s="670"/>
      <c r="Z273" s="670"/>
      <c r="AA273" s="670"/>
      <c r="AB273" s="670"/>
      <c r="AC273" s="670"/>
      <c r="AD273" s="4"/>
    </row>
    <row r="274" spans="6:30" ht="15.75" customHeight="1" x14ac:dyDescent="0.25">
      <c r="F274" s="3"/>
      <c r="O274" s="123"/>
      <c r="R274" s="670"/>
      <c r="S274" s="670"/>
      <c r="T274" s="670"/>
      <c r="U274" s="670"/>
      <c r="V274" s="670"/>
      <c r="W274" s="670"/>
      <c r="X274" s="670"/>
      <c r="Y274" s="670"/>
      <c r="Z274" s="670"/>
      <c r="AA274" s="670"/>
      <c r="AB274" s="670"/>
      <c r="AC274" s="670"/>
      <c r="AD274" s="4"/>
    </row>
    <row r="275" spans="6:30" ht="15.75" customHeight="1" x14ac:dyDescent="0.25">
      <c r="F275" s="3"/>
      <c r="O275" s="123"/>
      <c r="R275" s="670"/>
      <c r="S275" s="670"/>
      <c r="T275" s="670"/>
      <c r="U275" s="670"/>
      <c r="V275" s="670"/>
      <c r="W275" s="670"/>
      <c r="X275" s="670"/>
      <c r="Y275" s="670"/>
      <c r="Z275" s="670"/>
      <c r="AA275" s="670"/>
      <c r="AB275" s="670"/>
      <c r="AC275" s="670"/>
      <c r="AD275" s="4"/>
    </row>
    <row r="276" spans="6:30" ht="15.75" customHeight="1" x14ac:dyDescent="0.25">
      <c r="F276" s="3"/>
      <c r="O276" s="123"/>
      <c r="R276" s="670"/>
      <c r="S276" s="670"/>
      <c r="T276" s="670"/>
      <c r="U276" s="670"/>
      <c r="V276" s="670"/>
      <c r="W276" s="670"/>
      <c r="X276" s="670"/>
      <c r="Y276" s="670"/>
      <c r="Z276" s="670"/>
      <c r="AA276" s="670"/>
      <c r="AB276" s="670"/>
      <c r="AC276" s="670"/>
      <c r="AD276" s="4"/>
    </row>
    <row r="277" spans="6:30" ht="15.75" customHeight="1" x14ac:dyDescent="0.25">
      <c r="F277" s="3"/>
      <c r="O277" s="123"/>
      <c r="R277" s="670"/>
      <c r="S277" s="670"/>
      <c r="T277" s="670"/>
      <c r="U277" s="670"/>
      <c r="V277" s="670"/>
      <c r="W277" s="670"/>
      <c r="X277" s="670"/>
      <c r="Y277" s="670"/>
      <c r="Z277" s="670"/>
      <c r="AA277" s="670"/>
      <c r="AB277" s="670"/>
      <c r="AC277" s="670"/>
      <c r="AD277" s="4"/>
    </row>
    <row r="278" spans="6:30" ht="15.75" customHeight="1" x14ac:dyDescent="0.25">
      <c r="F278" s="3"/>
      <c r="O278" s="123"/>
      <c r="R278" s="670"/>
      <c r="S278" s="670"/>
      <c r="T278" s="670"/>
      <c r="U278" s="670"/>
      <c r="V278" s="670"/>
      <c r="W278" s="670"/>
      <c r="X278" s="670"/>
      <c r="Y278" s="670"/>
      <c r="Z278" s="670"/>
      <c r="AA278" s="670"/>
      <c r="AB278" s="670"/>
      <c r="AC278" s="670"/>
      <c r="AD278" s="4"/>
    </row>
    <row r="279" spans="6:30" ht="15.75" customHeight="1" x14ac:dyDescent="0.25">
      <c r="F279" s="3"/>
      <c r="O279" s="123"/>
      <c r="R279" s="670"/>
      <c r="S279" s="670"/>
      <c r="T279" s="670"/>
      <c r="U279" s="670"/>
      <c r="V279" s="670"/>
      <c r="W279" s="670"/>
      <c r="X279" s="670"/>
      <c r="Y279" s="670"/>
      <c r="Z279" s="670"/>
      <c r="AA279" s="670"/>
      <c r="AB279" s="670"/>
      <c r="AC279" s="670"/>
      <c r="AD279" s="4"/>
    </row>
    <row r="280" spans="6:30" ht="15.75" customHeight="1" x14ac:dyDescent="0.25">
      <c r="F280" s="3"/>
      <c r="O280" s="123"/>
      <c r="R280" s="670"/>
      <c r="S280" s="670"/>
      <c r="T280" s="670"/>
      <c r="U280" s="670"/>
      <c r="V280" s="670"/>
      <c r="W280" s="670"/>
      <c r="X280" s="670"/>
      <c r="Y280" s="670"/>
      <c r="Z280" s="670"/>
      <c r="AA280" s="670"/>
      <c r="AB280" s="670"/>
      <c r="AC280" s="670"/>
      <c r="AD280" s="4"/>
    </row>
  </sheetData>
  <mergeCells count="203">
    <mergeCell ref="C73:I73"/>
    <mergeCell ref="J73:P73"/>
    <mergeCell ref="A64:C66"/>
    <mergeCell ref="C70:S70"/>
    <mergeCell ref="C71:I71"/>
    <mergeCell ref="J71:P71"/>
    <mergeCell ref="C72:I72"/>
    <mergeCell ref="J72:P72"/>
    <mergeCell ref="AW52:AW57"/>
    <mergeCell ref="A58:A63"/>
    <mergeCell ref="B58:B63"/>
    <mergeCell ref="C58:C63"/>
    <mergeCell ref="AF58:AY61"/>
    <mergeCell ref="AF62:AY63"/>
    <mergeCell ref="AQ52:AQ57"/>
    <mergeCell ref="AR52:AR57"/>
    <mergeCell ref="AS52:AS57"/>
    <mergeCell ref="AT52:AT57"/>
    <mergeCell ref="AU52:AU57"/>
    <mergeCell ref="AV52:AV57"/>
    <mergeCell ref="AK52:AK57"/>
    <mergeCell ref="AL52:AL57"/>
    <mergeCell ref="AM52:AM57"/>
    <mergeCell ref="AN52:AN57"/>
    <mergeCell ref="AO52:AO57"/>
    <mergeCell ref="AP52:AP57"/>
    <mergeCell ref="AW46:AW51"/>
    <mergeCell ref="AX46:AX51"/>
    <mergeCell ref="AY46:AY51"/>
    <mergeCell ref="C52:C57"/>
    <mergeCell ref="AG52:AG57"/>
    <mergeCell ref="AH52:AH57"/>
    <mergeCell ref="AI52:AI57"/>
    <mergeCell ref="AJ52:AJ57"/>
    <mergeCell ref="AO46:AO51"/>
    <mergeCell ref="AP46:AP51"/>
    <mergeCell ref="AQ46:AQ51"/>
    <mergeCell ref="AR46:AR51"/>
    <mergeCell ref="AS46:AS51"/>
    <mergeCell ref="AT46:AT51"/>
    <mergeCell ref="AX52:AX57"/>
    <mergeCell ref="AY52:AY57"/>
    <mergeCell ref="AY40:AY45"/>
    <mergeCell ref="C46:C51"/>
    <mergeCell ref="AG46:AG51"/>
    <mergeCell ref="AH46:AH51"/>
    <mergeCell ref="AI46:AI51"/>
    <mergeCell ref="AJ46:AJ51"/>
    <mergeCell ref="AK46:AK51"/>
    <mergeCell ref="AL46:AL51"/>
    <mergeCell ref="AM46:AM51"/>
    <mergeCell ref="AN46:AN51"/>
    <mergeCell ref="AS40:AS45"/>
    <mergeCell ref="AT40:AT45"/>
    <mergeCell ref="AU40:AU45"/>
    <mergeCell ref="AV40:AV45"/>
    <mergeCell ref="AW40:AW45"/>
    <mergeCell ref="AX40:AX45"/>
    <mergeCell ref="AM40:AM45"/>
    <mergeCell ref="AN40:AN45"/>
    <mergeCell ref="AO40:AO45"/>
    <mergeCell ref="AP40:AP45"/>
    <mergeCell ref="AQ40:AQ45"/>
    <mergeCell ref="AR40:AR45"/>
    <mergeCell ref="AU46:AU51"/>
    <mergeCell ref="AV46:AV51"/>
    <mergeCell ref="AS34:AS39"/>
    <mergeCell ref="AT34:AT39"/>
    <mergeCell ref="AU34:AU39"/>
    <mergeCell ref="AV34:AV39"/>
    <mergeCell ref="AK34:AK39"/>
    <mergeCell ref="AL34:AL39"/>
    <mergeCell ref="AM34:AM39"/>
    <mergeCell ref="AN34:AN39"/>
    <mergeCell ref="AO34:AO39"/>
    <mergeCell ref="AP34:AP39"/>
    <mergeCell ref="AV28:AV33"/>
    <mergeCell ref="AW28:AW33"/>
    <mergeCell ref="AX28:AX33"/>
    <mergeCell ref="AY28:AY33"/>
    <mergeCell ref="C34:C39"/>
    <mergeCell ref="AG34:AG39"/>
    <mergeCell ref="AH34:AH39"/>
    <mergeCell ref="AI34:AI39"/>
    <mergeCell ref="AJ34:AJ39"/>
    <mergeCell ref="AO28:AO33"/>
    <mergeCell ref="AP28:AP33"/>
    <mergeCell ref="AQ28:AQ33"/>
    <mergeCell ref="AR28:AR33"/>
    <mergeCell ref="AS28:AS33"/>
    <mergeCell ref="AT28:AT33"/>
    <mergeCell ref="AI28:AI33"/>
    <mergeCell ref="AJ28:AJ33"/>
    <mergeCell ref="AK28:AK33"/>
    <mergeCell ref="AL28:AL33"/>
    <mergeCell ref="AM28:AM33"/>
    <mergeCell ref="AN28:AN33"/>
    <mergeCell ref="AW34:AW39"/>
    <mergeCell ref="AX34:AX39"/>
    <mergeCell ref="AY34:AY39"/>
    <mergeCell ref="AS22:AS27"/>
    <mergeCell ref="AT22:AT27"/>
    <mergeCell ref="AI22:AI27"/>
    <mergeCell ref="AJ22:AJ27"/>
    <mergeCell ref="AK22:AK27"/>
    <mergeCell ref="AL22:AL27"/>
    <mergeCell ref="AM22:AM27"/>
    <mergeCell ref="AN22:AN27"/>
    <mergeCell ref="AU28:AU33"/>
    <mergeCell ref="B28:B57"/>
    <mergeCell ref="C28:C33"/>
    <mergeCell ref="AF28:AF57"/>
    <mergeCell ref="AG28:AG33"/>
    <mergeCell ref="AH28:AH33"/>
    <mergeCell ref="AO22:AO27"/>
    <mergeCell ref="AP22:AP27"/>
    <mergeCell ref="AQ22:AQ27"/>
    <mergeCell ref="AR22:AR27"/>
    <mergeCell ref="C40:C45"/>
    <mergeCell ref="AG40:AG45"/>
    <mergeCell ref="AH40:AH45"/>
    <mergeCell ref="AI40:AI45"/>
    <mergeCell ref="AJ40:AJ45"/>
    <mergeCell ref="AK40:AK45"/>
    <mergeCell ref="AL40:AL45"/>
    <mergeCell ref="AQ34:AQ39"/>
    <mergeCell ref="AR34:AR39"/>
    <mergeCell ref="AY16:AY21"/>
    <mergeCell ref="A22:A57"/>
    <mergeCell ref="B22:B27"/>
    <mergeCell ref="C22:C27"/>
    <mergeCell ref="AF22:AF27"/>
    <mergeCell ref="AG22:AG27"/>
    <mergeCell ref="AH22:AH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U22:AU27"/>
    <mergeCell ref="AV22:AV27"/>
    <mergeCell ref="AW22:AW27"/>
    <mergeCell ref="AX22:AX27"/>
    <mergeCell ref="AY22:AY27"/>
    <mergeCell ref="AX10:AX15"/>
    <mergeCell ref="AY10:AY15"/>
    <mergeCell ref="A16:A21"/>
    <mergeCell ref="B16:B21"/>
    <mergeCell ref="C16:C21"/>
    <mergeCell ref="AF16:AF21"/>
    <mergeCell ref="AG16:AG21"/>
    <mergeCell ref="AH16:AH21"/>
    <mergeCell ref="AI16:AI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V16:AV21"/>
    <mergeCell ref="AW16:AW21"/>
    <mergeCell ref="AX16:AX21"/>
    <mergeCell ref="A10:A15"/>
    <mergeCell ref="B10:B15"/>
    <mergeCell ref="C10:C15"/>
    <mergeCell ref="AF10:AF15"/>
    <mergeCell ref="AG10:AG15"/>
    <mergeCell ref="AH10:AH15"/>
    <mergeCell ref="AI10:AI15"/>
    <mergeCell ref="AJ10:AJ15"/>
    <mergeCell ref="AW10:AW15"/>
    <mergeCell ref="A6:D6"/>
    <mergeCell ref="E6:AY6"/>
    <mergeCell ref="A7:AY7"/>
    <mergeCell ref="A8:F8"/>
    <mergeCell ref="G8:S8"/>
    <mergeCell ref="T8:AF8"/>
    <mergeCell ref="AG8:AK8"/>
    <mergeCell ref="AL8:AM8"/>
    <mergeCell ref="AO8:AX8"/>
    <mergeCell ref="AY8:AY9"/>
    <mergeCell ref="A1:D3"/>
    <mergeCell ref="E1:AY1"/>
    <mergeCell ref="E2:AY2"/>
    <mergeCell ref="E3:AD3"/>
    <mergeCell ref="AE3:AY3"/>
    <mergeCell ref="A4:D4"/>
    <mergeCell ref="E4:AY4"/>
    <mergeCell ref="A5:D5"/>
    <mergeCell ref="E5:AY5"/>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
  <sheetViews>
    <sheetView workbookViewId="0"/>
  </sheetViews>
  <sheetFormatPr baseColWidth="10" defaultColWidth="14.42578125" defaultRowHeight="15" customHeight="1" x14ac:dyDescent="0.25"/>
  <cols>
    <col min="1" max="25" width="10.7109375" customWidth="1"/>
  </cols>
  <sheetData>
    <row r="1" spans="1:25" ht="110.25" x14ac:dyDescent="0.25">
      <c r="A1" s="15" t="s">
        <v>251</v>
      </c>
      <c r="B1" s="13" t="s">
        <v>252</v>
      </c>
      <c r="C1" s="13"/>
      <c r="D1" s="13" t="s">
        <v>253</v>
      </c>
      <c r="E1" s="13"/>
      <c r="F1" s="13" t="s">
        <v>254</v>
      </c>
      <c r="G1" s="13"/>
      <c r="H1" s="13" t="s">
        <v>255</v>
      </c>
      <c r="I1" s="13"/>
      <c r="J1" s="13" t="s">
        <v>256</v>
      </c>
      <c r="K1" s="13"/>
      <c r="L1" s="13" t="s">
        <v>257</v>
      </c>
      <c r="M1" s="13"/>
      <c r="N1" s="13" t="s">
        <v>258</v>
      </c>
      <c r="O1" s="13"/>
      <c r="P1" s="13" t="s">
        <v>259</v>
      </c>
      <c r="Q1" s="13"/>
      <c r="R1" s="13" t="s">
        <v>260</v>
      </c>
      <c r="S1" s="13"/>
      <c r="T1" s="13" t="s">
        <v>261</v>
      </c>
      <c r="U1" s="13"/>
      <c r="V1" s="13" t="s">
        <v>262</v>
      </c>
      <c r="W1" s="13"/>
      <c r="X1" s="13" t="s">
        <v>263</v>
      </c>
      <c r="Y1" s="14" t="s">
        <v>38</v>
      </c>
    </row>
    <row r="2" spans="1:25" x14ac:dyDescent="0.25">
      <c r="A2" s="127">
        <f>135+119.34</f>
        <v>254.34</v>
      </c>
      <c r="B2" s="17">
        <v>0</v>
      </c>
      <c r="C2" s="128">
        <v>0</v>
      </c>
      <c r="D2" s="16">
        <v>0</v>
      </c>
      <c r="E2" s="16"/>
      <c r="F2" s="16">
        <v>0</v>
      </c>
      <c r="G2" s="16"/>
      <c r="H2" s="16">
        <v>0</v>
      </c>
      <c r="I2" s="16"/>
      <c r="J2" s="16">
        <v>20</v>
      </c>
      <c r="K2" s="16"/>
      <c r="L2" s="16">
        <v>30</v>
      </c>
      <c r="M2" s="16"/>
      <c r="N2" s="16">
        <v>30</v>
      </c>
      <c r="O2" s="16"/>
      <c r="P2" s="16">
        <v>39.340000000000003</v>
      </c>
      <c r="Q2" s="16"/>
      <c r="R2" s="16">
        <v>40</v>
      </c>
      <c r="S2" s="16"/>
      <c r="T2" s="16">
        <v>40</v>
      </c>
      <c r="U2" s="16"/>
      <c r="V2" s="16">
        <v>40</v>
      </c>
      <c r="W2" s="16"/>
      <c r="X2" s="16">
        <v>15</v>
      </c>
      <c r="Y2" s="129">
        <f t="shared" ref="Y2:Y3" si="0">X2+V2+T2+R2+N2+L2+J2+H2+F2+D2+B2+P2</f>
        <v>254.34</v>
      </c>
    </row>
    <row r="3" spans="1:25" x14ac:dyDescent="0.25">
      <c r="A3" s="130">
        <f>164150+161079</f>
        <v>325229</v>
      </c>
      <c r="B3" s="17">
        <v>0</v>
      </c>
      <c r="C3" s="17"/>
      <c r="D3" s="18">
        <v>0</v>
      </c>
      <c r="E3" s="18"/>
      <c r="F3" s="18">
        <v>0</v>
      </c>
      <c r="G3" s="18"/>
      <c r="H3" s="18">
        <v>0</v>
      </c>
      <c r="I3" s="18"/>
      <c r="J3" s="18">
        <v>0</v>
      </c>
      <c r="K3" s="18"/>
      <c r="L3" s="18">
        <v>0</v>
      </c>
      <c r="M3" s="18"/>
      <c r="N3" s="19">
        <v>24319</v>
      </c>
      <c r="O3" s="19"/>
      <c r="P3" s="19">
        <v>36478</v>
      </c>
      <c r="Q3" s="19"/>
      <c r="R3" s="19">
        <v>48637</v>
      </c>
      <c r="S3" s="19"/>
      <c r="T3" s="19">
        <v>36478</v>
      </c>
      <c r="U3" s="19"/>
      <c r="V3" s="19">
        <v>12159</v>
      </c>
      <c r="W3" s="19"/>
      <c r="X3" s="19">
        <v>6080</v>
      </c>
      <c r="Y3" s="131">
        <f t="shared" si="0"/>
        <v>164151</v>
      </c>
    </row>
    <row r="4" spans="1:25" x14ac:dyDescent="0.25">
      <c r="A4" t="s">
        <v>264</v>
      </c>
      <c r="B4" s="132">
        <f>B2/$A2</f>
        <v>0</v>
      </c>
      <c r="C4" s="132"/>
      <c r="D4" s="132">
        <f>D2/$A2</f>
        <v>0</v>
      </c>
      <c r="E4" s="132"/>
      <c r="F4" s="132">
        <f>F2/$A2</f>
        <v>0</v>
      </c>
      <c r="G4" s="132"/>
      <c r="H4" s="132">
        <f>H2/$A2</f>
        <v>0</v>
      </c>
      <c r="I4" s="132"/>
      <c r="J4" s="132">
        <f>J2/$A2</f>
        <v>7.8634898167806874E-2</v>
      </c>
      <c r="K4" s="132"/>
      <c r="L4" s="132">
        <f>L2/$A2</f>
        <v>0.1179523472517103</v>
      </c>
      <c r="M4" s="132"/>
      <c r="N4" s="132">
        <f>N2/$A2</f>
        <v>0.1179523472517103</v>
      </c>
      <c r="O4" s="132"/>
      <c r="P4" s="132">
        <f>P2/$A2</f>
        <v>0.15467484469607612</v>
      </c>
      <c r="Q4" s="132"/>
      <c r="R4" s="132">
        <f>R2/$A2</f>
        <v>0.15726979633561375</v>
      </c>
      <c r="S4" s="132"/>
      <c r="T4" s="132">
        <f>T2/$A2</f>
        <v>0.15726979633561375</v>
      </c>
      <c r="U4" s="132"/>
      <c r="V4" s="132">
        <f>V2/$A2</f>
        <v>0.15726979633561375</v>
      </c>
      <c r="W4" s="132"/>
      <c r="X4" s="132">
        <f>X2/$A2</f>
        <v>5.8976173625855152E-2</v>
      </c>
    </row>
    <row r="5" spans="1:25" x14ac:dyDescent="0.25">
      <c r="A5" s="133" t="s">
        <v>265</v>
      </c>
      <c r="B5" s="133">
        <f>$A3*B4</f>
        <v>0</v>
      </c>
      <c r="C5" s="133"/>
      <c r="D5" s="133">
        <f>$A3*D4</f>
        <v>0</v>
      </c>
      <c r="E5" s="133"/>
      <c r="F5" s="133">
        <f>$A3*F4</f>
        <v>0</v>
      </c>
      <c r="G5" s="133"/>
      <c r="H5" s="133">
        <f>$A3*H4</f>
        <v>0</v>
      </c>
      <c r="I5" s="133"/>
      <c r="J5" s="133">
        <f>$A3*J4</f>
        <v>25574.349296217661</v>
      </c>
      <c r="K5" s="133"/>
      <c r="L5" s="133">
        <f>$A3*L4</f>
        <v>38361.523944326487</v>
      </c>
      <c r="M5" s="133"/>
      <c r="N5" s="133">
        <f>$A3*N4</f>
        <v>38361.523944326487</v>
      </c>
      <c r="O5" s="133"/>
      <c r="P5" s="133">
        <f>$A3*P4</f>
        <v>50304.745065660143</v>
      </c>
      <c r="Q5" s="133"/>
      <c r="R5" s="133">
        <f>$A3*R4</f>
        <v>51148.698592435321</v>
      </c>
      <c r="S5" s="133"/>
      <c r="T5" s="133">
        <f>$A3*T4</f>
        <v>51148.698592435321</v>
      </c>
      <c r="U5" s="133"/>
      <c r="V5" s="133">
        <f>$A3*V4</f>
        <v>51148.698592435321</v>
      </c>
      <c r="W5" s="133"/>
      <c r="X5" s="133">
        <f>$A3*X4</f>
        <v>19180.761972163244</v>
      </c>
      <c r="Y5" s="133">
        <f>SUM(J5:X5)</f>
        <v>325229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906"/>
  <sheetViews>
    <sheetView zoomScale="60" zoomScaleNormal="60" workbookViewId="0">
      <selection activeCell="F313" sqref="F313:F324"/>
    </sheetView>
  </sheetViews>
  <sheetFormatPr baseColWidth="10" defaultColWidth="14.42578125" defaultRowHeight="15" customHeight="1" x14ac:dyDescent="0.25"/>
  <cols>
    <col min="1" max="1" width="16.42578125" customWidth="1"/>
    <col min="2" max="2" width="37.85546875" customWidth="1"/>
    <col min="3" max="3" width="21.140625" customWidth="1"/>
    <col min="4" max="4" width="22.7109375" customWidth="1"/>
    <col min="5" max="5" width="24.85546875" customWidth="1"/>
    <col min="6" max="6" width="24.42578125" customWidth="1"/>
    <col min="7" max="7" width="19.42578125" customWidth="1"/>
    <col min="8" max="8" width="15.42578125" customWidth="1"/>
    <col min="9" max="9" width="18.42578125" customWidth="1"/>
    <col min="10" max="10" width="15.140625" customWidth="1"/>
    <col min="11" max="12" width="20.140625" customWidth="1"/>
    <col min="13" max="13" width="14.140625" customWidth="1"/>
    <col min="14" max="14" width="34.28515625" customWidth="1"/>
    <col min="15" max="15" width="13.85546875" customWidth="1"/>
    <col min="16" max="30" width="11.42578125" customWidth="1"/>
  </cols>
  <sheetData>
    <row r="1" spans="1:15" ht="30" x14ac:dyDescent="0.25">
      <c r="A1" s="811"/>
      <c r="B1" s="812"/>
      <c r="C1" s="1010" t="s">
        <v>0</v>
      </c>
      <c r="D1" s="716"/>
      <c r="E1" s="716"/>
      <c r="F1" s="716"/>
      <c r="G1" s="716"/>
      <c r="H1" s="716"/>
      <c r="I1" s="716"/>
      <c r="J1" s="716"/>
      <c r="K1" s="716"/>
      <c r="L1" s="716"/>
      <c r="M1" s="716"/>
      <c r="N1" s="815"/>
      <c r="O1" s="4"/>
    </row>
    <row r="2" spans="1:15" ht="24" customHeight="1" x14ac:dyDescent="0.25">
      <c r="A2" s="750"/>
      <c r="B2" s="813"/>
      <c r="C2" s="1011" t="s">
        <v>266</v>
      </c>
      <c r="D2" s="817"/>
      <c r="E2" s="817"/>
      <c r="F2" s="817"/>
      <c r="G2" s="817"/>
      <c r="H2" s="817"/>
      <c r="I2" s="817"/>
      <c r="J2" s="817"/>
      <c r="K2" s="817"/>
      <c r="L2" s="817"/>
      <c r="M2" s="817"/>
      <c r="N2" s="818"/>
      <c r="O2" s="4"/>
    </row>
    <row r="3" spans="1:15" ht="26.25" x14ac:dyDescent="0.4">
      <c r="A3" s="752"/>
      <c r="B3" s="763"/>
      <c r="C3" s="1012" t="s">
        <v>114</v>
      </c>
      <c r="D3" s="746"/>
      <c r="E3" s="746"/>
      <c r="F3" s="746"/>
      <c r="G3" s="746"/>
      <c r="H3" s="1013" t="s">
        <v>3</v>
      </c>
      <c r="I3" s="742"/>
      <c r="J3" s="742"/>
      <c r="K3" s="742"/>
      <c r="L3" s="742"/>
      <c r="M3" s="742"/>
      <c r="N3" s="744"/>
      <c r="O3" s="4"/>
    </row>
    <row r="4" spans="1:15" x14ac:dyDescent="0.25">
      <c r="A4" s="1009" t="s">
        <v>4</v>
      </c>
      <c r="B4" s="881"/>
      <c r="C4" s="1014" t="s">
        <v>5</v>
      </c>
      <c r="D4" s="742"/>
      <c r="E4" s="742"/>
      <c r="F4" s="742"/>
      <c r="G4" s="742"/>
      <c r="H4" s="742"/>
      <c r="I4" s="742"/>
      <c r="J4" s="742"/>
      <c r="K4" s="742"/>
      <c r="L4" s="742"/>
      <c r="M4" s="742"/>
      <c r="N4" s="744"/>
      <c r="O4" s="4"/>
    </row>
    <row r="5" spans="1:15" x14ac:dyDescent="0.25">
      <c r="A5" s="1008" t="s">
        <v>6</v>
      </c>
      <c r="B5" s="744"/>
      <c r="C5" s="1015" t="s">
        <v>7</v>
      </c>
      <c r="D5" s="753"/>
      <c r="E5" s="753"/>
      <c r="F5" s="753"/>
      <c r="G5" s="753"/>
      <c r="H5" s="753"/>
      <c r="I5" s="753"/>
      <c r="J5" s="753"/>
      <c r="K5" s="753"/>
      <c r="L5" s="753"/>
      <c r="M5" s="753"/>
      <c r="N5" s="763"/>
      <c r="O5" s="4"/>
    </row>
    <row r="6" spans="1:15" x14ac:dyDescent="0.25">
      <c r="O6" s="4"/>
    </row>
    <row r="7" spans="1:15" ht="20.25" hidden="1" x14ac:dyDescent="0.25">
      <c r="A7" s="996" t="s">
        <v>267</v>
      </c>
      <c r="B7" s="716"/>
      <c r="C7" s="716"/>
      <c r="D7" s="716"/>
      <c r="E7" s="716"/>
      <c r="F7" s="716"/>
      <c r="G7" s="716"/>
      <c r="H7" s="815"/>
      <c r="O7" s="4"/>
    </row>
    <row r="8" spans="1:15" ht="25.5" hidden="1" x14ac:dyDescent="0.25">
      <c r="A8" s="134" t="s">
        <v>24</v>
      </c>
      <c r="B8" s="135" t="s">
        <v>268</v>
      </c>
      <c r="C8" s="135" t="s">
        <v>269</v>
      </c>
      <c r="D8" s="135" t="s">
        <v>270</v>
      </c>
      <c r="E8" s="135" t="s">
        <v>271</v>
      </c>
      <c r="F8" s="135" t="s">
        <v>272</v>
      </c>
      <c r="G8" s="135" t="s">
        <v>273</v>
      </c>
      <c r="H8" s="136" t="s">
        <v>274</v>
      </c>
      <c r="O8" s="4"/>
    </row>
    <row r="9" spans="1:15" hidden="1" x14ac:dyDescent="0.25">
      <c r="A9" s="997" t="s">
        <v>275</v>
      </c>
      <c r="B9" s="137" t="s">
        <v>276</v>
      </c>
      <c r="C9" s="138">
        <v>1709485448</v>
      </c>
      <c r="D9" s="138">
        <v>1709485448</v>
      </c>
      <c r="E9" s="990" t="e">
        <v>#REF!</v>
      </c>
      <c r="F9" s="998" t="e">
        <f>+E9</f>
        <v>#REF!</v>
      </c>
      <c r="G9" s="999"/>
      <c r="H9" s="999"/>
      <c r="O9" s="4"/>
    </row>
    <row r="10" spans="1:15" hidden="1" x14ac:dyDescent="0.25">
      <c r="A10" s="836"/>
      <c r="B10" s="139" t="s">
        <v>277</v>
      </c>
      <c r="C10" s="140">
        <v>295362955</v>
      </c>
      <c r="D10" s="140">
        <v>295362955</v>
      </c>
      <c r="E10" s="833"/>
      <c r="F10" s="833"/>
      <c r="G10" s="833"/>
      <c r="H10" s="833"/>
      <c r="O10" s="4"/>
    </row>
    <row r="11" spans="1:15" hidden="1" x14ac:dyDescent="0.25">
      <c r="A11" s="836"/>
      <c r="B11" s="139" t="s">
        <v>278</v>
      </c>
      <c r="C11" s="140">
        <v>1241705000</v>
      </c>
      <c r="D11" s="140">
        <v>1241705000</v>
      </c>
      <c r="E11" s="833"/>
      <c r="F11" s="833"/>
      <c r="G11" s="833"/>
      <c r="H11" s="833"/>
      <c r="O11" s="4"/>
    </row>
    <row r="12" spans="1:15" hidden="1" x14ac:dyDescent="0.25">
      <c r="A12" s="836"/>
      <c r="B12" s="139" t="s">
        <v>279</v>
      </c>
      <c r="C12" s="140">
        <v>106931000</v>
      </c>
      <c r="D12" s="140">
        <v>106931000</v>
      </c>
      <c r="E12" s="833"/>
      <c r="F12" s="833"/>
      <c r="G12" s="833"/>
      <c r="H12" s="833"/>
      <c r="O12" s="4"/>
    </row>
    <row r="13" spans="1:15" hidden="1" x14ac:dyDescent="0.25">
      <c r="A13" s="837"/>
      <c r="B13" s="141" t="s">
        <v>280</v>
      </c>
      <c r="C13" s="142">
        <v>565789625</v>
      </c>
      <c r="D13" s="142">
        <v>565789625</v>
      </c>
      <c r="E13" s="834"/>
      <c r="F13" s="834"/>
      <c r="G13" s="834"/>
      <c r="H13" s="834"/>
      <c r="O13" s="4"/>
    </row>
    <row r="14" spans="1:15" hidden="1" x14ac:dyDescent="0.25">
      <c r="A14" s="997" t="s">
        <v>281</v>
      </c>
      <c r="B14" s="137" t="s">
        <v>276</v>
      </c>
      <c r="C14" s="138">
        <v>1709485448</v>
      </c>
      <c r="D14" s="138">
        <v>1709485448</v>
      </c>
      <c r="E14" s="990" t="e">
        <v>#REF!</v>
      </c>
      <c r="F14" s="990" t="e">
        <f>+E14</f>
        <v>#REF!</v>
      </c>
      <c r="G14" s="991"/>
      <c r="H14" s="992"/>
      <c r="O14" s="4"/>
    </row>
    <row r="15" spans="1:15" hidden="1" x14ac:dyDescent="0.25">
      <c r="A15" s="836"/>
      <c r="B15" s="139" t="s">
        <v>277</v>
      </c>
      <c r="C15" s="140">
        <v>295362955</v>
      </c>
      <c r="D15" s="140">
        <v>295362955</v>
      </c>
      <c r="E15" s="833"/>
      <c r="F15" s="833"/>
      <c r="G15" s="833"/>
      <c r="H15" s="993"/>
      <c r="O15" s="4"/>
    </row>
    <row r="16" spans="1:15" hidden="1" x14ac:dyDescent="0.25">
      <c r="A16" s="836"/>
      <c r="B16" s="139" t="s">
        <v>278</v>
      </c>
      <c r="C16" s="140">
        <v>1241705000</v>
      </c>
      <c r="D16" s="140">
        <v>1241705000</v>
      </c>
      <c r="E16" s="833"/>
      <c r="F16" s="833"/>
      <c r="G16" s="833"/>
      <c r="H16" s="993"/>
      <c r="O16" s="4"/>
    </row>
    <row r="17" spans="1:15" hidden="1" x14ac:dyDescent="0.25">
      <c r="A17" s="836"/>
      <c r="B17" s="139" t="s">
        <v>279</v>
      </c>
      <c r="C17" s="140">
        <v>106931000</v>
      </c>
      <c r="D17" s="140">
        <v>106931000</v>
      </c>
      <c r="E17" s="833"/>
      <c r="F17" s="833"/>
      <c r="G17" s="833"/>
      <c r="H17" s="993"/>
      <c r="O17" s="4"/>
    </row>
    <row r="18" spans="1:15" hidden="1" x14ac:dyDescent="0.25">
      <c r="A18" s="837"/>
      <c r="B18" s="141" t="s">
        <v>280</v>
      </c>
      <c r="C18" s="142">
        <v>565789625</v>
      </c>
      <c r="D18" s="142">
        <v>565789625</v>
      </c>
      <c r="E18" s="834"/>
      <c r="F18" s="834"/>
      <c r="G18" s="834"/>
      <c r="H18" s="885"/>
      <c r="O18" s="4"/>
    </row>
    <row r="19" spans="1:15" hidden="1" x14ac:dyDescent="0.25">
      <c r="A19" s="997" t="s">
        <v>282</v>
      </c>
      <c r="B19" s="137" t="s">
        <v>276</v>
      </c>
      <c r="C19" s="138">
        <v>1709485448</v>
      </c>
      <c r="D19" s="138">
        <v>1709485448</v>
      </c>
      <c r="E19" s="990" t="e">
        <v>#REF!</v>
      </c>
      <c r="F19" s="990" t="e">
        <f>+E19</f>
        <v>#REF!</v>
      </c>
      <c r="G19" s="991"/>
      <c r="H19" s="992"/>
      <c r="O19" s="4"/>
    </row>
    <row r="20" spans="1:15" hidden="1" x14ac:dyDescent="0.25">
      <c r="A20" s="836"/>
      <c r="B20" s="139" t="s">
        <v>277</v>
      </c>
      <c r="C20" s="140">
        <v>295362955</v>
      </c>
      <c r="D20" s="140">
        <v>295362955</v>
      </c>
      <c r="E20" s="833"/>
      <c r="F20" s="833"/>
      <c r="G20" s="833"/>
      <c r="H20" s="993"/>
      <c r="O20" s="4"/>
    </row>
    <row r="21" spans="1:15" ht="15.75" hidden="1" customHeight="1" x14ac:dyDescent="0.25">
      <c r="A21" s="836"/>
      <c r="B21" s="139" t="s">
        <v>278</v>
      </c>
      <c r="C21" s="140">
        <v>1241705000</v>
      </c>
      <c r="D21" s="140">
        <v>1241705000</v>
      </c>
      <c r="E21" s="833"/>
      <c r="F21" s="833"/>
      <c r="G21" s="833"/>
      <c r="H21" s="993"/>
      <c r="O21" s="4"/>
    </row>
    <row r="22" spans="1:15" ht="15.75" hidden="1" customHeight="1" x14ac:dyDescent="0.25">
      <c r="A22" s="836"/>
      <c r="B22" s="139" t="s">
        <v>279</v>
      </c>
      <c r="C22" s="140">
        <v>106931000</v>
      </c>
      <c r="D22" s="140">
        <v>106931000</v>
      </c>
      <c r="E22" s="833"/>
      <c r="F22" s="833"/>
      <c r="G22" s="833"/>
      <c r="H22" s="993"/>
      <c r="O22" s="4"/>
    </row>
    <row r="23" spans="1:15" ht="15.75" hidden="1" customHeight="1" x14ac:dyDescent="0.25">
      <c r="A23" s="837"/>
      <c r="B23" s="141" t="s">
        <v>280</v>
      </c>
      <c r="C23" s="142">
        <v>565789625</v>
      </c>
      <c r="D23" s="142">
        <v>565789625</v>
      </c>
      <c r="E23" s="834"/>
      <c r="F23" s="834"/>
      <c r="G23" s="834"/>
      <c r="H23" s="885"/>
      <c r="O23" s="4"/>
    </row>
    <row r="24" spans="1:15" ht="15.75" hidden="1" customHeight="1" x14ac:dyDescent="0.25">
      <c r="A24" s="997" t="s">
        <v>283</v>
      </c>
      <c r="B24" s="137" t="s">
        <v>276</v>
      </c>
      <c r="C24" s="138">
        <v>1709485448</v>
      </c>
      <c r="D24" s="138">
        <v>1709485448</v>
      </c>
      <c r="E24" s="990" t="e">
        <v>#REF!</v>
      </c>
      <c r="F24" s="990" t="e">
        <v>#REF!</v>
      </c>
      <c r="G24" s="991"/>
      <c r="H24" s="992"/>
      <c r="O24" s="4"/>
    </row>
    <row r="25" spans="1:15" ht="15.75" hidden="1" customHeight="1" x14ac:dyDescent="0.25">
      <c r="A25" s="836"/>
      <c r="B25" s="139" t="s">
        <v>277</v>
      </c>
      <c r="C25" s="140">
        <v>295362955</v>
      </c>
      <c r="D25" s="140">
        <v>295362955</v>
      </c>
      <c r="E25" s="833"/>
      <c r="F25" s="833"/>
      <c r="G25" s="833"/>
      <c r="H25" s="993"/>
      <c r="O25" s="4"/>
    </row>
    <row r="26" spans="1:15" ht="15.75" hidden="1" customHeight="1" x14ac:dyDescent="0.25">
      <c r="A26" s="836"/>
      <c r="B26" s="139" t="s">
        <v>278</v>
      </c>
      <c r="C26" s="140">
        <v>1241705000</v>
      </c>
      <c r="D26" s="140">
        <v>1241705000</v>
      </c>
      <c r="E26" s="833"/>
      <c r="F26" s="833"/>
      <c r="G26" s="833"/>
      <c r="H26" s="993"/>
      <c r="O26" s="4"/>
    </row>
    <row r="27" spans="1:15" ht="15.75" hidden="1" customHeight="1" x14ac:dyDescent="0.25">
      <c r="A27" s="836"/>
      <c r="B27" s="139" t="s">
        <v>279</v>
      </c>
      <c r="C27" s="140">
        <v>106931000</v>
      </c>
      <c r="D27" s="140">
        <v>106931000</v>
      </c>
      <c r="E27" s="833"/>
      <c r="F27" s="833"/>
      <c r="G27" s="833"/>
      <c r="H27" s="993"/>
      <c r="O27" s="4"/>
    </row>
    <row r="28" spans="1:15" ht="15.75" hidden="1" customHeight="1" x14ac:dyDescent="0.25">
      <c r="A28" s="836"/>
      <c r="B28" s="143" t="s">
        <v>280</v>
      </c>
      <c r="C28" s="144">
        <v>565789625</v>
      </c>
      <c r="D28" s="144">
        <v>565789625</v>
      </c>
      <c r="E28" s="833"/>
      <c r="F28" s="833"/>
      <c r="G28" s="833"/>
      <c r="H28" s="993"/>
      <c r="O28" s="4"/>
    </row>
    <row r="29" spans="1:15" ht="15.75" hidden="1" customHeight="1" x14ac:dyDescent="0.25">
      <c r="A29" s="997" t="s">
        <v>284</v>
      </c>
      <c r="B29" s="145" t="s">
        <v>276</v>
      </c>
      <c r="C29" s="138">
        <v>1709485448</v>
      </c>
      <c r="D29" s="138">
        <v>1709485448</v>
      </c>
      <c r="E29" s="990">
        <v>874824904</v>
      </c>
      <c r="F29" s="990">
        <v>874824904</v>
      </c>
      <c r="G29" s="991"/>
      <c r="H29" s="992"/>
      <c r="O29" s="4"/>
    </row>
    <row r="30" spans="1:15" ht="15.75" hidden="1" customHeight="1" x14ac:dyDescent="0.25">
      <c r="A30" s="836"/>
      <c r="B30" s="146" t="s">
        <v>277</v>
      </c>
      <c r="C30" s="140">
        <v>295362955</v>
      </c>
      <c r="D30" s="140">
        <v>295362955</v>
      </c>
      <c r="E30" s="833"/>
      <c r="F30" s="833"/>
      <c r="G30" s="833"/>
      <c r="H30" s="993"/>
      <c r="O30" s="4"/>
    </row>
    <row r="31" spans="1:15" ht="15.75" hidden="1" customHeight="1" x14ac:dyDescent="0.25">
      <c r="A31" s="836"/>
      <c r="B31" s="146" t="s">
        <v>278</v>
      </c>
      <c r="C31" s="140">
        <v>1241705000</v>
      </c>
      <c r="D31" s="140">
        <v>1241705000</v>
      </c>
      <c r="E31" s="833"/>
      <c r="F31" s="833"/>
      <c r="G31" s="833"/>
      <c r="H31" s="993"/>
      <c r="O31" s="4"/>
    </row>
    <row r="32" spans="1:15" ht="15.75" hidden="1" customHeight="1" x14ac:dyDescent="0.25">
      <c r="A32" s="836"/>
      <c r="B32" s="146" t="s">
        <v>279</v>
      </c>
      <c r="C32" s="140">
        <v>106931000</v>
      </c>
      <c r="D32" s="140">
        <v>106931000</v>
      </c>
      <c r="E32" s="833"/>
      <c r="F32" s="833"/>
      <c r="G32" s="833"/>
      <c r="H32" s="993"/>
      <c r="O32" s="4"/>
    </row>
    <row r="33" spans="1:15" ht="15.75" hidden="1" customHeight="1" x14ac:dyDescent="0.25">
      <c r="A33" s="837"/>
      <c r="B33" s="147" t="s">
        <v>280</v>
      </c>
      <c r="C33" s="142">
        <v>565789625</v>
      </c>
      <c r="D33" s="144">
        <v>565789625</v>
      </c>
      <c r="E33" s="834"/>
      <c r="F33" s="834"/>
      <c r="G33" s="834"/>
      <c r="H33" s="885"/>
      <c r="O33" s="4"/>
    </row>
    <row r="34" spans="1:15" ht="15.75" hidden="1" customHeight="1" x14ac:dyDescent="0.25">
      <c r="A34" s="997" t="s">
        <v>285</v>
      </c>
      <c r="B34" s="145" t="s">
        <v>276</v>
      </c>
      <c r="C34" s="148">
        <v>1709485448</v>
      </c>
      <c r="D34" s="149">
        <v>1369505401</v>
      </c>
      <c r="E34" s="1017" t="e">
        <f>E438+E447+E456+E465</f>
        <v>#REF!</v>
      </c>
      <c r="F34" s="990">
        <v>675702343</v>
      </c>
      <c r="G34" s="1019">
        <f>+F34</f>
        <v>675702343</v>
      </c>
      <c r="H34" s="1020"/>
      <c r="O34" s="4"/>
    </row>
    <row r="35" spans="1:15" ht="15.75" hidden="1" customHeight="1" x14ac:dyDescent="0.25">
      <c r="A35" s="836"/>
      <c r="B35" s="146" t="s">
        <v>277</v>
      </c>
      <c r="C35" s="150">
        <v>295362955</v>
      </c>
      <c r="D35" s="151">
        <v>295362955</v>
      </c>
      <c r="E35" s="1006"/>
      <c r="F35" s="833"/>
      <c r="G35" s="827"/>
      <c r="H35" s="1001"/>
      <c r="O35" s="4"/>
    </row>
    <row r="36" spans="1:15" ht="15.75" hidden="1" customHeight="1" x14ac:dyDescent="0.25">
      <c r="A36" s="836"/>
      <c r="B36" s="146" t="s">
        <v>278</v>
      </c>
      <c r="C36" s="150">
        <v>1241705000</v>
      </c>
      <c r="D36" s="151">
        <v>1199966000</v>
      </c>
      <c r="E36" s="1006"/>
      <c r="F36" s="833"/>
      <c r="G36" s="827"/>
      <c r="H36" s="1001"/>
      <c r="O36" s="4"/>
    </row>
    <row r="37" spans="1:15" ht="15.75" hidden="1" customHeight="1" x14ac:dyDescent="0.25">
      <c r="A37" s="836"/>
      <c r="B37" s="146" t="s">
        <v>279</v>
      </c>
      <c r="C37" s="150">
        <v>106931000</v>
      </c>
      <c r="D37" s="151">
        <v>106931000</v>
      </c>
      <c r="E37" s="1006"/>
      <c r="F37" s="833"/>
      <c r="G37" s="827"/>
      <c r="H37" s="1001"/>
      <c r="O37" s="4"/>
    </row>
    <row r="38" spans="1:15" ht="15.75" hidden="1" customHeight="1" x14ac:dyDescent="0.25">
      <c r="A38" s="837"/>
      <c r="B38" s="147" t="s">
        <v>280</v>
      </c>
      <c r="C38" s="152">
        <v>565789625</v>
      </c>
      <c r="D38" s="153">
        <v>565789625</v>
      </c>
      <c r="E38" s="1018"/>
      <c r="F38" s="834"/>
      <c r="G38" s="828"/>
      <c r="H38" s="1003"/>
      <c r="O38" s="4"/>
    </row>
    <row r="39" spans="1:15" ht="15.75" customHeight="1" x14ac:dyDescent="0.25">
      <c r="O39" s="4"/>
    </row>
    <row r="40" spans="1:15" ht="15.75" hidden="1" customHeight="1" x14ac:dyDescent="0.25">
      <c r="A40" s="996" t="s">
        <v>286</v>
      </c>
      <c r="B40" s="716"/>
      <c r="C40" s="716"/>
      <c r="D40" s="716"/>
      <c r="E40" s="716"/>
      <c r="F40" s="716"/>
      <c r="G40" s="716"/>
      <c r="H40" s="815"/>
      <c r="O40" s="4"/>
    </row>
    <row r="41" spans="1:15" ht="15.75" hidden="1" customHeight="1" x14ac:dyDescent="0.25">
      <c r="A41" s="134" t="s">
        <v>25</v>
      </c>
      <c r="B41" s="135" t="s">
        <v>268</v>
      </c>
      <c r="C41" s="135" t="s">
        <v>269</v>
      </c>
      <c r="D41" s="135" t="s">
        <v>270</v>
      </c>
      <c r="E41" s="135" t="s">
        <v>271</v>
      </c>
      <c r="F41" s="135" t="s">
        <v>272</v>
      </c>
      <c r="G41" s="135" t="s">
        <v>273</v>
      </c>
      <c r="H41" s="136" t="s">
        <v>274</v>
      </c>
      <c r="O41" s="4"/>
    </row>
    <row r="42" spans="1:15" ht="15.75" hidden="1" customHeight="1" x14ac:dyDescent="0.25">
      <c r="A42" s="1034" t="s">
        <v>287</v>
      </c>
      <c r="B42" s="154" t="s">
        <v>288</v>
      </c>
      <c r="C42" s="155">
        <v>2373758000</v>
      </c>
      <c r="D42" s="156">
        <v>2373758000</v>
      </c>
      <c r="E42" s="1016">
        <v>0</v>
      </c>
      <c r="F42" s="1021">
        <v>0</v>
      </c>
      <c r="G42" s="1016">
        <v>0</v>
      </c>
      <c r="H42" s="1023">
        <v>0</v>
      </c>
      <c r="O42" s="4"/>
    </row>
    <row r="43" spans="1:15" ht="15.75" hidden="1" customHeight="1" x14ac:dyDescent="0.25">
      <c r="A43" s="1001"/>
      <c r="B43" s="157" t="s">
        <v>289</v>
      </c>
      <c r="C43" s="158">
        <v>5500000000</v>
      </c>
      <c r="D43" s="159">
        <v>5500000000</v>
      </c>
      <c r="E43" s="1001"/>
      <c r="F43" s="751"/>
      <c r="G43" s="1001"/>
      <c r="H43" s="1001"/>
      <c r="O43" s="4"/>
    </row>
    <row r="44" spans="1:15" ht="15.75" hidden="1" customHeight="1" x14ac:dyDescent="0.25">
      <c r="A44" s="1001"/>
      <c r="B44" s="160" t="s">
        <v>290</v>
      </c>
      <c r="C44" s="161">
        <v>13435346000</v>
      </c>
      <c r="D44" s="162">
        <v>13435346000</v>
      </c>
      <c r="E44" s="1001"/>
      <c r="F44" s="751"/>
      <c r="G44" s="1001"/>
      <c r="H44" s="1001"/>
      <c r="O44" s="4"/>
    </row>
    <row r="45" spans="1:15" ht="15.75" hidden="1" customHeight="1" x14ac:dyDescent="0.25">
      <c r="A45" s="1001"/>
      <c r="B45" s="157" t="s">
        <v>291</v>
      </c>
      <c r="C45" s="158">
        <v>3186932000</v>
      </c>
      <c r="D45" s="159">
        <v>3186932000</v>
      </c>
      <c r="E45" s="1001"/>
      <c r="F45" s="751"/>
      <c r="G45" s="1001"/>
      <c r="H45" s="1001"/>
      <c r="O45" s="4"/>
    </row>
    <row r="46" spans="1:15" ht="15.75" hidden="1" customHeight="1" x14ac:dyDescent="0.25">
      <c r="A46" s="1001"/>
      <c r="B46" s="157" t="s">
        <v>292</v>
      </c>
      <c r="C46" s="158">
        <v>103930000</v>
      </c>
      <c r="D46" s="159">
        <v>103930000</v>
      </c>
      <c r="E46" s="1001"/>
      <c r="F46" s="751"/>
      <c r="G46" s="1001"/>
      <c r="H46" s="1001"/>
      <c r="O46" s="4"/>
    </row>
    <row r="47" spans="1:15" ht="15.75" hidden="1" customHeight="1" x14ac:dyDescent="0.25">
      <c r="A47" s="1001"/>
      <c r="B47" s="157" t="s">
        <v>293</v>
      </c>
      <c r="C47" s="158">
        <f t="shared" ref="C47:D47" si="0">304104000+35002000</f>
        <v>339106000</v>
      </c>
      <c r="D47" s="159">
        <f t="shared" si="0"/>
        <v>339106000</v>
      </c>
      <c r="E47" s="1001"/>
      <c r="F47" s="751"/>
      <c r="G47" s="1001"/>
      <c r="H47" s="1001"/>
      <c r="O47" s="4"/>
    </row>
    <row r="48" spans="1:15" ht="15.75" hidden="1" customHeight="1" x14ac:dyDescent="0.25">
      <c r="A48" s="1001"/>
      <c r="B48" s="157" t="s">
        <v>294</v>
      </c>
      <c r="C48" s="158">
        <v>119254000</v>
      </c>
      <c r="D48" s="159">
        <v>119254000</v>
      </c>
      <c r="E48" s="1001"/>
      <c r="F48" s="751"/>
      <c r="G48" s="1001"/>
      <c r="H48" s="1001"/>
      <c r="O48" s="4"/>
    </row>
    <row r="49" spans="1:15" ht="15.75" hidden="1" customHeight="1" x14ac:dyDescent="0.25">
      <c r="A49" s="1003"/>
      <c r="B49" s="163" t="s">
        <v>295</v>
      </c>
      <c r="C49" s="164">
        <v>298778000</v>
      </c>
      <c r="D49" s="165">
        <v>298778000</v>
      </c>
      <c r="E49" s="1003"/>
      <c r="F49" s="1022"/>
      <c r="G49" s="1003"/>
      <c r="H49" s="1003"/>
      <c r="O49" s="4"/>
    </row>
    <row r="50" spans="1:15" ht="15.75" hidden="1" customHeight="1" x14ac:dyDescent="0.25">
      <c r="A50" s="1034" t="s">
        <v>296</v>
      </c>
      <c r="B50" s="166" t="s">
        <v>297</v>
      </c>
      <c r="C50" s="155">
        <v>2373758000</v>
      </c>
      <c r="D50" s="167">
        <v>2373758000</v>
      </c>
      <c r="E50" s="1007">
        <v>263020000</v>
      </c>
      <c r="F50" s="1016">
        <v>0</v>
      </c>
      <c r="G50" s="1016">
        <v>0</v>
      </c>
      <c r="H50" s="1023">
        <v>0</v>
      </c>
      <c r="O50" s="4"/>
    </row>
    <row r="51" spans="1:15" ht="15.75" hidden="1" customHeight="1" x14ac:dyDescent="0.25">
      <c r="A51" s="1001"/>
      <c r="B51" s="168" t="s">
        <v>298</v>
      </c>
      <c r="C51" s="158">
        <v>5500000000</v>
      </c>
      <c r="D51" s="169">
        <v>5500000000</v>
      </c>
      <c r="E51" s="751"/>
      <c r="F51" s="1001"/>
      <c r="G51" s="1001"/>
      <c r="H51" s="1001"/>
      <c r="O51" s="4"/>
    </row>
    <row r="52" spans="1:15" ht="15.75" hidden="1" customHeight="1" x14ac:dyDescent="0.25">
      <c r="A52" s="1001"/>
      <c r="B52" s="170" t="s">
        <v>299</v>
      </c>
      <c r="C52" s="161">
        <v>13435346000</v>
      </c>
      <c r="D52" s="171">
        <v>13435346000</v>
      </c>
      <c r="E52" s="751"/>
      <c r="F52" s="1001"/>
      <c r="G52" s="1001"/>
      <c r="H52" s="1001"/>
      <c r="O52" s="4"/>
    </row>
    <row r="53" spans="1:15" ht="15.75" hidden="1" customHeight="1" x14ac:dyDescent="0.25">
      <c r="A53" s="1001"/>
      <c r="B53" s="168" t="s">
        <v>300</v>
      </c>
      <c r="C53" s="158">
        <v>3186932000</v>
      </c>
      <c r="D53" s="169">
        <v>3186932000</v>
      </c>
      <c r="E53" s="751"/>
      <c r="F53" s="1001"/>
      <c r="G53" s="1001"/>
      <c r="H53" s="1001"/>
      <c r="O53" s="4"/>
    </row>
    <row r="54" spans="1:15" ht="15.75" hidden="1" customHeight="1" x14ac:dyDescent="0.25">
      <c r="A54" s="1001"/>
      <c r="B54" s="168" t="s">
        <v>301</v>
      </c>
      <c r="C54" s="158">
        <v>103930000</v>
      </c>
      <c r="D54" s="169">
        <v>103930000</v>
      </c>
      <c r="E54" s="751"/>
      <c r="F54" s="1001"/>
      <c r="G54" s="1001"/>
      <c r="H54" s="1001"/>
      <c r="O54" s="4"/>
    </row>
    <row r="55" spans="1:15" ht="15.75" hidden="1" customHeight="1" x14ac:dyDescent="0.25">
      <c r="A55" s="1001"/>
      <c r="B55" s="168" t="s">
        <v>302</v>
      </c>
      <c r="C55" s="158">
        <f>304104000+35002000</f>
        <v>339106000</v>
      </c>
      <c r="D55" s="169">
        <v>339106000</v>
      </c>
      <c r="E55" s="751"/>
      <c r="F55" s="1001"/>
      <c r="G55" s="1001"/>
      <c r="H55" s="1001"/>
      <c r="O55" s="4"/>
    </row>
    <row r="56" spans="1:15" ht="15.75" hidden="1" customHeight="1" x14ac:dyDescent="0.25">
      <c r="A56" s="1001"/>
      <c r="B56" s="168" t="s">
        <v>303</v>
      </c>
      <c r="C56" s="169">
        <v>298778000</v>
      </c>
      <c r="D56" s="169">
        <v>298778000</v>
      </c>
      <c r="E56" s="751"/>
      <c r="F56" s="1001"/>
      <c r="G56" s="1001"/>
      <c r="H56" s="1001"/>
      <c r="O56" s="4"/>
    </row>
    <row r="57" spans="1:15" ht="15.75" hidden="1" customHeight="1" x14ac:dyDescent="0.25">
      <c r="A57" s="1003"/>
      <c r="B57" s="172" t="s">
        <v>304</v>
      </c>
      <c r="C57" s="173">
        <v>119254000</v>
      </c>
      <c r="D57" s="173">
        <v>119254000</v>
      </c>
      <c r="E57" s="753"/>
      <c r="F57" s="1003"/>
      <c r="G57" s="1003"/>
      <c r="H57" s="1003"/>
      <c r="O57" s="4"/>
    </row>
    <row r="58" spans="1:15" ht="15.75" hidden="1" customHeight="1" x14ac:dyDescent="0.25">
      <c r="A58" s="1034" t="s">
        <v>305</v>
      </c>
      <c r="B58" s="174" t="s">
        <v>297</v>
      </c>
      <c r="C58" s="155">
        <v>2373758000</v>
      </c>
      <c r="D58" s="175">
        <v>2373758000</v>
      </c>
      <c r="E58" s="1002">
        <v>1244638000</v>
      </c>
      <c r="F58" s="1002">
        <v>6924333</v>
      </c>
      <c r="G58" s="1002">
        <v>6924333</v>
      </c>
      <c r="H58" s="1004">
        <f>G58/E58</f>
        <v>5.5633308640745342E-3</v>
      </c>
      <c r="I58" s="176"/>
      <c r="O58" s="4"/>
    </row>
    <row r="59" spans="1:15" ht="15.75" hidden="1" customHeight="1" x14ac:dyDescent="0.25">
      <c r="A59" s="1001"/>
      <c r="B59" s="177" t="s">
        <v>298</v>
      </c>
      <c r="C59" s="158">
        <v>5500000000</v>
      </c>
      <c r="D59" s="178">
        <v>5500000000</v>
      </c>
      <c r="E59" s="1001"/>
      <c r="F59" s="1001"/>
      <c r="G59" s="1001"/>
      <c r="H59" s="1001"/>
      <c r="I59" s="179"/>
      <c r="O59" s="4"/>
    </row>
    <row r="60" spans="1:15" ht="15.75" hidden="1" customHeight="1" x14ac:dyDescent="0.25">
      <c r="A60" s="1001"/>
      <c r="B60" s="180" t="s">
        <v>299</v>
      </c>
      <c r="C60" s="161">
        <v>13435346000</v>
      </c>
      <c r="D60" s="181">
        <v>13435346000</v>
      </c>
      <c r="E60" s="1001"/>
      <c r="F60" s="1001"/>
      <c r="G60" s="1001"/>
      <c r="H60" s="1001"/>
      <c r="I60" s="179"/>
      <c r="O60" s="4"/>
    </row>
    <row r="61" spans="1:15" ht="15.75" hidden="1" customHeight="1" x14ac:dyDescent="0.25">
      <c r="A61" s="1001"/>
      <c r="B61" s="177" t="s">
        <v>300</v>
      </c>
      <c r="C61" s="158">
        <v>3186932000</v>
      </c>
      <c r="D61" s="178">
        <v>3186932000</v>
      </c>
      <c r="E61" s="1001"/>
      <c r="F61" s="1001"/>
      <c r="G61" s="1001"/>
      <c r="H61" s="1001"/>
      <c r="I61" s="179"/>
      <c r="O61" s="4"/>
    </row>
    <row r="62" spans="1:15" ht="15.75" hidden="1" customHeight="1" x14ac:dyDescent="0.25">
      <c r="A62" s="1001"/>
      <c r="B62" s="177" t="s">
        <v>301</v>
      </c>
      <c r="C62" s="158">
        <v>103930000</v>
      </c>
      <c r="D62" s="178">
        <v>103930000</v>
      </c>
      <c r="E62" s="1001"/>
      <c r="F62" s="1001"/>
      <c r="G62" s="1001"/>
      <c r="H62" s="1001"/>
      <c r="I62" s="179"/>
      <c r="O62" s="4"/>
    </row>
    <row r="63" spans="1:15" ht="15.75" hidden="1" customHeight="1" x14ac:dyDescent="0.25">
      <c r="A63" s="1001"/>
      <c r="B63" s="177" t="s">
        <v>302</v>
      </c>
      <c r="C63" s="158">
        <f>304104000+35002000</f>
        <v>339106000</v>
      </c>
      <c r="D63" s="178">
        <v>339106000</v>
      </c>
      <c r="E63" s="1001"/>
      <c r="F63" s="1001"/>
      <c r="G63" s="1001"/>
      <c r="H63" s="1001"/>
      <c r="I63" s="179"/>
      <c r="O63" s="4"/>
    </row>
    <row r="64" spans="1:15" ht="15.75" hidden="1" customHeight="1" x14ac:dyDescent="0.25">
      <c r="A64" s="1001"/>
      <c r="B64" s="177" t="s">
        <v>303</v>
      </c>
      <c r="C64" s="178">
        <v>298778000</v>
      </c>
      <c r="D64" s="178">
        <v>298778000</v>
      </c>
      <c r="E64" s="1001"/>
      <c r="F64" s="1001"/>
      <c r="G64" s="1001"/>
      <c r="H64" s="1001"/>
      <c r="I64" s="179"/>
      <c r="O64" s="4"/>
    </row>
    <row r="65" spans="1:15" ht="15.75" hidden="1" customHeight="1" x14ac:dyDescent="0.25">
      <c r="A65" s="1003"/>
      <c r="B65" s="182" t="s">
        <v>304</v>
      </c>
      <c r="C65" s="183">
        <v>119254000</v>
      </c>
      <c r="D65" s="183">
        <v>119254000</v>
      </c>
      <c r="E65" s="1003"/>
      <c r="F65" s="1003"/>
      <c r="G65" s="1003"/>
      <c r="H65" s="1003"/>
      <c r="I65" s="179"/>
      <c r="O65" s="4"/>
    </row>
    <row r="66" spans="1:15" ht="15.75" hidden="1" customHeight="1" x14ac:dyDescent="0.25">
      <c r="A66" s="1034" t="s">
        <v>306</v>
      </c>
      <c r="B66" s="184" t="s">
        <v>297</v>
      </c>
      <c r="C66" s="155">
        <v>2373758000</v>
      </c>
      <c r="D66" s="155">
        <v>1377193442</v>
      </c>
      <c r="E66" s="1002">
        <v>1803508996</v>
      </c>
      <c r="F66" s="1002">
        <v>37574528</v>
      </c>
      <c r="G66" s="1002">
        <v>37574528</v>
      </c>
      <c r="H66" s="1004">
        <f>G66/E66</f>
        <v>2.0834122859013451E-2</v>
      </c>
      <c r="I66" s="176"/>
      <c r="J66" s="109"/>
      <c r="O66" s="4"/>
    </row>
    <row r="67" spans="1:15" ht="15.75" hidden="1" customHeight="1" x14ac:dyDescent="0.25">
      <c r="A67" s="1001"/>
      <c r="B67" s="185" t="s">
        <v>298</v>
      </c>
      <c r="C67" s="158">
        <v>5500000000</v>
      </c>
      <c r="D67" s="158">
        <v>5500000000</v>
      </c>
      <c r="E67" s="1001"/>
      <c r="F67" s="1001"/>
      <c r="G67" s="1001"/>
      <c r="H67" s="1001"/>
      <c r="I67" s="179"/>
      <c r="O67" s="4"/>
    </row>
    <row r="68" spans="1:15" ht="15.75" hidden="1" customHeight="1" x14ac:dyDescent="0.25">
      <c r="A68" s="1001"/>
      <c r="B68" s="186" t="s">
        <v>299</v>
      </c>
      <c r="C68" s="161">
        <v>13435346000</v>
      </c>
      <c r="D68" s="161">
        <v>13435346000</v>
      </c>
      <c r="E68" s="1001"/>
      <c r="F68" s="1001"/>
      <c r="G68" s="1001"/>
      <c r="H68" s="1001"/>
      <c r="I68" s="179"/>
      <c r="O68" s="4"/>
    </row>
    <row r="69" spans="1:15" ht="15.75" hidden="1" customHeight="1" x14ac:dyDescent="0.25">
      <c r="A69" s="1001"/>
      <c r="B69" s="185" t="s">
        <v>300</v>
      </c>
      <c r="C69" s="158">
        <v>3186932000</v>
      </c>
      <c r="D69" s="158">
        <v>3186932000</v>
      </c>
      <c r="E69" s="1001"/>
      <c r="F69" s="1001"/>
      <c r="G69" s="1001"/>
      <c r="H69" s="1001"/>
      <c r="I69" s="179"/>
      <c r="O69" s="4"/>
    </row>
    <row r="70" spans="1:15" ht="15.75" hidden="1" customHeight="1" x14ac:dyDescent="0.25">
      <c r="A70" s="1001"/>
      <c r="B70" s="185" t="s">
        <v>307</v>
      </c>
      <c r="C70" s="158">
        <v>0</v>
      </c>
      <c r="D70" s="158">
        <v>68553915</v>
      </c>
      <c r="E70" s="1001"/>
      <c r="F70" s="1001"/>
      <c r="G70" s="1001"/>
      <c r="H70" s="1001"/>
      <c r="I70" s="179"/>
      <c r="O70" s="4"/>
    </row>
    <row r="71" spans="1:15" ht="15.75" hidden="1" customHeight="1" x14ac:dyDescent="0.25">
      <c r="A71" s="1001"/>
      <c r="B71" s="185" t="s">
        <v>301</v>
      </c>
      <c r="C71" s="158">
        <v>103930000</v>
      </c>
      <c r="D71" s="158">
        <v>103930000</v>
      </c>
      <c r="E71" s="1001"/>
      <c r="F71" s="1001"/>
      <c r="G71" s="1001"/>
      <c r="H71" s="1001"/>
      <c r="I71" s="187"/>
      <c r="O71" s="4"/>
    </row>
    <row r="72" spans="1:15" ht="15.75" hidden="1" customHeight="1" x14ac:dyDescent="0.25">
      <c r="A72" s="1001"/>
      <c r="B72" s="185" t="s">
        <v>302</v>
      </c>
      <c r="C72" s="158">
        <f>304104000+35002000</f>
        <v>339106000</v>
      </c>
      <c r="D72" s="158">
        <v>339106000</v>
      </c>
      <c r="E72" s="1001"/>
      <c r="F72" s="1001"/>
      <c r="G72" s="1001"/>
      <c r="H72" s="1001"/>
      <c r="I72" s="179"/>
      <c r="O72" s="4"/>
    </row>
    <row r="73" spans="1:15" ht="15.75" hidden="1" customHeight="1" x14ac:dyDescent="0.25">
      <c r="A73" s="1001"/>
      <c r="B73" s="185" t="s">
        <v>303</v>
      </c>
      <c r="C73" s="158">
        <v>298778000</v>
      </c>
      <c r="D73" s="158">
        <v>298778000</v>
      </c>
      <c r="E73" s="1001"/>
      <c r="F73" s="1001"/>
      <c r="G73" s="1001"/>
      <c r="H73" s="1001"/>
      <c r="I73" s="179"/>
      <c r="O73" s="4"/>
    </row>
    <row r="74" spans="1:15" ht="15.75" hidden="1" customHeight="1" x14ac:dyDescent="0.25">
      <c r="A74" s="1003"/>
      <c r="B74" s="188" t="s">
        <v>304</v>
      </c>
      <c r="C74" s="164">
        <v>119254000</v>
      </c>
      <c r="D74" s="164">
        <v>119254000</v>
      </c>
      <c r="E74" s="1003"/>
      <c r="F74" s="1003"/>
      <c r="G74" s="1003"/>
      <c r="H74" s="1003"/>
      <c r="I74" s="179"/>
      <c r="O74" s="4"/>
    </row>
    <row r="75" spans="1:15" ht="15.75" hidden="1" customHeight="1" x14ac:dyDescent="0.25">
      <c r="A75" s="1034" t="s">
        <v>308</v>
      </c>
      <c r="B75" s="184" t="s">
        <v>297</v>
      </c>
      <c r="C75" s="155">
        <v>2373758000</v>
      </c>
      <c r="D75" s="155">
        <v>1377193442</v>
      </c>
      <c r="E75" s="1002">
        <v>1804955874</v>
      </c>
      <c r="F75" s="1002">
        <v>204873594</v>
      </c>
      <c r="G75" s="1002">
        <v>204873594</v>
      </c>
      <c r="H75" s="1004">
        <f>G75/E75</f>
        <v>0.11350615100965067</v>
      </c>
      <c r="I75" s="176"/>
      <c r="J75" s="109"/>
      <c r="O75" s="4"/>
    </row>
    <row r="76" spans="1:15" ht="15.75" hidden="1" customHeight="1" x14ac:dyDescent="0.25">
      <c r="A76" s="1001"/>
      <c r="B76" s="185" t="s">
        <v>298</v>
      </c>
      <c r="C76" s="158">
        <v>5500000000</v>
      </c>
      <c r="D76" s="158">
        <v>5500000000</v>
      </c>
      <c r="E76" s="1001"/>
      <c r="F76" s="1001"/>
      <c r="G76" s="1001"/>
      <c r="H76" s="1001"/>
      <c r="I76" s="179"/>
      <c r="O76" s="4"/>
    </row>
    <row r="77" spans="1:15" ht="15.75" hidden="1" customHeight="1" x14ac:dyDescent="0.25">
      <c r="A77" s="1001"/>
      <c r="B77" s="186" t="s">
        <v>299</v>
      </c>
      <c r="C77" s="161">
        <v>13435346000</v>
      </c>
      <c r="D77" s="161">
        <v>13435346000</v>
      </c>
      <c r="E77" s="1001"/>
      <c r="F77" s="1001"/>
      <c r="G77" s="1001"/>
      <c r="H77" s="1001"/>
      <c r="I77" s="176"/>
      <c r="O77" s="4"/>
    </row>
    <row r="78" spans="1:15" ht="15.75" hidden="1" customHeight="1" x14ac:dyDescent="0.25">
      <c r="A78" s="1001"/>
      <c r="B78" s="185" t="s">
        <v>300</v>
      </c>
      <c r="C78" s="158">
        <v>3186932000</v>
      </c>
      <c r="D78" s="158">
        <v>3186932000</v>
      </c>
      <c r="E78" s="1001"/>
      <c r="F78" s="1001"/>
      <c r="G78" s="1001"/>
      <c r="H78" s="1001"/>
      <c r="I78" s="176"/>
      <c r="O78" s="4"/>
    </row>
    <row r="79" spans="1:15" ht="15.75" hidden="1" customHeight="1" x14ac:dyDescent="0.25">
      <c r="A79" s="1001"/>
      <c r="B79" s="185" t="s">
        <v>307</v>
      </c>
      <c r="C79" s="158">
        <v>0</v>
      </c>
      <c r="D79" s="158">
        <v>68553915</v>
      </c>
      <c r="E79" s="1001"/>
      <c r="F79" s="1001"/>
      <c r="G79" s="1001"/>
      <c r="H79" s="1001"/>
      <c r="I79" s="179"/>
      <c r="O79" s="4"/>
    </row>
    <row r="80" spans="1:15" ht="15.75" hidden="1" customHeight="1" x14ac:dyDescent="0.25">
      <c r="A80" s="1001"/>
      <c r="B80" s="185" t="s">
        <v>301</v>
      </c>
      <c r="C80" s="158">
        <v>103930000</v>
      </c>
      <c r="D80" s="158">
        <v>103930000</v>
      </c>
      <c r="E80" s="1001"/>
      <c r="F80" s="1001"/>
      <c r="G80" s="1001"/>
      <c r="H80" s="1001"/>
      <c r="I80" s="179"/>
      <c r="O80" s="4"/>
    </row>
    <row r="81" spans="1:15" ht="15.75" hidden="1" customHeight="1" x14ac:dyDescent="0.25">
      <c r="A81" s="1001"/>
      <c r="B81" s="185" t="s">
        <v>302</v>
      </c>
      <c r="C81" s="158">
        <f>304104000+35002000</f>
        <v>339106000</v>
      </c>
      <c r="D81" s="158">
        <v>339106000</v>
      </c>
      <c r="E81" s="1001"/>
      <c r="F81" s="1001"/>
      <c r="G81" s="1001"/>
      <c r="H81" s="1001"/>
      <c r="I81" s="179"/>
      <c r="O81" s="4"/>
    </row>
    <row r="82" spans="1:15" ht="15.75" hidden="1" customHeight="1" x14ac:dyDescent="0.25">
      <c r="A82" s="1001"/>
      <c r="B82" s="185" t="s">
        <v>303</v>
      </c>
      <c r="C82" s="158">
        <v>298778000</v>
      </c>
      <c r="D82" s="158">
        <v>298778000</v>
      </c>
      <c r="E82" s="1001"/>
      <c r="F82" s="1001"/>
      <c r="G82" s="1001"/>
      <c r="H82" s="1001"/>
      <c r="I82" s="179"/>
      <c r="O82" s="4"/>
    </row>
    <row r="83" spans="1:15" ht="15.75" hidden="1" customHeight="1" x14ac:dyDescent="0.25">
      <c r="A83" s="1001"/>
      <c r="B83" s="189" t="s">
        <v>304</v>
      </c>
      <c r="C83" s="190">
        <v>119254000</v>
      </c>
      <c r="D83" s="190">
        <v>119254000</v>
      </c>
      <c r="E83" s="1001"/>
      <c r="F83" s="1001"/>
      <c r="G83" s="1001"/>
      <c r="H83" s="1001"/>
      <c r="I83" s="179"/>
      <c r="O83" s="4"/>
    </row>
    <row r="84" spans="1:15" ht="15.75" hidden="1" customHeight="1" x14ac:dyDescent="0.25">
      <c r="A84" s="1029" t="s">
        <v>309</v>
      </c>
      <c r="B84" s="191" t="s">
        <v>297</v>
      </c>
      <c r="C84" s="155">
        <v>2373758000</v>
      </c>
      <c r="D84" s="156">
        <v>5063894115</v>
      </c>
      <c r="E84" s="1000">
        <v>2237389471</v>
      </c>
      <c r="F84" s="1000">
        <v>392967720</v>
      </c>
      <c r="G84" s="1005">
        <v>392967720</v>
      </c>
      <c r="H84" s="1004">
        <f>G84/E84</f>
        <v>0.17563670746352592</v>
      </c>
      <c r="I84" s="109"/>
      <c r="O84" s="4"/>
    </row>
    <row r="85" spans="1:15" ht="15.75" hidden="1" customHeight="1" x14ac:dyDescent="0.25">
      <c r="A85" s="836"/>
      <c r="B85" s="192" t="s">
        <v>298</v>
      </c>
      <c r="C85" s="158">
        <v>5500000000</v>
      </c>
      <c r="D85" s="159">
        <v>5500000000</v>
      </c>
      <c r="E85" s="1001"/>
      <c r="F85" s="1001"/>
      <c r="G85" s="1006"/>
      <c r="H85" s="1001"/>
      <c r="O85" s="4"/>
    </row>
    <row r="86" spans="1:15" ht="15.75" hidden="1" customHeight="1" x14ac:dyDescent="0.25">
      <c r="A86" s="836"/>
      <c r="B86" s="193" t="s">
        <v>299</v>
      </c>
      <c r="C86" s="161">
        <v>13435346000</v>
      </c>
      <c r="D86" s="162">
        <v>9748645327</v>
      </c>
      <c r="E86" s="1001"/>
      <c r="F86" s="1001"/>
      <c r="G86" s="1006"/>
      <c r="H86" s="1001"/>
      <c r="I86" s="109"/>
      <c r="O86" s="4"/>
    </row>
    <row r="87" spans="1:15" ht="15.75" hidden="1" customHeight="1" x14ac:dyDescent="0.25">
      <c r="A87" s="836"/>
      <c r="B87" s="192" t="s">
        <v>300</v>
      </c>
      <c r="C87" s="158">
        <v>3186932000</v>
      </c>
      <c r="D87" s="159">
        <v>3186932000</v>
      </c>
      <c r="E87" s="1001"/>
      <c r="F87" s="1001"/>
      <c r="G87" s="1006"/>
      <c r="H87" s="1001"/>
      <c r="O87" s="4"/>
    </row>
    <row r="88" spans="1:15" ht="15.75" hidden="1" customHeight="1" x14ac:dyDescent="0.25">
      <c r="A88" s="836"/>
      <c r="B88" s="192" t="s">
        <v>307</v>
      </c>
      <c r="C88" s="158">
        <v>0</v>
      </c>
      <c r="D88" s="159">
        <v>68553915</v>
      </c>
      <c r="E88" s="1001"/>
      <c r="F88" s="1001"/>
      <c r="G88" s="1006"/>
      <c r="H88" s="1001"/>
      <c r="O88" s="4"/>
    </row>
    <row r="89" spans="1:15" ht="15.75" hidden="1" customHeight="1" x14ac:dyDescent="0.25">
      <c r="A89" s="836"/>
      <c r="B89" s="192" t="s">
        <v>301</v>
      </c>
      <c r="C89" s="158">
        <v>103930000</v>
      </c>
      <c r="D89" s="159">
        <v>103930000</v>
      </c>
      <c r="E89" s="1001"/>
      <c r="F89" s="1001"/>
      <c r="G89" s="1006"/>
      <c r="H89" s="1001"/>
      <c r="I89" s="109"/>
      <c r="O89" s="4"/>
    </row>
    <row r="90" spans="1:15" ht="15.75" hidden="1" customHeight="1" x14ac:dyDescent="0.25">
      <c r="A90" s="836"/>
      <c r="B90" s="192" t="s">
        <v>302</v>
      </c>
      <c r="C90" s="158">
        <f>304104000+35002000</f>
        <v>339106000</v>
      </c>
      <c r="D90" s="159">
        <v>339106000</v>
      </c>
      <c r="E90" s="1001"/>
      <c r="F90" s="1001"/>
      <c r="G90" s="1006"/>
      <c r="H90" s="1001"/>
      <c r="O90" s="4"/>
    </row>
    <row r="91" spans="1:15" ht="15.75" hidden="1" customHeight="1" x14ac:dyDescent="0.25">
      <c r="A91" s="836"/>
      <c r="B91" s="192" t="s">
        <v>303</v>
      </c>
      <c r="C91" s="158">
        <v>298778000</v>
      </c>
      <c r="D91" s="159">
        <v>298778000</v>
      </c>
      <c r="E91" s="1001"/>
      <c r="F91" s="1001"/>
      <c r="G91" s="1006"/>
      <c r="H91" s="1001"/>
      <c r="O91" s="4"/>
    </row>
    <row r="92" spans="1:15" ht="15.75" hidden="1" customHeight="1" x14ac:dyDescent="0.25">
      <c r="A92" s="1035"/>
      <c r="B92" s="194" t="s">
        <v>304</v>
      </c>
      <c r="C92" s="190">
        <v>119254000</v>
      </c>
      <c r="D92" s="165">
        <v>119254000</v>
      </c>
      <c r="E92" s="1001"/>
      <c r="F92" s="1001"/>
      <c r="G92" s="1006"/>
      <c r="H92" s="1001"/>
      <c r="O92" s="4"/>
    </row>
    <row r="93" spans="1:15" ht="15.75" hidden="1" customHeight="1" x14ac:dyDescent="0.25">
      <c r="A93" s="1033" t="s">
        <v>275</v>
      </c>
      <c r="B93" s="184" t="s">
        <v>297</v>
      </c>
      <c r="C93" s="155">
        <v>2373758000</v>
      </c>
      <c r="D93" s="155">
        <v>5063894115</v>
      </c>
      <c r="E93" s="1000">
        <v>2237389471</v>
      </c>
      <c r="F93" s="1000">
        <v>652347669</v>
      </c>
      <c r="G93" s="1000">
        <v>652347669</v>
      </c>
      <c r="H93" s="1004">
        <f>G93/E93</f>
        <v>0.2915664337637352</v>
      </c>
      <c r="O93" s="4"/>
    </row>
    <row r="94" spans="1:15" ht="15.75" hidden="1" customHeight="1" x14ac:dyDescent="0.25">
      <c r="A94" s="1001"/>
      <c r="B94" s="185" t="s">
        <v>298</v>
      </c>
      <c r="C94" s="158">
        <v>5500000000</v>
      </c>
      <c r="D94" s="158">
        <v>5500000000</v>
      </c>
      <c r="E94" s="1001"/>
      <c r="F94" s="1001"/>
      <c r="G94" s="1001"/>
      <c r="H94" s="1001"/>
      <c r="O94" s="4"/>
    </row>
    <row r="95" spans="1:15" ht="15.75" hidden="1" customHeight="1" x14ac:dyDescent="0.25">
      <c r="A95" s="1001"/>
      <c r="B95" s="185" t="s">
        <v>299</v>
      </c>
      <c r="C95" s="158">
        <v>13435346000</v>
      </c>
      <c r="D95" s="158">
        <v>9748645327</v>
      </c>
      <c r="E95" s="1001"/>
      <c r="F95" s="1001"/>
      <c r="G95" s="1001"/>
      <c r="H95" s="1001"/>
      <c r="O95" s="4"/>
    </row>
    <row r="96" spans="1:15" ht="15.75" hidden="1" customHeight="1" x14ac:dyDescent="0.25">
      <c r="A96" s="1001"/>
      <c r="B96" s="185" t="s">
        <v>300</v>
      </c>
      <c r="C96" s="158">
        <v>3186932000</v>
      </c>
      <c r="D96" s="158">
        <v>3186932000</v>
      </c>
      <c r="E96" s="1001"/>
      <c r="F96" s="1001"/>
      <c r="G96" s="1001"/>
      <c r="H96" s="1001"/>
      <c r="O96" s="4"/>
    </row>
    <row r="97" spans="1:15" ht="15.75" hidden="1" customHeight="1" x14ac:dyDescent="0.25">
      <c r="A97" s="1001"/>
      <c r="B97" s="185" t="s">
        <v>310</v>
      </c>
      <c r="C97" s="158">
        <v>0</v>
      </c>
      <c r="D97" s="158">
        <v>68553915</v>
      </c>
      <c r="E97" s="1001"/>
      <c r="F97" s="1001"/>
      <c r="G97" s="1001"/>
      <c r="H97" s="1001"/>
      <c r="O97" s="4"/>
    </row>
    <row r="98" spans="1:15" ht="15.75" hidden="1" customHeight="1" x14ac:dyDescent="0.25">
      <c r="A98" s="1001"/>
      <c r="B98" s="185" t="s">
        <v>301</v>
      </c>
      <c r="C98" s="158">
        <v>103930000</v>
      </c>
      <c r="D98" s="158">
        <v>103930000</v>
      </c>
      <c r="E98" s="1001"/>
      <c r="F98" s="1001"/>
      <c r="G98" s="1001"/>
      <c r="H98" s="1001"/>
      <c r="O98" s="4"/>
    </row>
    <row r="99" spans="1:15" ht="15.75" hidden="1" customHeight="1" x14ac:dyDescent="0.25">
      <c r="A99" s="1001"/>
      <c r="B99" s="185" t="s">
        <v>302</v>
      </c>
      <c r="C99" s="158">
        <f>304104000+35002000</f>
        <v>339106000</v>
      </c>
      <c r="D99" s="158">
        <v>339106000</v>
      </c>
      <c r="E99" s="1001"/>
      <c r="F99" s="1001"/>
      <c r="G99" s="1001"/>
      <c r="H99" s="1001"/>
      <c r="O99" s="4"/>
    </row>
    <row r="100" spans="1:15" ht="15.75" hidden="1" customHeight="1" x14ac:dyDescent="0.25">
      <c r="A100" s="1001"/>
      <c r="B100" s="185" t="s">
        <v>303</v>
      </c>
      <c r="C100" s="158">
        <v>298778000</v>
      </c>
      <c r="D100" s="158">
        <v>298778000</v>
      </c>
      <c r="E100" s="1001"/>
      <c r="F100" s="1001"/>
      <c r="G100" s="1001"/>
      <c r="H100" s="1001"/>
      <c r="O100" s="4"/>
    </row>
    <row r="101" spans="1:15" ht="15.75" hidden="1" customHeight="1" x14ac:dyDescent="0.25">
      <c r="A101" s="1003"/>
      <c r="B101" s="188" t="s">
        <v>304</v>
      </c>
      <c r="C101" s="164">
        <v>119254000</v>
      </c>
      <c r="D101" s="164">
        <v>119254000</v>
      </c>
      <c r="E101" s="1003"/>
      <c r="F101" s="1003"/>
      <c r="G101" s="1003"/>
      <c r="H101" s="1003"/>
      <c r="O101" s="4"/>
    </row>
    <row r="102" spans="1:15" ht="15.75" hidden="1" customHeight="1" x14ac:dyDescent="0.25">
      <c r="A102" s="1034" t="s">
        <v>281</v>
      </c>
      <c r="B102" s="184" t="s">
        <v>297</v>
      </c>
      <c r="C102" s="195">
        <v>2373758000</v>
      </c>
      <c r="D102" s="196">
        <v>2305204085</v>
      </c>
      <c r="E102" s="1000">
        <v>2237389471</v>
      </c>
      <c r="F102" s="1000">
        <v>1010578866</v>
      </c>
      <c r="G102" s="1000">
        <v>1010578866</v>
      </c>
      <c r="H102" s="1004">
        <f>G102/E102</f>
        <v>0.45167767127657144</v>
      </c>
      <c r="O102" s="4"/>
    </row>
    <row r="103" spans="1:15" ht="15.75" hidden="1" customHeight="1" x14ac:dyDescent="0.25">
      <c r="A103" s="1001"/>
      <c r="B103" s="185" t="s">
        <v>298</v>
      </c>
      <c r="C103" s="197">
        <v>5500000000</v>
      </c>
      <c r="D103" s="198">
        <v>5500000000</v>
      </c>
      <c r="E103" s="1001"/>
      <c r="F103" s="1001"/>
      <c r="G103" s="1001"/>
      <c r="H103" s="1001"/>
      <c r="O103" s="4"/>
    </row>
    <row r="104" spans="1:15" ht="15.75" hidden="1" customHeight="1" x14ac:dyDescent="0.25">
      <c r="A104" s="1001"/>
      <c r="B104" s="185" t="s">
        <v>299</v>
      </c>
      <c r="C104" s="197">
        <v>13435346000</v>
      </c>
      <c r="D104" s="198">
        <v>9748645327</v>
      </c>
      <c r="E104" s="1001"/>
      <c r="F104" s="1001"/>
      <c r="G104" s="1001"/>
      <c r="H104" s="1001"/>
      <c r="O104" s="4"/>
    </row>
    <row r="105" spans="1:15" ht="15.75" hidden="1" customHeight="1" x14ac:dyDescent="0.25">
      <c r="A105" s="1001"/>
      <c r="B105" s="185" t="s">
        <v>300</v>
      </c>
      <c r="C105" s="197">
        <v>3186932000</v>
      </c>
      <c r="D105" s="198">
        <v>3186932000</v>
      </c>
      <c r="E105" s="1001"/>
      <c r="F105" s="1001"/>
      <c r="G105" s="1001"/>
      <c r="H105" s="1001"/>
      <c r="O105" s="4"/>
    </row>
    <row r="106" spans="1:15" ht="15.75" hidden="1" customHeight="1" x14ac:dyDescent="0.25">
      <c r="A106" s="1001"/>
      <c r="B106" s="185" t="s">
        <v>310</v>
      </c>
      <c r="C106" s="197">
        <v>0</v>
      </c>
      <c r="D106" s="198">
        <v>68553915</v>
      </c>
      <c r="E106" s="1001"/>
      <c r="F106" s="1001"/>
      <c r="G106" s="1001"/>
      <c r="H106" s="1001"/>
      <c r="O106" s="4"/>
    </row>
    <row r="107" spans="1:15" ht="15.75" hidden="1" customHeight="1" x14ac:dyDescent="0.25">
      <c r="A107" s="1001"/>
      <c r="B107" s="185" t="s">
        <v>301</v>
      </c>
      <c r="C107" s="197">
        <v>103930000</v>
      </c>
      <c r="D107" s="198">
        <v>103930000</v>
      </c>
      <c r="E107" s="1001"/>
      <c r="F107" s="1001"/>
      <c r="G107" s="1001"/>
      <c r="H107" s="1001"/>
      <c r="O107" s="4"/>
    </row>
    <row r="108" spans="1:15" ht="15.75" hidden="1" customHeight="1" x14ac:dyDescent="0.25">
      <c r="A108" s="1001"/>
      <c r="B108" s="185" t="s">
        <v>302</v>
      </c>
      <c r="C108" s="197">
        <f>304104000+35002000</f>
        <v>339106000</v>
      </c>
      <c r="D108" s="198">
        <v>339106000</v>
      </c>
      <c r="E108" s="1001"/>
      <c r="F108" s="1001"/>
      <c r="G108" s="1001"/>
      <c r="H108" s="1001"/>
      <c r="O108" s="4"/>
    </row>
    <row r="109" spans="1:15" ht="15.75" hidden="1" customHeight="1" x14ac:dyDescent="0.25">
      <c r="A109" s="1001"/>
      <c r="B109" s="185" t="s">
        <v>303</v>
      </c>
      <c r="C109" s="197">
        <v>298778000</v>
      </c>
      <c r="D109" s="198">
        <v>298778000</v>
      </c>
      <c r="E109" s="1001"/>
      <c r="F109" s="1001"/>
      <c r="G109" s="1001"/>
      <c r="H109" s="1001"/>
      <c r="O109" s="4"/>
    </row>
    <row r="110" spans="1:15" ht="15.75" hidden="1" customHeight="1" x14ac:dyDescent="0.25">
      <c r="A110" s="1001"/>
      <c r="B110" s="189" t="s">
        <v>304</v>
      </c>
      <c r="C110" s="199">
        <v>119254000</v>
      </c>
      <c r="D110" s="200">
        <v>119254000</v>
      </c>
      <c r="E110" s="1001"/>
      <c r="F110" s="1001"/>
      <c r="G110" s="1001"/>
      <c r="H110" s="1001"/>
      <c r="O110" s="4"/>
    </row>
    <row r="111" spans="1:15" ht="15.75" hidden="1" customHeight="1" x14ac:dyDescent="0.25">
      <c r="A111" s="1037" t="s">
        <v>282</v>
      </c>
      <c r="B111" s="174" t="s">
        <v>297</v>
      </c>
      <c r="C111" s="156">
        <v>2373758000</v>
      </c>
      <c r="D111" s="155">
        <v>5305204085</v>
      </c>
      <c r="E111" s="1007">
        <v>2262478971</v>
      </c>
      <c r="F111" s="1002">
        <v>1276634297</v>
      </c>
      <c r="G111" s="1002">
        <v>1276634297</v>
      </c>
      <c r="H111" s="1004">
        <f>G111/E111</f>
        <v>0.56426349741307713</v>
      </c>
      <c r="O111" s="4"/>
    </row>
    <row r="112" spans="1:15" ht="15.75" hidden="1" customHeight="1" x14ac:dyDescent="0.25">
      <c r="A112" s="750"/>
      <c r="B112" s="177" t="s">
        <v>298</v>
      </c>
      <c r="C112" s="159">
        <v>5500000000</v>
      </c>
      <c r="D112" s="158">
        <v>5500000000</v>
      </c>
      <c r="E112" s="751"/>
      <c r="F112" s="1001"/>
      <c r="G112" s="1001"/>
      <c r="H112" s="1001"/>
      <c r="O112" s="4"/>
    </row>
    <row r="113" spans="1:15" ht="15.75" hidden="1" customHeight="1" x14ac:dyDescent="0.25">
      <c r="A113" s="750"/>
      <c r="B113" s="177" t="s">
        <v>299</v>
      </c>
      <c r="C113" s="159">
        <v>13435346000</v>
      </c>
      <c r="D113" s="158">
        <v>6748645327</v>
      </c>
      <c r="E113" s="751"/>
      <c r="F113" s="1001"/>
      <c r="G113" s="1001"/>
      <c r="H113" s="1001"/>
      <c r="O113" s="4"/>
    </row>
    <row r="114" spans="1:15" ht="15.75" hidden="1" customHeight="1" x14ac:dyDescent="0.25">
      <c r="A114" s="750"/>
      <c r="B114" s="177" t="s">
        <v>300</v>
      </c>
      <c r="C114" s="159">
        <v>3186932000</v>
      </c>
      <c r="D114" s="158">
        <v>3186932000</v>
      </c>
      <c r="E114" s="751"/>
      <c r="F114" s="1001"/>
      <c r="G114" s="1001"/>
      <c r="H114" s="1001"/>
      <c r="O114" s="4"/>
    </row>
    <row r="115" spans="1:15" ht="15.75" hidden="1" customHeight="1" x14ac:dyDescent="0.25">
      <c r="A115" s="750"/>
      <c r="B115" s="177" t="s">
        <v>310</v>
      </c>
      <c r="C115" s="159">
        <v>0</v>
      </c>
      <c r="D115" s="158">
        <v>68553915</v>
      </c>
      <c r="E115" s="751"/>
      <c r="F115" s="1001"/>
      <c r="G115" s="1001"/>
      <c r="H115" s="1001"/>
      <c r="I115" s="109"/>
      <c r="O115" s="4"/>
    </row>
    <row r="116" spans="1:15" ht="15.75" hidden="1" customHeight="1" x14ac:dyDescent="0.25">
      <c r="A116" s="750"/>
      <c r="B116" s="177" t="s">
        <v>301</v>
      </c>
      <c r="C116" s="159">
        <v>103930000</v>
      </c>
      <c r="D116" s="158">
        <v>103930000</v>
      </c>
      <c r="E116" s="751"/>
      <c r="F116" s="1001"/>
      <c r="G116" s="1001"/>
      <c r="H116" s="1001"/>
      <c r="O116" s="4"/>
    </row>
    <row r="117" spans="1:15" ht="15.75" hidden="1" customHeight="1" x14ac:dyDescent="0.25">
      <c r="A117" s="750"/>
      <c r="B117" s="177" t="s">
        <v>302</v>
      </c>
      <c r="C117" s="159">
        <f>304104000+35002000</f>
        <v>339106000</v>
      </c>
      <c r="D117" s="158">
        <v>339106000</v>
      </c>
      <c r="E117" s="751"/>
      <c r="F117" s="1001"/>
      <c r="G117" s="1001"/>
      <c r="H117" s="1001"/>
      <c r="O117" s="4"/>
    </row>
    <row r="118" spans="1:15" ht="15.75" hidden="1" customHeight="1" x14ac:dyDescent="0.25">
      <c r="A118" s="750"/>
      <c r="B118" s="177" t="s">
        <v>303</v>
      </c>
      <c r="C118" s="159">
        <v>298778000</v>
      </c>
      <c r="D118" s="158">
        <v>298778000</v>
      </c>
      <c r="E118" s="751"/>
      <c r="F118" s="1001"/>
      <c r="G118" s="1001"/>
      <c r="H118" s="1001"/>
      <c r="O118" s="4"/>
    </row>
    <row r="119" spans="1:15" ht="15.75" hidden="1" customHeight="1" x14ac:dyDescent="0.25">
      <c r="A119" s="752"/>
      <c r="B119" s="182" t="s">
        <v>304</v>
      </c>
      <c r="C119" s="201">
        <v>119254000</v>
      </c>
      <c r="D119" s="164">
        <v>119254000</v>
      </c>
      <c r="E119" s="753"/>
      <c r="F119" s="1003"/>
      <c r="G119" s="1003"/>
      <c r="H119" s="1003"/>
      <c r="I119" s="202"/>
      <c r="O119" s="4"/>
    </row>
    <row r="120" spans="1:15" ht="15.75" hidden="1" customHeight="1" x14ac:dyDescent="0.25">
      <c r="A120" s="1034" t="s">
        <v>283</v>
      </c>
      <c r="B120" s="174" t="s">
        <v>297</v>
      </c>
      <c r="C120" s="156">
        <v>2373758000</v>
      </c>
      <c r="D120" s="155">
        <v>5305204085</v>
      </c>
      <c r="E120" s="1002">
        <v>5916704833</v>
      </c>
      <c r="F120" s="1002">
        <v>4853877940</v>
      </c>
      <c r="G120" s="1002">
        <v>4853877940</v>
      </c>
      <c r="H120" s="1004">
        <f>G120/E120</f>
        <v>0.8203684444300553</v>
      </c>
      <c r="I120" s="168"/>
      <c r="O120" s="4"/>
    </row>
    <row r="121" spans="1:15" ht="15.75" hidden="1" customHeight="1" x14ac:dyDescent="0.25">
      <c r="A121" s="1001"/>
      <c r="B121" s="177" t="s">
        <v>298</v>
      </c>
      <c r="C121" s="159">
        <v>5500000000</v>
      </c>
      <c r="D121" s="203">
        <v>5500000000</v>
      </c>
      <c r="E121" s="1001"/>
      <c r="F121" s="1001"/>
      <c r="G121" s="1001"/>
      <c r="H121" s="1001"/>
      <c r="I121" s="168"/>
      <c r="O121" s="4"/>
    </row>
    <row r="122" spans="1:15" ht="15.75" hidden="1" customHeight="1" x14ac:dyDescent="0.25">
      <c r="A122" s="1001"/>
      <c r="B122" s="177" t="s">
        <v>299</v>
      </c>
      <c r="C122" s="159">
        <v>13435346000</v>
      </c>
      <c r="D122" s="203">
        <v>6748645327</v>
      </c>
      <c r="E122" s="1001"/>
      <c r="F122" s="1001"/>
      <c r="G122" s="1001"/>
      <c r="H122" s="1001"/>
      <c r="I122" s="168"/>
      <c r="O122" s="4"/>
    </row>
    <row r="123" spans="1:15" ht="15.75" hidden="1" customHeight="1" x14ac:dyDescent="0.25">
      <c r="A123" s="1001"/>
      <c r="B123" s="177" t="s">
        <v>300</v>
      </c>
      <c r="C123" s="159">
        <v>3186932000</v>
      </c>
      <c r="D123" s="203">
        <v>3186932000</v>
      </c>
      <c r="E123" s="1001"/>
      <c r="F123" s="1001"/>
      <c r="G123" s="1001"/>
      <c r="H123" s="1001"/>
      <c r="I123" s="168"/>
      <c r="O123" s="4"/>
    </row>
    <row r="124" spans="1:15" ht="15.75" hidden="1" customHeight="1" x14ac:dyDescent="0.25">
      <c r="A124" s="1001"/>
      <c r="B124" s="177" t="s">
        <v>310</v>
      </c>
      <c r="C124" s="159">
        <v>0</v>
      </c>
      <c r="D124" s="203">
        <v>68553915</v>
      </c>
      <c r="E124" s="1001"/>
      <c r="F124" s="1001"/>
      <c r="G124" s="1001"/>
      <c r="H124" s="1001"/>
      <c r="I124" s="168"/>
      <c r="O124" s="4"/>
    </row>
    <row r="125" spans="1:15" ht="15.75" hidden="1" customHeight="1" x14ac:dyDescent="0.25">
      <c r="A125" s="1001"/>
      <c r="B125" s="177" t="s">
        <v>301</v>
      </c>
      <c r="C125" s="159">
        <v>103930000</v>
      </c>
      <c r="D125" s="203">
        <v>103930000</v>
      </c>
      <c r="E125" s="1001"/>
      <c r="F125" s="1001"/>
      <c r="G125" s="1001"/>
      <c r="H125" s="1001"/>
      <c r="I125" s="168"/>
      <c r="O125" s="4"/>
    </row>
    <row r="126" spans="1:15" ht="15.75" hidden="1" customHeight="1" x14ac:dyDescent="0.25">
      <c r="A126" s="1001"/>
      <c r="B126" s="177" t="s">
        <v>302</v>
      </c>
      <c r="C126" s="159">
        <f>304104000+35002000</f>
        <v>339106000</v>
      </c>
      <c r="D126" s="203">
        <v>339106000</v>
      </c>
      <c r="E126" s="1001"/>
      <c r="F126" s="1001"/>
      <c r="G126" s="1001"/>
      <c r="H126" s="1001"/>
      <c r="I126" s="168"/>
      <c r="O126" s="4"/>
    </row>
    <row r="127" spans="1:15" ht="15.75" hidden="1" customHeight="1" x14ac:dyDescent="0.25">
      <c r="A127" s="1001"/>
      <c r="B127" s="177" t="s">
        <v>303</v>
      </c>
      <c r="C127" s="159">
        <v>298778000</v>
      </c>
      <c r="D127" s="203">
        <v>298778000</v>
      </c>
      <c r="E127" s="1001"/>
      <c r="F127" s="1001"/>
      <c r="G127" s="1001"/>
      <c r="H127" s="1001"/>
      <c r="I127" s="168"/>
      <c r="O127" s="4"/>
    </row>
    <row r="128" spans="1:15" ht="15.75" hidden="1" customHeight="1" x14ac:dyDescent="0.25">
      <c r="A128" s="1001"/>
      <c r="B128" s="177" t="s">
        <v>304</v>
      </c>
      <c r="C128" s="165">
        <v>119254000</v>
      </c>
      <c r="D128" s="178">
        <v>119254000</v>
      </c>
      <c r="E128" s="1001"/>
      <c r="F128" s="1001"/>
      <c r="G128" s="1001"/>
      <c r="H128" s="1001"/>
      <c r="I128" s="168"/>
      <c r="O128" s="4"/>
    </row>
    <row r="129" spans="1:15" ht="15.75" hidden="1" customHeight="1" x14ac:dyDescent="0.25">
      <c r="A129" s="1034" t="s">
        <v>284</v>
      </c>
      <c r="B129" s="174" t="s">
        <v>297</v>
      </c>
      <c r="C129" s="155">
        <v>2373758000</v>
      </c>
      <c r="D129" s="204">
        <v>5204572276</v>
      </c>
      <c r="E129" s="1016">
        <v>9516704647</v>
      </c>
      <c r="F129" s="1021">
        <v>5101166940</v>
      </c>
      <c r="G129" s="1016">
        <v>5101166940</v>
      </c>
      <c r="H129" s="1004">
        <f>G129/E129</f>
        <v>0.53602240788339139</v>
      </c>
      <c r="I129" s="168"/>
      <c r="O129" s="4"/>
    </row>
    <row r="130" spans="1:15" ht="15.75" hidden="1" customHeight="1" x14ac:dyDescent="0.25">
      <c r="A130" s="1001"/>
      <c r="B130" s="177" t="s">
        <v>298</v>
      </c>
      <c r="C130" s="158">
        <v>5500000000</v>
      </c>
      <c r="D130" s="205">
        <v>5500000000</v>
      </c>
      <c r="E130" s="1001"/>
      <c r="F130" s="751"/>
      <c r="G130" s="1001"/>
      <c r="H130" s="1001"/>
      <c r="I130" s="168"/>
      <c r="O130" s="4"/>
    </row>
    <row r="131" spans="1:15" ht="15.75" hidden="1" customHeight="1" x14ac:dyDescent="0.25">
      <c r="A131" s="1001"/>
      <c r="B131" s="177" t="s">
        <v>299</v>
      </c>
      <c r="C131" s="158">
        <v>13435346000</v>
      </c>
      <c r="D131" s="205">
        <v>6748645327</v>
      </c>
      <c r="E131" s="1001"/>
      <c r="F131" s="751"/>
      <c r="G131" s="1001"/>
      <c r="H131" s="1001"/>
      <c r="I131" s="168"/>
      <c r="O131" s="4"/>
    </row>
    <row r="132" spans="1:15" ht="15.75" hidden="1" customHeight="1" x14ac:dyDescent="0.25">
      <c r="A132" s="1001"/>
      <c r="B132" s="177" t="s">
        <v>300</v>
      </c>
      <c r="C132" s="158">
        <v>3186932000</v>
      </c>
      <c r="D132" s="205">
        <v>3186932000</v>
      </c>
      <c r="E132" s="1001"/>
      <c r="F132" s="751"/>
      <c r="G132" s="1001"/>
      <c r="H132" s="1001"/>
      <c r="I132" s="168"/>
      <c r="O132" s="4"/>
    </row>
    <row r="133" spans="1:15" ht="15.75" hidden="1" customHeight="1" x14ac:dyDescent="0.25">
      <c r="A133" s="1001"/>
      <c r="B133" s="177" t="s">
        <v>310</v>
      </c>
      <c r="C133" s="158">
        <v>0</v>
      </c>
      <c r="D133" s="205">
        <v>69624315</v>
      </c>
      <c r="E133" s="1001"/>
      <c r="F133" s="751"/>
      <c r="G133" s="1001"/>
      <c r="H133" s="1001"/>
      <c r="I133" s="168"/>
      <c r="O133" s="4"/>
    </row>
    <row r="134" spans="1:15" ht="15.75" hidden="1" customHeight="1" x14ac:dyDescent="0.25">
      <c r="A134" s="1001"/>
      <c r="B134" s="177" t="s">
        <v>301</v>
      </c>
      <c r="C134" s="158">
        <v>103930000</v>
      </c>
      <c r="D134" s="205">
        <v>103930000</v>
      </c>
      <c r="E134" s="1001"/>
      <c r="F134" s="751"/>
      <c r="G134" s="1001"/>
      <c r="H134" s="1001"/>
      <c r="I134" s="168"/>
      <c r="O134" s="4"/>
    </row>
    <row r="135" spans="1:15" ht="15.75" hidden="1" customHeight="1" x14ac:dyDescent="0.25">
      <c r="A135" s="1001"/>
      <c r="B135" s="177" t="s">
        <v>302</v>
      </c>
      <c r="C135" s="158">
        <f>304104000+35002000</f>
        <v>339106000</v>
      </c>
      <c r="D135" s="205">
        <v>339106000</v>
      </c>
      <c r="E135" s="1001"/>
      <c r="F135" s="751"/>
      <c r="G135" s="1001"/>
      <c r="H135" s="1001"/>
      <c r="I135" s="168"/>
      <c r="O135" s="4"/>
    </row>
    <row r="136" spans="1:15" ht="15.75" hidden="1" customHeight="1" x14ac:dyDescent="0.25">
      <c r="A136" s="1001"/>
      <c r="B136" s="177" t="s">
        <v>303</v>
      </c>
      <c r="C136" s="158">
        <v>298778000</v>
      </c>
      <c r="D136" s="205">
        <v>398339409</v>
      </c>
      <c r="E136" s="1001"/>
      <c r="F136" s="751"/>
      <c r="G136" s="1001"/>
      <c r="H136" s="1001"/>
      <c r="I136" s="168"/>
      <c r="O136" s="4"/>
    </row>
    <row r="137" spans="1:15" ht="15.75" hidden="1" customHeight="1" x14ac:dyDescent="0.25">
      <c r="A137" s="1001"/>
      <c r="B137" s="177" t="s">
        <v>304</v>
      </c>
      <c r="C137" s="190">
        <v>119254000</v>
      </c>
      <c r="D137" s="206">
        <v>119254000</v>
      </c>
      <c r="E137" s="1001"/>
      <c r="F137" s="751"/>
      <c r="G137" s="1001"/>
      <c r="H137" s="1001"/>
      <c r="I137" s="168"/>
      <c r="O137" s="4"/>
    </row>
    <row r="138" spans="1:15" ht="15.75" hidden="1" customHeight="1" x14ac:dyDescent="0.25">
      <c r="A138" s="1036" t="s">
        <v>285</v>
      </c>
      <c r="B138" s="174" t="s">
        <v>297</v>
      </c>
      <c r="C138" s="195">
        <v>2373758000</v>
      </c>
      <c r="D138" s="196">
        <v>5204572276</v>
      </c>
      <c r="E138" s="1026">
        <v>14893148149</v>
      </c>
      <c r="F138" s="1021">
        <v>7415332255</v>
      </c>
      <c r="G138" s="1016">
        <v>7415332255</v>
      </c>
      <c r="H138" s="1024">
        <v>0.49790000000000001</v>
      </c>
      <c r="I138" s="168"/>
      <c r="O138" s="4"/>
    </row>
    <row r="139" spans="1:15" ht="15.75" hidden="1" customHeight="1" x14ac:dyDescent="0.25">
      <c r="A139" s="1001"/>
      <c r="B139" s="177" t="s">
        <v>298</v>
      </c>
      <c r="C139" s="197">
        <v>5500000000</v>
      </c>
      <c r="D139" s="198">
        <v>5500000000</v>
      </c>
      <c r="E139" s="813"/>
      <c r="F139" s="751"/>
      <c r="G139" s="1001"/>
      <c r="H139" s="813"/>
      <c r="I139" s="168"/>
      <c r="O139" s="4"/>
    </row>
    <row r="140" spans="1:15" ht="15.75" hidden="1" customHeight="1" x14ac:dyDescent="0.25">
      <c r="A140" s="1001"/>
      <c r="B140" s="177" t="s">
        <v>299</v>
      </c>
      <c r="C140" s="197">
        <v>13435346000</v>
      </c>
      <c r="D140" s="198">
        <v>6748645327</v>
      </c>
      <c r="E140" s="813"/>
      <c r="F140" s="751"/>
      <c r="G140" s="1001"/>
      <c r="H140" s="813"/>
      <c r="I140" s="168"/>
      <c r="O140" s="4"/>
    </row>
    <row r="141" spans="1:15" ht="15.75" hidden="1" customHeight="1" x14ac:dyDescent="0.25">
      <c r="A141" s="1001"/>
      <c r="B141" s="177" t="s">
        <v>300</v>
      </c>
      <c r="C141" s="197">
        <v>3186932000</v>
      </c>
      <c r="D141" s="198">
        <v>3012462631</v>
      </c>
      <c r="E141" s="813"/>
      <c r="F141" s="751"/>
      <c r="G141" s="1001"/>
      <c r="H141" s="813"/>
      <c r="I141" s="168"/>
      <c r="O141" s="4"/>
    </row>
    <row r="142" spans="1:15" ht="15.75" hidden="1" customHeight="1" x14ac:dyDescent="0.25">
      <c r="A142" s="1001"/>
      <c r="B142" s="177" t="s">
        <v>310</v>
      </c>
      <c r="C142" s="197">
        <v>0</v>
      </c>
      <c r="D142" s="198">
        <f>68553915+1070400</f>
        <v>69624315</v>
      </c>
      <c r="E142" s="813"/>
      <c r="F142" s="751"/>
      <c r="G142" s="1001"/>
      <c r="H142" s="813"/>
      <c r="I142" s="168"/>
      <c r="O142" s="4"/>
    </row>
    <row r="143" spans="1:15" ht="15.75" hidden="1" customHeight="1" x14ac:dyDescent="0.25">
      <c r="A143" s="1001"/>
      <c r="B143" s="177" t="s">
        <v>301</v>
      </c>
      <c r="C143" s="197">
        <v>103930000</v>
      </c>
      <c r="D143" s="198">
        <v>103930000</v>
      </c>
      <c r="E143" s="813"/>
      <c r="F143" s="751"/>
      <c r="G143" s="1001"/>
      <c r="H143" s="813"/>
      <c r="I143" s="168"/>
      <c r="O143" s="4"/>
    </row>
    <row r="144" spans="1:15" ht="15.75" hidden="1" customHeight="1" x14ac:dyDescent="0.25">
      <c r="A144" s="1001"/>
      <c r="B144" s="177" t="s">
        <v>302</v>
      </c>
      <c r="C144" s="197">
        <f>304104000+35002000</f>
        <v>339106000</v>
      </c>
      <c r="D144" s="198">
        <v>339106000</v>
      </c>
      <c r="E144" s="813"/>
      <c r="F144" s="751"/>
      <c r="G144" s="1001"/>
      <c r="H144" s="813"/>
      <c r="I144" s="168"/>
      <c r="O144" s="4"/>
    </row>
    <row r="145" spans="1:15" ht="15.75" hidden="1" customHeight="1" x14ac:dyDescent="0.25">
      <c r="A145" s="1001"/>
      <c r="B145" s="177" t="s">
        <v>303</v>
      </c>
      <c r="C145" s="197">
        <v>298778000</v>
      </c>
      <c r="D145" s="198">
        <v>398339409</v>
      </c>
      <c r="E145" s="813"/>
      <c r="F145" s="751"/>
      <c r="G145" s="1001"/>
      <c r="H145" s="813"/>
      <c r="I145" s="168"/>
      <c r="O145" s="4"/>
    </row>
    <row r="146" spans="1:15" ht="15.75" hidden="1" customHeight="1" x14ac:dyDescent="0.25">
      <c r="A146" s="1003"/>
      <c r="B146" s="182" t="s">
        <v>304</v>
      </c>
      <c r="C146" s="207">
        <v>119254000</v>
      </c>
      <c r="D146" s="208">
        <v>119254000</v>
      </c>
      <c r="E146" s="763"/>
      <c r="F146" s="753"/>
      <c r="G146" s="1003"/>
      <c r="H146" s="763"/>
      <c r="I146" s="168"/>
      <c r="O146" s="4"/>
    </row>
    <row r="147" spans="1:15" ht="15.75" hidden="1" customHeight="1" x14ac:dyDescent="0.25">
      <c r="I147" s="168"/>
      <c r="O147" s="4"/>
    </row>
    <row r="148" spans="1:15" ht="20.25" hidden="1" customHeight="1" x14ac:dyDescent="0.25">
      <c r="A148" s="1028" t="s">
        <v>311</v>
      </c>
      <c r="B148" s="880"/>
      <c r="C148" s="880"/>
      <c r="D148" s="880"/>
      <c r="E148" s="880"/>
      <c r="F148" s="880"/>
      <c r="G148" s="880"/>
      <c r="H148" s="881"/>
      <c r="O148" s="4"/>
    </row>
    <row r="149" spans="1:15" ht="25.5" hidden="1" customHeight="1" x14ac:dyDescent="0.25">
      <c r="A149" s="209" t="s">
        <v>26</v>
      </c>
      <c r="B149" s="210" t="s">
        <v>268</v>
      </c>
      <c r="C149" s="210" t="s">
        <v>269</v>
      </c>
      <c r="D149" s="210" t="s">
        <v>270</v>
      </c>
      <c r="E149" s="210" t="s">
        <v>271</v>
      </c>
      <c r="F149" s="210" t="s">
        <v>272</v>
      </c>
      <c r="G149" s="210" t="s">
        <v>273</v>
      </c>
      <c r="H149" s="211" t="s">
        <v>274</v>
      </c>
      <c r="O149" s="4"/>
    </row>
    <row r="150" spans="1:15" ht="15" hidden="1" customHeight="1" x14ac:dyDescent="0.25">
      <c r="A150" s="1029" t="s">
        <v>287</v>
      </c>
      <c r="B150" s="137" t="s">
        <v>297</v>
      </c>
      <c r="C150" s="212">
        <v>3578520000</v>
      </c>
      <c r="D150" s="212">
        <v>3578520000</v>
      </c>
      <c r="E150" s="1025">
        <v>3363224000</v>
      </c>
      <c r="F150" s="1025">
        <v>3363224000</v>
      </c>
      <c r="G150" s="1025">
        <v>0</v>
      </c>
      <c r="H150" s="1030">
        <f>G150/E150</f>
        <v>0</v>
      </c>
      <c r="O150" s="4"/>
    </row>
    <row r="151" spans="1:15" ht="15" hidden="1" customHeight="1" x14ac:dyDescent="0.25">
      <c r="A151" s="836"/>
      <c r="B151" s="139" t="s">
        <v>298</v>
      </c>
      <c r="C151" s="214">
        <v>6540379000</v>
      </c>
      <c r="D151" s="214">
        <v>6540379000</v>
      </c>
      <c r="E151" s="833"/>
      <c r="F151" s="833"/>
      <c r="G151" s="833"/>
      <c r="H151" s="993"/>
      <c r="O151" s="4"/>
    </row>
    <row r="152" spans="1:15" ht="15" hidden="1" customHeight="1" x14ac:dyDescent="0.25">
      <c r="A152" s="836"/>
      <c r="B152" s="139" t="s">
        <v>312</v>
      </c>
      <c r="C152" s="214">
        <v>16090000000</v>
      </c>
      <c r="D152" s="214">
        <v>16090000000</v>
      </c>
      <c r="E152" s="833"/>
      <c r="F152" s="833"/>
      <c r="G152" s="833"/>
      <c r="H152" s="993"/>
      <c r="O152" s="4"/>
    </row>
    <row r="153" spans="1:15" ht="15" hidden="1" customHeight="1" x14ac:dyDescent="0.25">
      <c r="A153" s="836"/>
      <c r="B153" s="139" t="s">
        <v>313</v>
      </c>
      <c r="C153" s="214">
        <v>1490000</v>
      </c>
      <c r="D153" s="214">
        <v>1490000</v>
      </c>
      <c r="E153" s="833"/>
      <c r="F153" s="833"/>
      <c r="G153" s="833"/>
      <c r="H153" s="993"/>
      <c r="O153" s="4"/>
    </row>
    <row r="154" spans="1:15" ht="15" hidden="1" customHeight="1" x14ac:dyDescent="0.25">
      <c r="A154" s="837"/>
      <c r="B154" s="141" t="s">
        <v>314</v>
      </c>
      <c r="C154" s="215">
        <v>461036000</v>
      </c>
      <c r="D154" s="215">
        <v>461036000</v>
      </c>
      <c r="E154" s="834"/>
      <c r="F154" s="834"/>
      <c r="G154" s="834"/>
      <c r="H154" s="885"/>
      <c r="O154" s="4"/>
    </row>
    <row r="155" spans="1:15" ht="15" hidden="1" customHeight="1" x14ac:dyDescent="0.25">
      <c r="A155" s="1029" t="s">
        <v>296</v>
      </c>
      <c r="B155" s="137" t="s">
        <v>297</v>
      </c>
      <c r="C155" s="212">
        <v>3578520000</v>
      </c>
      <c r="D155" s="212">
        <v>3567896027</v>
      </c>
      <c r="E155" s="1025">
        <v>3363224000</v>
      </c>
      <c r="F155" s="1025">
        <v>3363224000</v>
      </c>
      <c r="G155" s="1025">
        <v>303260309</v>
      </c>
      <c r="H155" s="1030">
        <f>G155/E155</f>
        <v>9.0169524539548962E-2</v>
      </c>
      <c r="O155" s="4"/>
    </row>
    <row r="156" spans="1:15" ht="15" hidden="1" customHeight="1" x14ac:dyDescent="0.25">
      <c r="A156" s="836"/>
      <c r="B156" s="139" t="s">
        <v>298</v>
      </c>
      <c r="C156" s="214">
        <v>6540379000</v>
      </c>
      <c r="D156" s="214">
        <v>6540379000</v>
      </c>
      <c r="E156" s="833"/>
      <c r="F156" s="833"/>
      <c r="G156" s="833"/>
      <c r="H156" s="993"/>
      <c r="O156" s="4"/>
    </row>
    <row r="157" spans="1:15" ht="15" hidden="1" customHeight="1" x14ac:dyDescent="0.25">
      <c r="A157" s="836"/>
      <c r="B157" s="139" t="s">
        <v>312</v>
      </c>
      <c r="C157" s="214">
        <v>16090000000</v>
      </c>
      <c r="D157" s="214">
        <v>16090000000</v>
      </c>
      <c r="E157" s="833"/>
      <c r="F157" s="833"/>
      <c r="G157" s="833"/>
      <c r="H157" s="993"/>
      <c r="O157" s="4"/>
    </row>
    <row r="158" spans="1:15" ht="15" hidden="1" customHeight="1" x14ac:dyDescent="0.25">
      <c r="A158" s="836"/>
      <c r="B158" s="139" t="s">
        <v>313</v>
      </c>
      <c r="C158" s="214">
        <v>1490000</v>
      </c>
      <c r="D158" s="214">
        <v>1490000</v>
      </c>
      <c r="E158" s="833"/>
      <c r="F158" s="833"/>
      <c r="G158" s="833"/>
      <c r="H158" s="993"/>
      <c r="O158" s="4"/>
    </row>
    <row r="159" spans="1:15" ht="15" hidden="1" customHeight="1" x14ac:dyDescent="0.25">
      <c r="A159" s="837"/>
      <c r="B159" s="141" t="s">
        <v>314</v>
      </c>
      <c r="C159" s="215">
        <v>461036000</v>
      </c>
      <c r="D159" s="215">
        <v>471659973</v>
      </c>
      <c r="E159" s="834"/>
      <c r="F159" s="834"/>
      <c r="G159" s="1027"/>
      <c r="H159" s="885"/>
      <c r="O159" s="4"/>
    </row>
    <row r="160" spans="1:15" ht="15" hidden="1" customHeight="1" x14ac:dyDescent="0.25">
      <c r="A160" s="1029" t="s">
        <v>305</v>
      </c>
      <c r="B160" s="166" t="s">
        <v>297</v>
      </c>
      <c r="C160" s="212">
        <v>3578520000</v>
      </c>
      <c r="D160" s="216">
        <v>3578520000</v>
      </c>
      <c r="E160" s="1025">
        <v>3363224000</v>
      </c>
      <c r="F160" s="1025">
        <v>3363224000</v>
      </c>
      <c r="G160" s="1025">
        <v>303260309</v>
      </c>
      <c r="H160" s="1030">
        <f>G160/E160</f>
        <v>9.0169524539548962E-2</v>
      </c>
      <c r="O160" s="4"/>
    </row>
    <row r="161" spans="1:15" ht="15" hidden="1" customHeight="1" x14ac:dyDescent="0.25">
      <c r="A161" s="836"/>
      <c r="B161" s="168" t="s">
        <v>298</v>
      </c>
      <c r="C161" s="214">
        <v>6540379000</v>
      </c>
      <c r="D161" s="217">
        <v>6540379000</v>
      </c>
      <c r="E161" s="833"/>
      <c r="F161" s="833"/>
      <c r="G161" s="833"/>
      <c r="H161" s="993"/>
      <c r="O161" s="4"/>
    </row>
    <row r="162" spans="1:15" ht="15" hidden="1" customHeight="1" x14ac:dyDescent="0.25">
      <c r="A162" s="836"/>
      <c r="B162" s="168" t="s">
        <v>312</v>
      </c>
      <c r="C162" s="214">
        <v>16090000000</v>
      </c>
      <c r="D162" s="217">
        <v>16090000000</v>
      </c>
      <c r="E162" s="833"/>
      <c r="F162" s="833"/>
      <c r="G162" s="833"/>
      <c r="H162" s="993"/>
      <c r="O162" s="4"/>
    </row>
    <row r="163" spans="1:15" ht="15" hidden="1" customHeight="1" x14ac:dyDescent="0.25">
      <c r="A163" s="836"/>
      <c r="B163" s="168" t="s">
        <v>313</v>
      </c>
      <c r="C163" s="214">
        <v>1490000</v>
      </c>
      <c r="D163" s="217">
        <v>1490000</v>
      </c>
      <c r="E163" s="833"/>
      <c r="F163" s="833"/>
      <c r="G163" s="833"/>
      <c r="H163" s="993"/>
      <c r="O163" s="4"/>
    </row>
    <row r="164" spans="1:15" ht="15" hidden="1" customHeight="1" x14ac:dyDescent="0.25">
      <c r="A164" s="836"/>
      <c r="B164" s="168" t="s">
        <v>314</v>
      </c>
      <c r="C164" s="218">
        <v>461036000</v>
      </c>
      <c r="D164" s="217">
        <v>461036000</v>
      </c>
      <c r="E164" s="1027"/>
      <c r="F164" s="1027"/>
      <c r="G164" s="1027"/>
      <c r="H164" s="1032"/>
      <c r="O164" s="4"/>
    </row>
    <row r="165" spans="1:15" ht="15" hidden="1" customHeight="1" x14ac:dyDescent="0.25">
      <c r="A165" s="1039" t="s">
        <v>306</v>
      </c>
      <c r="B165" s="137" t="s">
        <v>297</v>
      </c>
      <c r="C165" s="212">
        <v>3578520000</v>
      </c>
      <c r="D165" s="219">
        <v>3578520000</v>
      </c>
      <c r="E165" s="1016">
        <v>3933484589</v>
      </c>
      <c r="F165" s="1016">
        <v>3933484589</v>
      </c>
      <c r="G165" s="1016">
        <v>303260309</v>
      </c>
      <c r="H165" s="1004">
        <f>G165/E165</f>
        <v>7.7097113802878051E-2</v>
      </c>
      <c r="O165" s="4"/>
    </row>
    <row r="166" spans="1:15" ht="15" hidden="1" customHeight="1" x14ac:dyDescent="0.25">
      <c r="A166" s="836"/>
      <c r="B166" s="139" t="s">
        <v>298</v>
      </c>
      <c r="C166" s="214">
        <v>6540379000</v>
      </c>
      <c r="D166" s="220">
        <v>6540379000</v>
      </c>
      <c r="E166" s="1001"/>
      <c r="F166" s="1001"/>
      <c r="G166" s="1001"/>
      <c r="H166" s="1001"/>
      <c r="O166" s="4"/>
    </row>
    <row r="167" spans="1:15" ht="15" hidden="1" customHeight="1" x14ac:dyDescent="0.25">
      <c r="A167" s="836"/>
      <c r="B167" s="139" t="s">
        <v>312</v>
      </c>
      <c r="C167" s="214">
        <v>16090000000</v>
      </c>
      <c r="D167" s="220">
        <v>16090000000</v>
      </c>
      <c r="E167" s="1001"/>
      <c r="F167" s="1001"/>
      <c r="G167" s="1001"/>
      <c r="H167" s="1001"/>
      <c r="O167" s="4"/>
    </row>
    <row r="168" spans="1:15" ht="15" hidden="1" customHeight="1" x14ac:dyDescent="0.25">
      <c r="A168" s="836"/>
      <c r="B168" s="139" t="s">
        <v>313</v>
      </c>
      <c r="C168" s="214">
        <v>1490000</v>
      </c>
      <c r="D168" s="220">
        <v>1490000</v>
      </c>
      <c r="E168" s="1001"/>
      <c r="F168" s="1001"/>
      <c r="G168" s="1001"/>
      <c r="H168" s="1001"/>
      <c r="O168" s="4"/>
    </row>
    <row r="169" spans="1:15" ht="15" hidden="1" customHeight="1" x14ac:dyDescent="0.25">
      <c r="A169" s="1035"/>
      <c r="B169" s="143" t="s">
        <v>314</v>
      </c>
      <c r="C169" s="218">
        <v>461036000</v>
      </c>
      <c r="D169" s="221">
        <v>461036000</v>
      </c>
      <c r="E169" s="1038"/>
      <c r="F169" s="1038"/>
      <c r="G169" s="1038"/>
      <c r="H169" s="1038"/>
      <c r="O169" s="4"/>
    </row>
    <row r="170" spans="1:15" ht="15" hidden="1" customHeight="1" x14ac:dyDescent="0.25">
      <c r="A170" s="1039" t="s">
        <v>308</v>
      </c>
      <c r="B170" s="145" t="s">
        <v>315</v>
      </c>
      <c r="C170" s="212">
        <v>3578520000</v>
      </c>
      <c r="D170" s="222">
        <v>3578520000</v>
      </c>
      <c r="E170" s="1031">
        <v>3996539289</v>
      </c>
      <c r="F170" s="1016">
        <v>3996539289</v>
      </c>
      <c r="G170" s="1031">
        <v>1072410231</v>
      </c>
      <c r="H170" s="1024">
        <f>G170/E170</f>
        <v>0.26833471497494893</v>
      </c>
      <c r="O170" s="4"/>
    </row>
    <row r="171" spans="1:15" ht="15" hidden="1" customHeight="1" x14ac:dyDescent="0.25">
      <c r="A171" s="836"/>
      <c r="B171" s="146" t="s">
        <v>316</v>
      </c>
      <c r="C171" s="214">
        <v>6540379000</v>
      </c>
      <c r="D171" s="223">
        <v>6540379000</v>
      </c>
      <c r="E171" s="1001"/>
      <c r="F171" s="1001"/>
      <c r="G171" s="1001"/>
      <c r="H171" s="813"/>
      <c r="O171" s="4"/>
    </row>
    <row r="172" spans="1:15" ht="15" hidden="1" customHeight="1" x14ac:dyDescent="0.25">
      <c r="A172" s="836"/>
      <c r="B172" s="146" t="s">
        <v>317</v>
      </c>
      <c r="C172" s="214">
        <v>16090000000</v>
      </c>
      <c r="D172" s="223">
        <v>16090000000</v>
      </c>
      <c r="E172" s="1001"/>
      <c r="F172" s="1001"/>
      <c r="G172" s="1001"/>
      <c r="H172" s="813"/>
      <c r="O172" s="4"/>
    </row>
    <row r="173" spans="1:15" ht="15" hidden="1" customHeight="1" x14ac:dyDescent="0.25">
      <c r="A173" s="836"/>
      <c r="B173" s="146" t="s">
        <v>318</v>
      </c>
      <c r="C173" s="214">
        <v>1490000</v>
      </c>
      <c r="D173" s="223">
        <v>1490000</v>
      </c>
      <c r="E173" s="1001"/>
      <c r="F173" s="1001"/>
      <c r="G173" s="1001"/>
      <c r="H173" s="813"/>
      <c r="O173" s="4"/>
    </row>
    <row r="174" spans="1:15" ht="15" hidden="1" customHeight="1" x14ac:dyDescent="0.25">
      <c r="A174" s="837"/>
      <c r="B174" s="147" t="s">
        <v>319</v>
      </c>
      <c r="C174" s="215">
        <v>461036000</v>
      </c>
      <c r="D174" s="224">
        <v>461036000</v>
      </c>
      <c r="E174" s="1003"/>
      <c r="F174" s="1003"/>
      <c r="G174" s="1003"/>
      <c r="H174" s="763"/>
      <c r="O174" s="4"/>
    </row>
    <row r="175" spans="1:15" ht="18" hidden="1" customHeight="1" x14ac:dyDescent="0.25">
      <c r="A175" s="225" t="s">
        <v>309</v>
      </c>
      <c r="B175" s="226"/>
      <c r="C175" s="227">
        <v>26671425000</v>
      </c>
      <c r="D175" s="228">
        <v>26943312887</v>
      </c>
      <c r="E175" s="229">
        <v>4046539289</v>
      </c>
      <c r="F175" s="229">
        <v>4046539289</v>
      </c>
      <c r="G175" s="229">
        <v>1304354231</v>
      </c>
      <c r="H175" s="230">
        <f t="shared" ref="H175:H181" si="1">G175/E175</f>
        <v>0.32233820997258578</v>
      </c>
      <c r="O175" s="4"/>
    </row>
    <row r="176" spans="1:15" ht="15" hidden="1" customHeight="1" x14ac:dyDescent="0.25">
      <c r="A176" s="231" t="s">
        <v>275</v>
      </c>
      <c r="B176" s="232"/>
      <c r="C176" s="227">
        <v>26671425000</v>
      </c>
      <c r="D176" s="228">
        <v>26943312887</v>
      </c>
      <c r="E176" s="229">
        <v>4106917922</v>
      </c>
      <c r="F176" s="229">
        <v>4106917922</v>
      </c>
      <c r="G176" s="229">
        <v>1776500697.72</v>
      </c>
      <c r="H176" s="230">
        <f t="shared" si="1"/>
        <v>0.43256299041274093</v>
      </c>
      <c r="O176" s="4"/>
    </row>
    <row r="177" spans="1:15" ht="15" hidden="1" customHeight="1" x14ac:dyDescent="0.25">
      <c r="A177" s="179" t="s">
        <v>281</v>
      </c>
      <c r="B177" s="233"/>
      <c r="C177" s="234">
        <v>26671425000</v>
      </c>
      <c r="D177" s="235">
        <f t="shared" ref="D177:D178" si="2">26943312887+800000000</f>
        <v>27743312887</v>
      </c>
      <c r="E177" s="236">
        <v>4127031936</v>
      </c>
      <c r="F177" s="236">
        <v>4127031936</v>
      </c>
      <c r="G177" s="236">
        <v>2099399327</v>
      </c>
      <c r="H177" s="213">
        <f t="shared" si="1"/>
        <v>0.50869471318770043</v>
      </c>
      <c r="I177" s="107"/>
      <c r="O177" s="4"/>
    </row>
    <row r="178" spans="1:15" ht="15.75" hidden="1" customHeight="1" x14ac:dyDescent="0.25">
      <c r="A178" s="225" t="s">
        <v>282</v>
      </c>
      <c r="B178" s="226"/>
      <c r="C178" s="227">
        <v>26671425000</v>
      </c>
      <c r="D178" s="228">
        <f t="shared" si="2"/>
        <v>27743312887</v>
      </c>
      <c r="E178" s="229">
        <v>4143061873</v>
      </c>
      <c r="F178" s="229">
        <v>4143061873</v>
      </c>
      <c r="G178" s="229">
        <v>2447707681</v>
      </c>
      <c r="H178" s="230">
        <f t="shared" si="1"/>
        <v>0.59079679619353831</v>
      </c>
      <c r="O178" s="4"/>
    </row>
    <row r="179" spans="1:15" ht="15.75" hidden="1" customHeight="1" x14ac:dyDescent="0.25">
      <c r="A179" s="237" t="s">
        <v>283</v>
      </c>
      <c r="B179" s="238"/>
      <c r="C179" s="227">
        <v>26671425000</v>
      </c>
      <c r="D179" s="228">
        <v>27629312887</v>
      </c>
      <c r="E179" s="229">
        <v>4201990873</v>
      </c>
      <c r="F179" s="229">
        <v>4201990873</v>
      </c>
      <c r="G179" s="229">
        <v>2775426367</v>
      </c>
      <c r="H179" s="230">
        <f t="shared" si="1"/>
        <v>0.66050271190105936</v>
      </c>
      <c r="O179" s="4"/>
    </row>
    <row r="180" spans="1:15" ht="15.75" hidden="1" customHeight="1" x14ac:dyDescent="0.25">
      <c r="A180" s="239" t="s">
        <v>284</v>
      </c>
      <c r="B180" s="146"/>
      <c r="C180" s="227">
        <v>27629312887</v>
      </c>
      <c r="D180" s="228">
        <v>27629312887</v>
      </c>
      <c r="E180" s="229">
        <v>10118843306</v>
      </c>
      <c r="F180" s="229">
        <v>10118843306</v>
      </c>
      <c r="G180" s="229">
        <v>3242147592</v>
      </c>
      <c r="H180" s="230">
        <f t="shared" si="1"/>
        <v>0.32040693723140851</v>
      </c>
      <c r="I180" s="202"/>
      <c r="O180" s="4"/>
    </row>
    <row r="181" spans="1:15" ht="15.75" hidden="1" customHeight="1" x14ac:dyDescent="0.25">
      <c r="A181" s="240" t="s">
        <v>285</v>
      </c>
      <c r="B181" s="147"/>
      <c r="C181" s="227">
        <v>27629312887</v>
      </c>
      <c r="D181" s="228">
        <v>27629312887</v>
      </c>
      <c r="E181" s="241">
        <v>27077179416</v>
      </c>
      <c r="F181" s="241">
        <v>27077179416</v>
      </c>
      <c r="G181" s="229">
        <v>8480876253</v>
      </c>
      <c r="H181" s="230">
        <f t="shared" si="1"/>
        <v>0.31321121460637147</v>
      </c>
      <c r="O181" s="4"/>
    </row>
    <row r="182" spans="1:15" ht="15.75" customHeight="1" thickBot="1" x14ac:dyDescent="0.3">
      <c r="D182" s="217"/>
      <c r="E182" s="242"/>
      <c r="O182" s="4"/>
    </row>
    <row r="183" spans="1:15" ht="15.75" customHeight="1" x14ac:dyDescent="0.25">
      <c r="A183" s="1040" t="s">
        <v>320</v>
      </c>
      <c r="B183" s="1041"/>
      <c r="C183" s="1041"/>
      <c r="D183" s="1041"/>
      <c r="E183" s="1041"/>
      <c r="F183" s="1041"/>
      <c r="G183" s="1041"/>
      <c r="H183" s="1042"/>
      <c r="O183" s="4"/>
    </row>
    <row r="184" spans="1:15" ht="15.75" customHeight="1" x14ac:dyDescent="0.25">
      <c r="A184" s="379" t="s">
        <v>27</v>
      </c>
      <c r="B184" s="244" t="s">
        <v>268</v>
      </c>
      <c r="C184" s="244" t="s">
        <v>269</v>
      </c>
      <c r="D184" s="244" t="s">
        <v>270</v>
      </c>
      <c r="E184" s="244" t="s">
        <v>271</v>
      </c>
      <c r="F184" s="244" t="s">
        <v>272</v>
      </c>
      <c r="G184" s="244" t="s">
        <v>273</v>
      </c>
      <c r="H184" s="380" t="s">
        <v>274</v>
      </c>
      <c r="O184" s="4"/>
    </row>
    <row r="185" spans="1:15" ht="15.75" customHeight="1" x14ac:dyDescent="0.25">
      <c r="A185" s="381" t="s">
        <v>287</v>
      </c>
      <c r="B185" s="146"/>
      <c r="C185" s="214">
        <v>39475813000</v>
      </c>
      <c r="D185" s="214">
        <v>39475813000</v>
      </c>
      <c r="E185" s="214">
        <v>32089737544</v>
      </c>
      <c r="F185" s="214">
        <v>32089737544</v>
      </c>
      <c r="G185" s="214">
        <v>0</v>
      </c>
      <c r="H185" s="382">
        <f t="shared" ref="H185:H186" si="3">G185/E185</f>
        <v>0</v>
      </c>
      <c r="O185" s="4"/>
    </row>
    <row r="186" spans="1:15" ht="15.75" customHeight="1" x14ac:dyDescent="0.25">
      <c r="A186" s="401" t="s">
        <v>296</v>
      </c>
      <c r="B186" s="402"/>
      <c r="C186" s="403">
        <v>39475813000</v>
      </c>
      <c r="D186" s="403">
        <v>39475813000</v>
      </c>
      <c r="E186" s="403">
        <v>34259087544</v>
      </c>
      <c r="F186" s="403">
        <v>34259087544</v>
      </c>
      <c r="G186" s="403">
        <v>0</v>
      </c>
      <c r="H186" s="383">
        <f t="shared" si="3"/>
        <v>0</v>
      </c>
      <c r="O186" s="4"/>
    </row>
    <row r="187" spans="1:15" ht="15.75" customHeight="1" x14ac:dyDescent="0.25">
      <c r="A187" s="401" t="s">
        <v>305</v>
      </c>
      <c r="B187" s="402"/>
      <c r="C187" s="403">
        <v>39475813000</v>
      </c>
      <c r="D187" s="403">
        <v>39475813000</v>
      </c>
      <c r="E187" s="403">
        <v>34861602544</v>
      </c>
      <c r="F187" s="403">
        <v>34861602544</v>
      </c>
      <c r="G187" s="403">
        <v>65913200</v>
      </c>
      <c r="H187" s="404">
        <f>G187/F187</f>
        <v>1.8907105580361298E-3</v>
      </c>
      <c r="O187" s="4"/>
    </row>
    <row r="188" spans="1:15" ht="15.75" hidden="1" customHeight="1" x14ac:dyDescent="0.25">
      <c r="A188" s="381" t="s">
        <v>306</v>
      </c>
      <c r="B188" s="146"/>
      <c r="C188" s="214">
        <v>39475813000</v>
      </c>
      <c r="D188" s="146"/>
      <c r="E188" s="146"/>
      <c r="F188" s="146"/>
      <c r="G188" s="146"/>
      <c r="H188" s="382"/>
      <c r="O188" s="4"/>
    </row>
    <row r="189" spans="1:15" ht="15.75" hidden="1" customHeight="1" x14ac:dyDescent="0.25">
      <c r="A189" s="381" t="s">
        <v>308</v>
      </c>
      <c r="B189" s="146"/>
      <c r="C189" s="214">
        <v>39475813000</v>
      </c>
      <c r="D189" s="146"/>
      <c r="E189" s="146"/>
      <c r="F189" s="146"/>
      <c r="G189" s="146"/>
      <c r="H189" s="382"/>
      <c r="O189" s="4"/>
    </row>
    <row r="190" spans="1:15" ht="15.75" hidden="1" customHeight="1" x14ac:dyDescent="0.25">
      <c r="A190" s="381" t="s">
        <v>309</v>
      </c>
      <c r="B190" s="146"/>
      <c r="C190" s="214">
        <v>39475813000</v>
      </c>
      <c r="D190" s="146"/>
      <c r="E190" s="146"/>
      <c r="F190" s="146"/>
      <c r="G190" s="146"/>
      <c r="H190" s="382"/>
      <c r="O190" s="4"/>
    </row>
    <row r="191" spans="1:15" ht="15.75" hidden="1" customHeight="1" x14ac:dyDescent="0.25">
      <c r="A191" s="381" t="s">
        <v>275</v>
      </c>
      <c r="B191" s="146"/>
      <c r="C191" s="214">
        <v>39475813000</v>
      </c>
      <c r="D191" s="146"/>
      <c r="E191" s="146"/>
      <c r="F191" s="146"/>
      <c r="G191" s="146"/>
      <c r="H191" s="382"/>
      <c r="O191" s="4"/>
    </row>
    <row r="192" spans="1:15" ht="15.75" hidden="1" customHeight="1" x14ac:dyDescent="0.25">
      <c r="A192" s="381" t="s">
        <v>281</v>
      </c>
      <c r="B192" s="146"/>
      <c r="C192" s="214">
        <v>39475813000</v>
      </c>
      <c r="D192" s="146"/>
      <c r="E192" s="146"/>
      <c r="F192" s="146"/>
      <c r="G192" s="146"/>
      <c r="H192" s="382"/>
      <c r="O192" s="4"/>
    </row>
    <row r="193" spans="1:15" ht="15.75" hidden="1" customHeight="1" x14ac:dyDescent="0.25">
      <c r="A193" s="381" t="s">
        <v>282</v>
      </c>
      <c r="B193" s="146"/>
      <c r="C193" s="214">
        <v>39475813000</v>
      </c>
      <c r="D193" s="146"/>
      <c r="E193" s="146"/>
      <c r="F193" s="146"/>
      <c r="G193" s="146"/>
      <c r="H193" s="382"/>
      <c r="O193" s="4"/>
    </row>
    <row r="194" spans="1:15" ht="15.75" hidden="1" customHeight="1" x14ac:dyDescent="0.25">
      <c r="A194" s="381" t="s">
        <v>283</v>
      </c>
      <c r="B194" s="146"/>
      <c r="C194" s="214">
        <v>39475813000</v>
      </c>
      <c r="D194" s="146"/>
      <c r="E194" s="146"/>
      <c r="F194" s="146"/>
      <c r="G194" s="146"/>
      <c r="H194" s="382"/>
      <c r="O194" s="4"/>
    </row>
    <row r="195" spans="1:15" ht="15.75" hidden="1" customHeight="1" x14ac:dyDescent="0.25">
      <c r="A195" s="381" t="s">
        <v>284</v>
      </c>
      <c r="B195" s="146"/>
      <c r="C195" s="214">
        <v>39475813000</v>
      </c>
      <c r="D195" s="146"/>
      <c r="E195" s="146"/>
      <c r="F195" s="146"/>
      <c r="G195" s="146"/>
      <c r="H195" s="382"/>
      <c r="O195" s="4"/>
    </row>
    <row r="196" spans="1:15" ht="15.75" hidden="1" customHeight="1" thickBot="1" x14ac:dyDescent="0.3">
      <c r="A196" s="384" t="s">
        <v>285</v>
      </c>
      <c r="B196" s="385"/>
      <c r="C196" s="386">
        <v>39475813000</v>
      </c>
      <c r="D196" s="385"/>
      <c r="E196" s="385"/>
      <c r="F196" s="385"/>
      <c r="G196" s="385"/>
      <c r="H196" s="387"/>
      <c r="O196" s="4"/>
    </row>
    <row r="197" spans="1:15" ht="15.75" customHeight="1" x14ac:dyDescent="0.25">
      <c r="O197" s="4"/>
    </row>
    <row r="198" spans="1:15" ht="15.75" hidden="1" customHeight="1" x14ac:dyDescent="0.25">
      <c r="A198" s="996" t="s">
        <v>321</v>
      </c>
      <c r="B198" s="716"/>
      <c r="C198" s="716"/>
      <c r="D198" s="716"/>
      <c r="E198" s="716"/>
      <c r="F198" s="716"/>
      <c r="G198" s="716"/>
      <c r="H198" s="815"/>
      <c r="O198" s="4"/>
    </row>
    <row r="199" spans="1:15" ht="15.75" hidden="1" customHeight="1" x14ac:dyDescent="0.25">
      <c r="A199" s="243" t="s">
        <v>28</v>
      </c>
      <c r="B199" s="244" t="s">
        <v>268</v>
      </c>
      <c r="C199" s="244" t="s">
        <v>269</v>
      </c>
      <c r="D199" s="244" t="s">
        <v>270</v>
      </c>
      <c r="E199" s="244" t="s">
        <v>271</v>
      </c>
      <c r="F199" s="244" t="s">
        <v>272</v>
      </c>
      <c r="G199" s="244" t="s">
        <v>273</v>
      </c>
      <c r="H199" s="245" t="s">
        <v>274</v>
      </c>
      <c r="O199" s="4"/>
    </row>
    <row r="200" spans="1:15" ht="15.75" hidden="1" customHeight="1" x14ac:dyDescent="0.25">
      <c r="A200" s="239" t="s">
        <v>287</v>
      </c>
      <c r="B200" s="146"/>
      <c r="C200" s="146"/>
      <c r="D200" s="146"/>
      <c r="E200" s="146"/>
      <c r="F200" s="146"/>
      <c r="G200" s="146"/>
      <c r="H200" s="246" t="e">
        <f t="shared" ref="H200:H211" si="4">G200/E200</f>
        <v>#DIV/0!</v>
      </c>
      <c r="O200" s="4"/>
    </row>
    <row r="201" spans="1:15" ht="15.75" hidden="1" customHeight="1" x14ac:dyDescent="0.25">
      <c r="A201" s="239" t="s">
        <v>296</v>
      </c>
      <c r="B201" s="146"/>
      <c r="C201" s="146"/>
      <c r="D201" s="146"/>
      <c r="E201" s="146"/>
      <c r="F201" s="146"/>
      <c r="G201" s="146"/>
      <c r="H201" s="246" t="e">
        <f t="shared" si="4"/>
        <v>#DIV/0!</v>
      </c>
      <c r="O201" s="4"/>
    </row>
    <row r="202" spans="1:15" ht="15.75" hidden="1" customHeight="1" x14ac:dyDescent="0.25">
      <c r="A202" s="239" t="s">
        <v>305</v>
      </c>
      <c r="B202" s="146"/>
      <c r="C202" s="146"/>
      <c r="D202" s="146"/>
      <c r="E202" s="146"/>
      <c r="F202" s="146"/>
      <c r="G202" s="146"/>
      <c r="H202" s="246" t="e">
        <f t="shared" si="4"/>
        <v>#DIV/0!</v>
      </c>
      <c r="O202" s="4"/>
    </row>
    <row r="203" spans="1:15" ht="15.75" hidden="1" customHeight="1" x14ac:dyDescent="0.25">
      <c r="A203" s="239" t="s">
        <v>306</v>
      </c>
      <c r="B203" s="146"/>
      <c r="C203" s="146"/>
      <c r="D203" s="146"/>
      <c r="E203" s="146"/>
      <c r="F203" s="146"/>
      <c r="G203" s="146"/>
      <c r="H203" s="246" t="e">
        <f t="shared" si="4"/>
        <v>#DIV/0!</v>
      </c>
      <c r="O203" s="4"/>
    </row>
    <row r="204" spans="1:15" ht="15.75" hidden="1" customHeight="1" x14ac:dyDescent="0.25">
      <c r="A204" s="239" t="s">
        <v>308</v>
      </c>
      <c r="B204" s="146"/>
      <c r="C204" s="146"/>
      <c r="D204" s="146"/>
      <c r="E204" s="146"/>
      <c r="F204" s="146"/>
      <c r="G204" s="146"/>
      <c r="H204" s="246" t="e">
        <f t="shared" si="4"/>
        <v>#DIV/0!</v>
      </c>
      <c r="O204" s="4"/>
    </row>
    <row r="205" spans="1:15" ht="15.75" hidden="1" customHeight="1" x14ac:dyDescent="0.25">
      <c r="A205" s="239" t="s">
        <v>309</v>
      </c>
      <c r="B205" s="146"/>
      <c r="C205" s="146"/>
      <c r="D205" s="146"/>
      <c r="E205" s="146"/>
      <c r="F205" s="146"/>
      <c r="G205" s="146"/>
      <c r="H205" s="246" t="e">
        <f t="shared" si="4"/>
        <v>#DIV/0!</v>
      </c>
      <c r="O205" s="4"/>
    </row>
    <row r="206" spans="1:15" ht="15.75" hidden="1" customHeight="1" x14ac:dyDescent="0.25">
      <c r="A206" s="239" t="s">
        <v>275</v>
      </c>
      <c r="B206" s="146"/>
      <c r="C206" s="146"/>
      <c r="D206" s="146"/>
      <c r="E206" s="146"/>
      <c r="F206" s="146"/>
      <c r="G206" s="146"/>
      <c r="H206" s="246" t="e">
        <f t="shared" si="4"/>
        <v>#DIV/0!</v>
      </c>
      <c r="O206" s="4"/>
    </row>
    <row r="207" spans="1:15" ht="15.75" hidden="1" customHeight="1" x14ac:dyDescent="0.25">
      <c r="A207" s="239" t="s">
        <v>281</v>
      </c>
      <c r="B207" s="146"/>
      <c r="C207" s="146"/>
      <c r="D207" s="146"/>
      <c r="E207" s="146"/>
      <c r="F207" s="146"/>
      <c r="G207" s="146"/>
      <c r="H207" s="246" t="e">
        <f t="shared" si="4"/>
        <v>#DIV/0!</v>
      </c>
      <c r="O207" s="4"/>
    </row>
    <row r="208" spans="1:15" ht="15.75" hidden="1" customHeight="1" x14ac:dyDescent="0.25">
      <c r="A208" s="239" t="s">
        <v>282</v>
      </c>
      <c r="B208" s="146"/>
      <c r="C208" s="146"/>
      <c r="D208" s="146"/>
      <c r="E208" s="146"/>
      <c r="F208" s="146"/>
      <c r="G208" s="146"/>
      <c r="H208" s="246" t="e">
        <f t="shared" si="4"/>
        <v>#DIV/0!</v>
      </c>
      <c r="O208" s="4"/>
    </row>
    <row r="209" spans="1:30" ht="15.75" hidden="1" customHeight="1" x14ac:dyDescent="0.25">
      <c r="A209" s="239" t="s">
        <v>283</v>
      </c>
      <c r="B209" s="146"/>
      <c r="C209" s="146"/>
      <c r="D209" s="146"/>
      <c r="E209" s="146"/>
      <c r="F209" s="146"/>
      <c r="G209" s="146"/>
      <c r="H209" s="246" t="e">
        <f t="shared" si="4"/>
        <v>#DIV/0!</v>
      </c>
      <c r="O209" s="4"/>
    </row>
    <row r="210" spans="1:30" ht="15.75" hidden="1" customHeight="1" x14ac:dyDescent="0.25">
      <c r="A210" s="239" t="s">
        <v>284</v>
      </c>
      <c r="B210" s="146"/>
      <c r="C210" s="146"/>
      <c r="D210" s="146"/>
      <c r="E210" s="146"/>
      <c r="F210" s="146"/>
      <c r="G210" s="146"/>
      <c r="H210" s="246" t="e">
        <f t="shared" si="4"/>
        <v>#DIV/0!</v>
      </c>
      <c r="O210" s="4"/>
    </row>
    <row r="211" spans="1:30" ht="15.75" hidden="1" customHeight="1" x14ac:dyDescent="0.25">
      <c r="A211" s="240" t="s">
        <v>285</v>
      </c>
      <c r="B211" s="147"/>
      <c r="C211" s="147"/>
      <c r="D211" s="147"/>
      <c r="E211" s="147"/>
      <c r="F211" s="147"/>
      <c r="G211" s="147"/>
      <c r="H211" s="246" t="e">
        <f t="shared" si="4"/>
        <v>#DIV/0!</v>
      </c>
      <c r="O211" s="4"/>
    </row>
    <row r="212" spans="1:30" ht="15.75" hidden="1" customHeight="1" x14ac:dyDescent="0.25">
      <c r="O212" s="4"/>
    </row>
    <row r="213" spans="1:30" ht="15.75" hidden="1" customHeight="1" x14ac:dyDescent="0.25">
      <c r="A213" s="1028" t="s">
        <v>322</v>
      </c>
      <c r="B213" s="880"/>
      <c r="C213" s="880"/>
      <c r="D213" s="880"/>
      <c r="E213" s="880"/>
      <c r="F213" s="880"/>
      <c r="G213" s="880"/>
      <c r="H213" s="880"/>
      <c r="I213" s="880"/>
      <c r="J213" s="880"/>
      <c r="K213" s="880"/>
      <c r="L213" s="880"/>
      <c r="M213" s="880"/>
      <c r="N213" s="881"/>
      <c r="O213" s="4"/>
    </row>
    <row r="214" spans="1:30" ht="15.75" hidden="1" customHeight="1" x14ac:dyDescent="0.25">
      <c r="A214" s="243" t="s">
        <v>24</v>
      </c>
      <c r="B214" s="247" t="s">
        <v>323</v>
      </c>
      <c r="C214" s="248" t="s">
        <v>324</v>
      </c>
      <c r="D214" s="249" t="s">
        <v>325</v>
      </c>
      <c r="E214" s="249" t="s">
        <v>326</v>
      </c>
      <c r="F214" s="249" t="s">
        <v>327</v>
      </c>
      <c r="G214" s="249" t="s">
        <v>328</v>
      </c>
      <c r="H214" s="249" t="s">
        <v>329</v>
      </c>
      <c r="I214" s="249" t="s">
        <v>330</v>
      </c>
      <c r="J214" s="250" t="s">
        <v>331</v>
      </c>
      <c r="K214" s="249" t="s">
        <v>332</v>
      </c>
      <c r="L214" s="249" t="s">
        <v>333</v>
      </c>
      <c r="M214" s="249" t="s">
        <v>334</v>
      </c>
      <c r="N214" s="251" t="s">
        <v>335</v>
      </c>
      <c r="O214" s="4"/>
      <c r="Q214" s="242">
        <f>J220-J219</f>
        <v>9.9999999999999978E-2</v>
      </c>
    </row>
    <row r="215" spans="1:30" ht="15.75" hidden="1" customHeight="1" x14ac:dyDescent="0.25">
      <c r="A215" s="252" t="s">
        <v>275</v>
      </c>
      <c r="B215" s="985" t="s">
        <v>336</v>
      </c>
      <c r="C215" s="1043" t="s">
        <v>337</v>
      </c>
      <c r="D215" s="987" t="s">
        <v>338</v>
      </c>
      <c r="E215" s="972" t="s">
        <v>339</v>
      </c>
      <c r="F215" s="977">
        <v>100</v>
      </c>
      <c r="G215" s="977">
        <v>8</v>
      </c>
      <c r="H215" s="34">
        <v>1</v>
      </c>
      <c r="I215" s="146"/>
      <c r="J215" s="146">
        <f t="shared" ref="J215:J218" si="5">I215/H215</f>
        <v>0</v>
      </c>
      <c r="K215" s="146"/>
      <c r="L215" s="146"/>
      <c r="M215" s="254" t="s">
        <v>63</v>
      </c>
      <c r="N215" s="246"/>
      <c r="O215" s="68">
        <f t="shared" ref="O215:O220" si="6">LEN(N215)</f>
        <v>0</v>
      </c>
    </row>
    <row r="216" spans="1:30" ht="15.75" hidden="1" customHeight="1" x14ac:dyDescent="0.25">
      <c r="A216" s="252" t="s">
        <v>281</v>
      </c>
      <c r="B216" s="827"/>
      <c r="C216" s="836"/>
      <c r="D216" s="833"/>
      <c r="E216" s="833"/>
      <c r="F216" s="833"/>
      <c r="G216" s="833"/>
      <c r="H216" s="34">
        <v>1</v>
      </c>
      <c r="I216" s="146"/>
      <c r="J216" s="146">
        <f t="shared" si="5"/>
        <v>0</v>
      </c>
      <c r="K216" s="146"/>
      <c r="L216" s="146"/>
      <c r="M216" s="254" t="s">
        <v>63</v>
      </c>
      <c r="N216" s="246"/>
      <c r="O216" s="68">
        <f t="shared" si="6"/>
        <v>0</v>
      </c>
    </row>
    <row r="217" spans="1:30" ht="15.75" hidden="1" customHeight="1" x14ac:dyDescent="0.25">
      <c r="A217" s="252" t="s">
        <v>282</v>
      </c>
      <c r="B217" s="827"/>
      <c r="C217" s="836"/>
      <c r="D217" s="833"/>
      <c r="E217" s="833"/>
      <c r="F217" s="833"/>
      <c r="G217" s="833"/>
      <c r="H217" s="34">
        <v>1</v>
      </c>
      <c r="I217" s="146"/>
      <c r="J217" s="146">
        <f t="shared" si="5"/>
        <v>0</v>
      </c>
      <c r="K217" s="146"/>
      <c r="L217" s="146"/>
      <c r="M217" s="254" t="s">
        <v>63</v>
      </c>
      <c r="N217" s="246"/>
      <c r="O217" s="68">
        <f t="shared" si="6"/>
        <v>0</v>
      </c>
    </row>
    <row r="218" spans="1:30" ht="15.75" hidden="1" customHeight="1" x14ac:dyDescent="0.25">
      <c r="A218" s="255" t="s">
        <v>283</v>
      </c>
      <c r="B218" s="827"/>
      <c r="C218" s="836"/>
      <c r="D218" s="833"/>
      <c r="E218" s="833"/>
      <c r="F218" s="833"/>
      <c r="G218" s="833"/>
      <c r="H218" s="34">
        <v>1</v>
      </c>
      <c r="I218" s="256">
        <v>0.4</v>
      </c>
      <c r="J218" s="257">
        <f t="shared" si="5"/>
        <v>0.4</v>
      </c>
      <c r="K218" s="256"/>
      <c r="L218" s="256"/>
      <c r="M218" s="34" t="s">
        <v>63</v>
      </c>
      <c r="N218" s="258" t="s">
        <v>340</v>
      </c>
      <c r="O218" s="68">
        <f t="shared" si="6"/>
        <v>190</v>
      </c>
      <c r="P218" s="259"/>
      <c r="Q218" s="259"/>
      <c r="R218" s="259"/>
      <c r="S218" s="259"/>
      <c r="T218" s="259"/>
      <c r="U218" s="259"/>
      <c r="V218" s="259"/>
      <c r="W218" s="259"/>
      <c r="X218" s="259"/>
      <c r="Y218" s="259"/>
      <c r="Z218" s="259"/>
      <c r="AA218" s="259"/>
      <c r="AB218" s="259"/>
      <c r="AC218" s="259"/>
      <c r="AD218" s="259"/>
    </row>
    <row r="219" spans="1:30" ht="15.75" hidden="1" customHeight="1" x14ac:dyDescent="0.25">
      <c r="A219" s="252" t="s">
        <v>284</v>
      </c>
      <c r="B219" s="827"/>
      <c r="C219" s="836"/>
      <c r="D219" s="833"/>
      <c r="E219" s="833"/>
      <c r="F219" s="833"/>
      <c r="G219" s="833"/>
      <c r="H219" s="34">
        <v>1</v>
      </c>
      <c r="I219" s="146">
        <v>0.9</v>
      </c>
      <c r="J219" s="260">
        <f>+I219</f>
        <v>0.9</v>
      </c>
      <c r="K219" s="146"/>
      <c r="L219" s="146"/>
      <c r="M219" s="254" t="s">
        <v>63</v>
      </c>
      <c r="N219" s="246" t="s">
        <v>341</v>
      </c>
      <c r="O219" s="68">
        <f t="shared" si="6"/>
        <v>199</v>
      </c>
    </row>
    <row r="220" spans="1:30" ht="15.75" hidden="1" customHeight="1" x14ac:dyDescent="0.25">
      <c r="A220" s="261" t="s">
        <v>285</v>
      </c>
      <c r="B220" s="828"/>
      <c r="C220" s="837"/>
      <c r="D220" s="834"/>
      <c r="E220" s="834"/>
      <c r="F220" s="834"/>
      <c r="G220" s="834"/>
      <c r="H220" s="262">
        <v>1</v>
      </c>
      <c r="I220" s="263">
        <v>1</v>
      </c>
      <c r="J220" s="264">
        <v>1</v>
      </c>
      <c r="K220" s="263"/>
      <c r="L220" s="263"/>
      <c r="M220" s="265" t="s">
        <v>63</v>
      </c>
      <c r="N220" s="266" t="s">
        <v>342</v>
      </c>
      <c r="O220" s="68">
        <f t="shared" si="6"/>
        <v>193</v>
      </c>
    </row>
    <row r="221" spans="1:30" ht="15.75" hidden="1" customHeight="1" x14ac:dyDescent="0.25">
      <c r="A221" s="267"/>
      <c r="B221" s="268"/>
      <c r="C221" s="268"/>
      <c r="D221" s="268"/>
      <c r="E221" s="268"/>
      <c r="F221" s="4"/>
      <c r="G221" s="4"/>
      <c r="H221" s="4"/>
      <c r="O221" s="268"/>
    </row>
    <row r="222" spans="1:30" ht="15.75" hidden="1" customHeight="1" x14ac:dyDescent="0.25">
      <c r="A222" s="267"/>
      <c r="B222" s="268"/>
      <c r="C222" s="268"/>
      <c r="D222" s="268"/>
      <c r="E222" s="268"/>
      <c r="F222" s="4"/>
      <c r="G222" s="4"/>
      <c r="H222" s="4"/>
      <c r="O222" s="268"/>
    </row>
    <row r="223" spans="1:30" ht="15.75" hidden="1" customHeight="1" x14ac:dyDescent="0.25">
      <c r="A223" s="269" t="s">
        <v>24</v>
      </c>
      <c r="B223" s="270" t="s">
        <v>323</v>
      </c>
      <c r="C223" s="248" t="s">
        <v>324</v>
      </c>
      <c r="D223" s="249" t="s">
        <v>325</v>
      </c>
      <c r="E223" s="249" t="s">
        <v>326</v>
      </c>
      <c r="F223" s="249" t="s">
        <v>327</v>
      </c>
      <c r="G223" s="249" t="s">
        <v>328</v>
      </c>
      <c r="H223" s="249" t="s">
        <v>329</v>
      </c>
      <c r="I223" s="249" t="s">
        <v>330</v>
      </c>
      <c r="J223" s="250" t="s">
        <v>331</v>
      </c>
      <c r="K223" s="249" t="s">
        <v>332</v>
      </c>
      <c r="L223" s="249" t="s">
        <v>333</v>
      </c>
      <c r="M223" s="249" t="s">
        <v>334</v>
      </c>
      <c r="N223" s="251" t="s">
        <v>335</v>
      </c>
      <c r="O223" s="268"/>
    </row>
    <row r="224" spans="1:30" ht="15.75" hidden="1" customHeight="1" x14ac:dyDescent="0.25">
      <c r="A224" s="252" t="s">
        <v>275</v>
      </c>
      <c r="B224" s="985" t="s">
        <v>343</v>
      </c>
      <c r="C224" s="986" t="s">
        <v>344</v>
      </c>
      <c r="D224" s="972" t="s">
        <v>345</v>
      </c>
      <c r="E224" s="972" t="s">
        <v>346</v>
      </c>
      <c r="F224" s="977">
        <v>100</v>
      </c>
      <c r="G224" s="977">
        <v>370</v>
      </c>
      <c r="H224" s="34">
        <v>5</v>
      </c>
      <c r="I224" s="146"/>
      <c r="J224" s="146">
        <f t="shared" ref="J224:J229" si="7">I224/H224</f>
        <v>0</v>
      </c>
      <c r="K224" s="146"/>
      <c r="L224" s="146"/>
      <c r="M224" s="254" t="s">
        <v>63</v>
      </c>
      <c r="N224" s="246"/>
      <c r="O224" s="68">
        <f t="shared" ref="O224:O229" si="8">LEN(N224)</f>
        <v>0</v>
      </c>
    </row>
    <row r="225" spans="1:30" ht="15.75" hidden="1" customHeight="1" x14ac:dyDescent="0.25">
      <c r="A225" s="252" t="s">
        <v>281</v>
      </c>
      <c r="B225" s="827"/>
      <c r="C225" s="836"/>
      <c r="D225" s="833"/>
      <c r="E225" s="833"/>
      <c r="F225" s="833"/>
      <c r="G225" s="833"/>
      <c r="H225" s="34">
        <v>5</v>
      </c>
      <c r="I225" s="146"/>
      <c r="J225" s="146">
        <f t="shared" si="7"/>
        <v>0</v>
      </c>
      <c r="K225" s="146"/>
      <c r="L225" s="146"/>
      <c r="M225" s="254" t="s">
        <v>63</v>
      </c>
      <c r="N225" s="246"/>
      <c r="O225" s="68">
        <f t="shared" si="8"/>
        <v>0</v>
      </c>
    </row>
    <row r="226" spans="1:30" ht="15.75" hidden="1" customHeight="1" x14ac:dyDescent="0.25">
      <c r="A226" s="252" t="s">
        <v>282</v>
      </c>
      <c r="B226" s="827"/>
      <c r="C226" s="836"/>
      <c r="D226" s="833"/>
      <c r="E226" s="833"/>
      <c r="F226" s="833"/>
      <c r="G226" s="833"/>
      <c r="H226" s="34">
        <v>5</v>
      </c>
      <c r="I226" s="146"/>
      <c r="J226" s="146">
        <f t="shared" si="7"/>
        <v>0</v>
      </c>
      <c r="K226" s="146"/>
      <c r="L226" s="146"/>
      <c r="M226" s="254" t="s">
        <v>63</v>
      </c>
      <c r="N226" s="246"/>
      <c r="O226" s="68">
        <f t="shared" si="8"/>
        <v>0</v>
      </c>
    </row>
    <row r="227" spans="1:30" ht="15.75" hidden="1" customHeight="1" x14ac:dyDescent="0.25">
      <c r="A227" s="255" t="s">
        <v>283</v>
      </c>
      <c r="B227" s="827"/>
      <c r="C227" s="836"/>
      <c r="D227" s="833"/>
      <c r="E227" s="833"/>
      <c r="F227" s="833"/>
      <c r="G227" s="833"/>
      <c r="H227" s="34">
        <v>5</v>
      </c>
      <c r="I227" s="256">
        <v>1.54</v>
      </c>
      <c r="J227" s="257">
        <f t="shared" si="7"/>
        <v>0.308</v>
      </c>
      <c r="K227" s="256"/>
      <c r="L227" s="256"/>
      <c r="M227" s="34" t="s">
        <v>63</v>
      </c>
      <c r="N227" s="258" t="s">
        <v>347</v>
      </c>
      <c r="O227" s="271">
        <f t="shared" si="8"/>
        <v>200</v>
      </c>
      <c r="P227" s="259"/>
      <c r="Q227" s="259"/>
      <c r="R227" s="259"/>
      <c r="S227" s="259"/>
      <c r="T227" s="259"/>
      <c r="U227" s="259"/>
      <c r="V227" s="259"/>
      <c r="W227" s="259"/>
      <c r="X227" s="259"/>
      <c r="Y227" s="259"/>
      <c r="Z227" s="259"/>
      <c r="AA227" s="259"/>
      <c r="AB227" s="259"/>
      <c r="AC227" s="259"/>
      <c r="AD227" s="259"/>
    </row>
    <row r="228" spans="1:30" ht="15.75" hidden="1" customHeight="1" x14ac:dyDescent="0.25">
      <c r="A228" s="252" t="s">
        <v>284</v>
      </c>
      <c r="B228" s="827"/>
      <c r="C228" s="836"/>
      <c r="D228" s="833"/>
      <c r="E228" s="833"/>
      <c r="F228" s="833"/>
      <c r="G228" s="833"/>
      <c r="H228" s="34">
        <v>5</v>
      </c>
      <c r="I228" s="146">
        <v>2.54</v>
      </c>
      <c r="J228" s="272">
        <f t="shared" si="7"/>
        <v>0.50800000000000001</v>
      </c>
      <c r="K228" s="146"/>
      <c r="L228" s="146"/>
      <c r="M228" s="254" t="s">
        <v>63</v>
      </c>
      <c r="N228" s="246" t="s">
        <v>348</v>
      </c>
      <c r="O228" s="68">
        <f t="shared" si="8"/>
        <v>121</v>
      </c>
    </row>
    <row r="229" spans="1:30" ht="15.75" hidden="1" customHeight="1" x14ac:dyDescent="0.25">
      <c r="A229" s="261" t="s">
        <v>285</v>
      </c>
      <c r="B229" s="828"/>
      <c r="C229" s="837"/>
      <c r="D229" s="834"/>
      <c r="E229" s="834"/>
      <c r="F229" s="834"/>
      <c r="G229" s="834"/>
      <c r="H229" s="262">
        <v>5</v>
      </c>
      <c r="I229" s="263">
        <v>5.29</v>
      </c>
      <c r="J229" s="273">
        <f t="shared" si="7"/>
        <v>1.0580000000000001</v>
      </c>
      <c r="K229" s="263"/>
      <c r="L229" s="263"/>
      <c r="M229" s="265" t="s">
        <v>63</v>
      </c>
      <c r="N229" s="266" t="s">
        <v>349</v>
      </c>
      <c r="O229" s="68">
        <f t="shared" si="8"/>
        <v>121</v>
      </c>
    </row>
    <row r="230" spans="1:30" ht="15.75" hidden="1" customHeight="1" x14ac:dyDescent="0.25">
      <c r="A230" s="267"/>
      <c r="B230" s="268"/>
      <c r="C230" s="268"/>
      <c r="D230" s="268"/>
      <c r="E230" s="268"/>
      <c r="F230" s="4"/>
      <c r="G230" s="4"/>
      <c r="H230" s="4"/>
      <c r="O230" s="268"/>
    </row>
    <row r="231" spans="1:30" ht="15.75" hidden="1" customHeight="1" x14ac:dyDescent="0.25">
      <c r="A231" s="267"/>
      <c r="B231" s="268"/>
      <c r="C231" s="268"/>
      <c r="D231" s="268"/>
      <c r="E231" s="268"/>
      <c r="F231" s="4"/>
      <c r="G231" s="4"/>
      <c r="H231" s="4"/>
      <c r="O231" s="268"/>
    </row>
    <row r="232" spans="1:30" ht="15.75" hidden="1" customHeight="1" x14ac:dyDescent="0.25">
      <c r="A232" s="269" t="s">
        <v>24</v>
      </c>
      <c r="B232" s="270" t="s">
        <v>323</v>
      </c>
      <c r="C232" s="248" t="s">
        <v>324</v>
      </c>
      <c r="D232" s="249" t="s">
        <v>325</v>
      </c>
      <c r="E232" s="249" t="s">
        <v>326</v>
      </c>
      <c r="F232" s="249" t="s">
        <v>327</v>
      </c>
      <c r="G232" s="249" t="s">
        <v>328</v>
      </c>
      <c r="H232" s="249" t="s">
        <v>329</v>
      </c>
      <c r="I232" s="249" t="s">
        <v>330</v>
      </c>
      <c r="J232" s="250" t="s">
        <v>331</v>
      </c>
      <c r="K232" s="249" t="s">
        <v>332</v>
      </c>
      <c r="L232" s="249" t="s">
        <v>333</v>
      </c>
      <c r="M232" s="249" t="s">
        <v>334</v>
      </c>
      <c r="N232" s="251" t="s">
        <v>335</v>
      </c>
      <c r="O232" s="268"/>
    </row>
    <row r="233" spans="1:30" ht="15.75" hidden="1" customHeight="1" x14ac:dyDescent="0.25">
      <c r="A233" s="252" t="s">
        <v>275</v>
      </c>
      <c r="B233" s="985" t="s">
        <v>343</v>
      </c>
      <c r="C233" s="986" t="s">
        <v>344</v>
      </c>
      <c r="D233" s="972" t="s">
        <v>350</v>
      </c>
      <c r="E233" s="972" t="s">
        <v>346</v>
      </c>
      <c r="F233" s="977">
        <v>100</v>
      </c>
      <c r="G233" s="977">
        <v>590</v>
      </c>
      <c r="H233" s="34">
        <v>54</v>
      </c>
      <c r="I233" s="146"/>
      <c r="J233" s="146">
        <f t="shared" ref="J233:J238" si="9">I233/H233</f>
        <v>0</v>
      </c>
      <c r="K233" s="146"/>
      <c r="L233" s="146"/>
      <c r="M233" s="254" t="s">
        <v>63</v>
      </c>
      <c r="N233" s="246"/>
      <c r="O233" s="68">
        <f t="shared" ref="O233:O238" si="10">LEN(N233)</f>
        <v>0</v>
      </c>
    </row>
    <row r="234" spans="1:30" ht="15.75" hidden="1" customHeight="1" x14ac:dyDescent="0.25">
      <c r="A234" s="252" t="s">
        <v>281</v>
      </c>
      <c r="B234" s="827"/>
      <c r="C234" s="836"/>
      <c r="D234" s="833"/>
      <c r="E234" s="833"/>
      <c r="F234" s="833"/>
      <c r="G234" s="833"/>
      <c r="H234" s="34">
        <v>54</v>
      </c>
      <c r="I234" s="146"/>
      <c r="J234" s="146">
        <f t="shared" si="9"/>
        <v>0</v>
      </c>
      <c r="K234" s="146"/>
      <c r="L234" s="146"/>
      <c r="M234" s="254" t="s">
        <v>63</v>
      </c>
      <c r="N234" s="246"/>
      <c r="O234" s="68">
        <f t="shared" si="10"/>
        <v>0</v>
      </c>
    </row>
    <row r="235" spans="1:30" ht="15.75" hidden="1" customHeight="1" x14ac:dyDescent="0.25">
      <c r="A235" s="252" t="s">
        <v>282</v>
      </c>
      <c r="B235" s="827"/>
      <c r="C235" s="836"/>
      <c r="D235" s="833"/>
      <c r="E235" s="833"/>
      <c r="F235" s="833"/>
      <c r="G235" s="833"/>
      <c r="H235" s="34">
        <v>54</v>
      </c>
      <c r="I235" s="146"/>
      <c r="J235" s="146">
        <f t="shared" si="9"/>
        <v>0</v>
      </c>
      <c r="K235" s="146"/>
      <c r="L235" s="146"/>
      <c r="M235" s="254" t="s">
        <v>63</v>
      </c>
      <c r="N235" s="246"/>
      <c r="O235" s="68">
        <f t="shared" si="10"/>
        <v>0</v>
      </c>
    </row>
    <row r="236" spans="1:30" ht="15.75" hidden="1" customHeight="1" x14ac:dyDescent="0.25">
      <c r="A236" s="255" t="s">
        <v>283</v>
      </c>
      <c r="B236" s="827"/>
      <c r="C236" s="836"/>
      <c r="D236" s="833"/>
      <c r="E236" s="833"/>
      <c r="F236" s="833"/>
      <c r="G236" s="833"/>
      <c r="H236" s="34">
        <v>54</v>
      </c>
      <c r="I236" s="256">
        <v>4.24</v>
      </c>
      <c r="J236" s="257">
        <f t="shared" si="9"/>
        <v>7.8518518518518529E-2</v>
      </c>
      <c r="K236" s="256"/>
      <c r="L236" s="256"/>
      <c r="M236" s="34" t="s">
        <v>63</v>
      </c>
      <c r="N236" s="258" t="s">
        <v>351</v>
      </c>
      <c r="O236" s="271">
        <f t="shared" si="10"/>
        <v>170</v>
      </c>
      <c r="P236" s="259"/>
      <c r="Q236" s="259"/>
      <c r="R236" s="259"/>
      <c r="S236" s="259"/>
      <c r="T236" s="259"/>
      <c r="U236" s="259"/>
      <c r="V236" s="259"/>
      <c r="W236" s="259"/>
      <c r="X236" s="259"/>
      <c r="Y236" s="259"/>
      <c r="Z236" s="259"/>
      <c r="AA236" s="259"/>
      <c r="AB236" s="259"/>
      <c r="AC236" s="259"/>
      <c r="AD236" s="259"/>
    </row>
    <row r="237" spans="1:30" ht="15.75" hidden="1" customHeight="1" x14ac:dyDescent="0.25">
      <c r="A237" s="252" t="s">
        <v>284</v>
      </c>
      <c r="B237" s="827"/>
      <c r="C237" s="836"/>
      <c r="D237" s="833"/>
      <c r="E237" s="833"/>
      <c r="F237" s="833"/>
      <c r="G237" s="833"/>
      <c r="H237" s="34">
        <v>54</v>
      </c>
      <c r="I237" s="146">
        <v>4.8099999999999996</v>
      </c>
      <c r="J237" s="274">
        <f t="shared" si="9"/>
        <v>8.9074074074074069E-2</v>
      </c>
      <c r="K237" s="146"/>
      <c r="L237" s="146"/>
      <c r="M237" s="254" t="s">
        <v>63</v>
      </c>
      <c r="N237" s="246" t="s">
        <v>352</v>
      </c>
      <c r="O237" s="68">
        <f t="shared" si="10"/>
        <v>200</v>
      </c>
    </row>
    <row r="238" spans="1:30" ht="15.75" hidden="1" customHeight="1" x14ac:dyDescent="0.25">
      <c r="A238" s="261" t="s">
        <v>285</v>
      </c>
      <c r="B238" s="828"/>
      <c r="C238" s="837"/>
      <c r="D238" s="834"/>
      <c r="E238" s="834"/>
      <c r="F238" s="834"/>
      <c r="G238" s="834"/>
      <c r="H238" s="262">
        <v>54</v>
      </c>
      <c r="I238" s="263">
        <v>5.24</v>
      </c>
      <c r="J238" s="273">
        <f t="shared" si="9"/>
        <v>9.7037037037037047E-2</v>
      </c>
      <c r="K238" s="263"/>
      <c r="L238" s="263"/>
      <c r="M238" s="265" t="s">
        <v>63</v>
      </c>
      <c r="N238" s="266" t="s">
        <v>353</v>
      </c>
      <c r="O238" s="68">
        <f t="shared" si="10"/>
        <v>198</v>
      </c>
    </row>
    <row r="239" spans="1:30" ht="15.75" hidden="1" customHeight="1" x14ac:dyDescent="0.25">
      <c r="A239" s="267"/>
      <c r="B239" s="268"/>
      <c r="C239" s="268"/>
      <c r="D239" s="268"/>
      <c r="E239" s="268"/>
      <c r="F239" s="4"/>
      <c r="G239" s="4"/>
      <c r="H239" s="4"/>
      <c r="O239" s="268"/>
    </row>
    <row r="240" spans="1:30" ht="15.75" hidden="1" customHeight="1" x14ac:dyDescent="0.25">
      <c r="A240" s="267"/>
      <c r="B240" s="268"/>
      <c r="C240" s="268"/>
      <c r="D240" s="268"/>
      <c r="E240" s="268"/>
      <c r="F240" s="4"/>
      <c r="G240" s="4"/>
      <c r="H240" s="4"/>
      <c r="O240" s="268"/>
    </row>
    <row r="241" spans="1:30" ht="15.75" hidden="1" customHeight="1" x14ac:dyDescent="0.25">
      <c r="A241" s="269" t="s">
        <v>24</v>
      </c>
      <c r="B241" s="249" t="s">
        <v>323</v>
      </c>
      <c r="C241" s="249" t="s">
        <v>324</v>
      </c>
      <c r="D241" s="249" t="s">
        <v>325</v>
      </c>
      <c r="E241" s="249" t="s">
        <v>326</v>
      </c>
      <c r="F241" s="249" t="s">
        <v>327</v>
      </c>
      <c r="G241" s="249" t="s">
        <v>328</v>
      </c>
      <c r="H241" s="249" t="s">
        <v>329</v>
      </c>
      <c r="I241" s="249" t="s">
        <v>330</v>
      </c>
      <c r="J241" s="250" t="s">
        <v>331</v>
      </c>
      <c r="K241" s="249" t="s">
        <v>332</v>
      </c>
      <c r="L241" s="249" t="s">
        <v>333</v>
      </c>
      <c r="M241" s="249" t="s">
        <v>334</v>
      </c>
      <c r="N241" s="251" t="s">
        <v>335</v>
      </c>
      <c r="O241" s="268"/>
    </row>
    <row r="242" spans="1:30" ht="15.75" hidden="1" customHeight="1" x14ac:dyDescent="0.25">
      <c r="A242" s="252" t="s">
        <v>275</v>
      </c>
      <c r="B242" s="972" t="s">
        <v>354</v>
      </c>
      <c r="C242" s="972" t="s">
        <v>355</v>
      </c>
      <c r="D242" s="972" t="s">
        <v>356</v>
      </c>
      <c r="E242" s="977" t="s">
        <v>339</v>
      </c>
      <c r="F242" s="977">
        <v>100</v>
      </c>
      <c r="G242" s="977">
        <v>4</v>
      </c>
      <c r="H242" s="253">
        <v>0.27</v>
      </c>
      <c r="I242" s="146"/>
      <c r="J242" s="146">
        <f t="shared" ref="J242:J247" si="11">I242/H242</f>
        <v>0</v>
      </c>
      <c r="K242" s="146"/>
      <c r="L242" s="146"/>
      <c r="M242" s="254" t="s">
        <v>63</v>
      </c>
      <c r="N242" s="246"/>
      <c r="O242" s="68">
        <f t="shared" ref="O242:O247" si="12">LEN(N242)</f>
        <v>0</v>
      </c>
    </row>
    <row r="243" spans="1:30" ht="15.75" hidden="1" customHeight="1" x14ac:dyDescent="0.25">
      <c r="A243" s="252" t="s">
        <v>281</v>
      </c>
      <c r="B243" s="833"/>
      <c r="C243" s="833"/>
      <c r="D243" s="833"/>
      <c r="E243" s="833"/>
      <c r="F243" s="833"/>
      <c r="G243" s="833"/>
      <c r="H243" s="253">
        <v>0.27</v>
      </c>
      <c r="I243" s="146"/>
      <c r="J243" s="146">
        <f t="shared" si="11"/>
        <v>0</v>
      </c>
      <c r="K243" s="146"/>
      <c r="L243" s="146"/>
      <c r="M243" s="254" t="s">
        <v>63</v>
      </c>
      <c r="N243" s="246"/>
      <c r="O243" s="68">
        <f t="shared" si="12"/>
        <v>0</v>
      </c>
    </row>
    <row r="244" spans="1:30" ht="15.75" hidden="1" customHeight="1" x14ac:dyDescent="0.25">
      <c r="A244" s="252" t="s">
        <v>282</v>
      </c>
      <c r="B244" s="833"/>
      <c r="C244" s="833"/>
      <c r="D244" s="833"/>
      <c r="E244" s="833"/>
      <c r="F244" s="833"/>
      <c r="G244" s="833"/>
      <c r="H244" s="253">
        <v>0.27</v>
      </c>
      <c r="I244" s="146"/>
      <c r="J244" s="146">
        <f t="shared" si="11"/>
        <v>0</v>
      </c>
      <c r="K244" s="146"/>
      <c r="L244" s="146"/>
      <c r="M244" s="254" t="s">
        <v>63</v>
      </c>
      <c r="N244" s="246"/>
      <c r="O244" s="68">
        <f t="shared" si="12"/>
        <v>0</v>
      </c>
    </row>
    <row r="245" spans="1:30" ht="15.75" hidden="1" customHeight="1" x14ac:dyDescent="0.25">
      <c r="A245" s="255" t="s">
        <v>283</v>
      </c>
      <c r="B245" s="833"/>
      <c r="C245" s="833"/>
      <c r="D245" s="833"/>
      <c r="E245" s="833"/>
      <c r="F245" s="833"/>
      <c r="G245" s="833"/>
      <c r="H245" s="253">
        <v>0.27</v>
      </c>
      <c r="I245" s="256">
        <v>0.14000000000000001</v>
      </c>
      <c r="J245" s="257">
        <f t="shared" si="11"/>
        <v>0.51851851851851849</v>
      </c>
      <c r="K245" s="256"/>
      <c r="L245" s="256"/>
      <c r="M245" s="34" t="s">
        <v>63</v>
      </c>
      <c r="N245" s="258" t="s">
        <v>357</v>
      </c>
      <c r="O245" s="271">
        <f t="shared" si="12"/>
        <v>194</v>
      </c>
      <c r="P245" s="259"/>
      <c r="Q245" s="259"/>
      <c r="R245" s="259"/>
      <c r="S245" s="259"/>
      <c r="T245" s="259"/>
      <c r="U245" s="259"/>
      <c r="V245" s="259"/>
      <c r="W245" s="259"/>
      <c r="X245" s="259"/>
      <c r="Y245" s="259"/>
      <c r="Z245" s="259"/>
      <c r="AA245" s="259"/>
      <c r="AB245" s="259"/>
      <c r="AC245" s="259"/>
      <c r="AD245" s="259"/>
    </row>
    <row r="246" spans="1:30" ht="15.75" hidden="1" customHeight="1" x14ac:dyDescent="0.25">
      <c r="A246" s="252" t="s">
        <v>284</v>
      </c>
      <c r="B246" s="833"/>
      <c r="C246" s="833"/>
      <c r="D246" s="833"/>
      <c r="E246" s="833"/>
      <c r="F246" s="833"/>
      <c r="G246" s="833"/>
      <c r="H246" s="253">
        <v>0.27</v>
      </c>
      <c r="I246" s="275">
        <v>0.2</v>
      </c>
      <c r="J246" s="272">
        <f t="shared" si="11"/>
        <v>0.7407407407407407</v>
      </c>
      <c r="K246" s="146"/>
      <c r="L246" s="146"/>
      <c r="M246" s="254" t="s">
        <v>63</v>
      </c>
      <c r="N246" s="246" t="s">
        <v>358</v>
      </c>
      <c r="O246" s="68">
        <f t="shared" si="12"/>
        <v>154</v>
      </c>
    </row>
    <row r="247" spans="1:30" ht="15.75" hidden="1" customHeight="1" x14ac:dyDescent="0.25">
      <c r="A247" s="261" t="s">
        <v>285</v>
      </c>
      <c r="B247" s="834"/>
      <c r="C247" s="834"/>
      <c r="D247" s="834"/>
      <c r="E247" s="834"/>
      <c r="F247" s="834"/>
      <c r="G247" s="834"/>
      <c r="H247" s="262">
        <v>0.27</v>
      </c>
      <c r="I247" s="263">
        <v>0.26</v>
      </c>
      <c r="J247" s="273">
        <f t="shared" si="11"/>
        <v>0.96296296296296291</v>
      </c>
      <c r="K247" s="263"/>
      <c r="L247" s="263"/>
      <c r="M247" s="265" t="s">
        <v>63</v>
      </c>
      <c r="N247" s="266" t="s">
        <v>359</v>
      </c>
      <c r="O247" s="68">
        <f t="shared" si="12"/>
        <v>149</v>
      </c>
    </row>
    <row r="248" spans="1:30" ht="15.75" hidden="1" customHeight="1" x14ac:dyDescent="0.25">
      <c r="A248" s="267"/>
      <c r="B248" s="268"/>
      <c r="C248" s="268"/>
      <c r="D248" s="268"/>
      <c r="E248" s="4"/>
      <c r="F248" s="4"/>
      <c r="G248" s="4"/>
      <c r="H248" s="4"/>
      <c r="J248" s="202"/>
      <c r="M248" s="3"/>
      <c r="O248" s="268"/>
    </row>
    <row r="249" spans="1:30" ht="15.75" hidden="1" customHeight="1" x14ac:dyDescent="0.25">
      <c r="A249" s="267"/>
      <c r="B249" s="268"/>
      <c r="C249" s="268"/>
      <c r="D249" s="268"/>
      <c r="E249" s="4"/>
      <c r="F249" s="4"/>
      <c r="G249" s="4"/>
      <c r="H249" s="4"/>
      <c r="J249" s="202"/>
      <c r="M249" s="3"/>
      <c r="O249" s="268"/>
    </row>
    <row r="250" spans="1:30" ht="15.75" hidden="1" customHeight="1" x14ac:dyDescent="0.25">
      <c r="A250" s="1028" t="s">
        <v>360</v>
      </c>
      <c r="B250" s="880"/>
      <c r="C250" s="880"/>
      <c r="D250" s="880"/>
      <c r="E250" s="880"/>
      <c r="F250" s="880"/>
      <c r="G250" s="880"/>
      <c r="H250" s="880"/>
      <c r="I250" s="880"/>
      <c r="J250" s="880"/>
      <c r="K250" s="880"/>
      <c r="L250" s="880"/>
      <c r="M250" s="880"/>
      <c r="N250" s="881"/>
      <c r="O250" s="4"/>
    </row>
    <row r="251" spans="1:30" ht="15.75" hidden="1" customHeight="1" x14ac:dyDescent="0.25">
      <c r="A251" s="243" t="s">
        <v>25</v>
      </c>
      <c r="B251" s="247" t="s">
        <v>323</v>
      </c>
      <c r="C251" s="248" t="s">
        <v>324</v>
      </c>
      <c r="D251" s="249" t="s">
        <v>325</v>
      </c>
      <c r="E251" s="249" t="s">
        <v>326</v>
      </c>
      <c r="F251" s="249" t="s">
        <v>361</v>
      </c>
      <c r="G251" s="249" t="s">
        <v>328</v>
      </c>
      <c r="H251" s="249" t="s">
        <v>362</v>
      </c>
      <c r="I251" s="249" t="s">
        <v>363</v>
      </c>
      <c r="J251" s="250" t="s">
        <v>364</v>
      </c>
      <c r="K251" s="249" t="s">
        <v>332</v>
      </c>
      <c r="L251" s="249" t="s">
        <v>333</v>
      </c>
      <c r="M251" s="249" t="s">
        <v>334</v>
      </c>
      <c r="N251" s="251" t="s">
        <v>335</v>
      </c>
      <c r="O251" s="4"/>
      <c r="Q251" s="242"/>
    </row>
    <row r="252" spans="1:30" ht="15.75" hidden="1" customHeight="1" x14ac:dyDescent="0.25">
      <c r="A252" s="252" t="s">
        <v>287</v>
      </c>
      <c r="B252" s="985" t="s">
        <v>336</v>
      </c>
      <c r="C252" s="1043" t="s">
        <v>337</v>
      </c>
      <c r="D252" s="987" t="s">
        <v>338</v>
      </c>
      <c r="E252" s="972" t="s">
        <v>339</v>
      </c>
      <c r="F252" s="977">
        <v>100</v>
      </c>
      <c r="G252" s="977">
        <v>8</v>
      </c>
      <c r="H252" s="34">
        <v>2</v>
      </c>
      <c r="I252" s="146">
        <v>0.16</v>
      </c>
      <c r="J252" s="272">
        <f t="shared" ref="J252:J263" si="13">I252/H252</f>
        <v>0.08</v>
      </c>
      <c r="K252" s="254" t="s">
        <v>63</v>
      </c>
      <c r="L252" s="254" t="s">
        <v>63</v>
      </c>
      <c r="M252" s="254" t="s">
        <v>63</v>
      </c>
      <c r="N252" s="246" t="s">
        <v>365</v>
      </c>
      <c r="O252" s="68">
        <f t="shared" ref="O252:O263" si="14">LEN(N252)</f>
        <v>189</v>
      </c>
    </row>
    <row r="253" spans="1:30" ht="15.75" hidden="1" customHeight="1" x14ac:dyDescent="0.25">
      <c r="A253" s="252" t="s">
        <v>296</v>
      </c>
      <c r="B253" s="827"/>
      <c r="C253" s="836"/>
      <c r="D253" s="833"/>
      <c r="E253" s="833"/>
      <c r="F253" s="833"/>
      <c r="G253" s="833"/>
      <c r="H253" s="34">
        <v>2</v>
      </c>
      <c r="I253" s="146">
        <v>0.33</v>
      </c>
      <c r="J253" s="272">
        <f t="shared" si="13"/>
        <v>0.16500000000000001</v>
      </c>
      <c r="K253" s="254" t="s">
        <v>63</v>
      </c>
      <c r="L253" s="254" t="s">
        <v>63</v>
      </c>
      <c r="M253" s="254" t="s">
        <v>63</v>
      </c>
      <c r="N253" s="246" t="s">
        <v>366</v>
      </c>
      <c r="O253" s="68">
        <f t="shared" si="14"/>
        <v>198</v>
      </c>
    </row>
    <row r="254" spans="1:30" ht="15.75" hidden="1" customHeight="1" x14ac:dyDescent="0.25">
      <c r="A254" s="252" t="s">
        <v>305</v>
      </c>
      <c r="B254" s="827"/>
      <c r="C254" s="836"/>
      <c r="D254" s="833"/>
      <c r="E254" s="833"/>
      <c r="F254" s="833"/>
      <c r="G254" s="833"/>
      <c r="H254" s="34">
        <v>2</v>
      </c>
      <c r="I254" s="275">
        <v>0.5</v>
      </c>
      <c r="J254" s="272">
        <f t="shared" si="13"/>
        <v>0.25</v>
      </c>
      <c r="K254" s="254" t="s">
        <v>63</v>
      </c>
      <c r="L254" s="254" t="s">
        <v>63</v>
      </c>
      <c r="M254" s="254" t="s">
        <v>63</v>
      </c>
      <c r="N254" s="246" t="s">
        <v>367</v>
      </c>
      <c r="O254" s="68">
        <f t="shared" si="14"/>
        <v>196</v>
      </c>
    </row>
    <row r="255" spans="1:30" ht="15.75" hidden="1" customHeight="1" x14ac:dyDescent="0.25">
      <c r="A255" s="252" t="s">
        <v>306</v>
      </c>
      <c r="B255" s="827"/>
      <c r="C255" s="836"/>
      <c r="D255" s="833"/>
      <c r="E255" s="833"/>
      <c r="F255" s="833"/>
      <c r="G255" s="833"/>
      <c r="H255" s="34">
        <v>2</v>
      </c>
      <c r="I255" s="146">
        <v>0.66</v>
      </c>
      <c r="J255" s="272">
        <f t="shared" si="13"/>
        <v>0.33</v>
      </c>
      <c r="K255" s="254" t="s">
        <v>63</v>
      </c>
      <c r="L255" s="254" t="s">
        <v>63</v>
      </c>
      <c r="M255" s="254" t="s">
        <v>63</v>
      </c>
      <c r="N255" s="246" t="s">
        <v>368</v>
      </c>
      <c r="O255" s="68">
        <f t="shared" si="14"/>
        <v>196</v>
      </c>
      <c r="Q255" s="33"/>
    </row>
    <row r="256" spans="1:30" ht="15.75" hidden="1" customHeight="1" x14ac:dyDescent="0.25">
      <c r="A256" s="252" t="s">
        <v>308</v>
      </c>
      <c r="B256" s="827"/>
      <c r="C256" s="836"/>
      <c r="D256" s="833"/>
      <c r="E256" s="833"/>
      <c r="F256" s="833"/>
      <c r="G256" s="833"/>
      <c r="H256" s="34">
        <v>2</v>
      </c>
      <c r="I256" s="275">
        <v>0.8</v>
      </c>
      <c r="J256" s="272">
        <f t="shared" si="13"/>
        <v>0.4</v>
      </c>
      <c r="K256" s="254" t="s">
        <v>63</v>
      </c>
      <c r="L256" s="254" t="s">
        <v>63</v>
      </c>
      <c r="M256" s="254" t="s">
        <v>63</v>
      </c>
      <c r="N256" s="246" t="s">
        <v>369</v>
      </c>
      <c r="O256" s="68">
        <f t="shared" si="14"/>
        <v>195</v>
      </c>
    </row>
    <row r="257" spans="1:30" ht="15.75" hidden="1" customHeight="1" x14ac:dyDescent="0.25">
      <c r="A257" s="252" t="s">
        <v>309</v>
      </c>
      <c r="B257" s="827"/>
      <c r="C257" s="836"/>
      <c r="D257" s="833"/>
      <c r="E257" s="833"/>
      <c r="F257" s="833"/>
      <c r="G257" s="833"/>
      <c r="H257" s="34">
        <v>2</v>
      </c>
      <c r="I257" s="275">
        <v>1</v>
      </c>
      <c r="J257" s="272">
        <f t="shared" si="13"/>
        <v>0.5</v>
      </c>
      <c r="K257" s="254" t="s">
        <v>63</v>
      </c>
      <c r="L257" s="254" t="s">
        <v>63</v>
      </c>
      <c r="M257" s="254" t="s">
        <v>63</v>
      </c>
      <c r="N257" s="246" t="s">
        <v>370</v>
      </c>
      <c r="O257" s="68">
        <f t="shared" si="14"/>
        <v>194</v>
      </c>
    </row>
    <row r="258" spans="1:30" ht="15.75" hidden="1" customHeight="1" x14ac:dyDescent="0.25">
      <c r="A258" s="252" t="s">
        <v>275</v>
      </c>
      <c r="B258" s="827"/>
      <c r="C258" s="836"/>
      <c r="D258" s="833"/>
      <c r="E258" s="833"/>
      <c r="F258" s="833"/>
      <c r="G258" s="833"/>
      <c r="H258" s="34">
        <v>2</v>
      </c>
      <c r="I258" s="275">
        <v>1.1599999999999999</v>
      </c>
      <c r="J258" s="272">
        <f t="shared" si="13"/>
        <v>0.57999999999999996</v>
      </c>
      <c r="K258" s="254" t="s">
        <v>63</v>
      </c>
      <c r="L258" s="254" t="s">
        <v>63</v>
      </c>
      <c r="M258" s="254" t="s">
        <v>63</v>
      </c>
      <c r="N258" s="246" t="s">
        <v>371</v>
      </c>
      <c r="O258" s="68">
        <f t="shared" si="14"/>
        <v>197</v>
      </c>
    </row>
    <row r="259" spans="1:30" ht="15.75" hidden="1" customHeight="1" x14ac:dyDescent="0.25">
      <c r="A259" s="252" t="s">
        <v>281</v>
      </c>
      <c r="B259" s="827"/>
      <c r="C259" s="836"/>
      <c r="D259" s="833"/>
      <c r="E259" s="833"/>
      <c r="F259" s="833"/>
      <c r="G259" s="833"/>
      <c r="H259" s="34">
        <v>2</v>
      </c>
      <c r="I259" s="275">
        <v>1.33</v>
      </c>
      <c r="J259" s="272">
        <f t="shared" si="13"/>
        <v>0.66500000000000004</v>
      </c>
      <c r="K259" s="254" t="s">
        <v>63</v>
      </c>
      <c r="L259" s="254" t="s">
        <v>63</v>
      </c>
      <c r="M259" s="254" t="s">
        <v>63</v>
      </c>
      <c r="N259" s="246" t="s">
        <v>372</v>
      </c>
      <c r="O259" s="68">
        <f t="shared" si="14"/>
        <v>198</v>
      </c>
    </row>
    <row r="260" spans="1:30" ht="15.75" hidden="1" customHeight="1" x14ac:dyDescent="0.25">
      <c r="A260" s="252" t="s">
        <v>282</v>
      </c>
      <c r="B260" s="827"/>
      <c r="C260" s="836"/>
      <c r="D260" s="833"/>
      <c r="E260" s="833"/>
      <c r="F260" s="833"/>
      <c r="G260" s="833"/>
      <c r="H260" s="34">
        <v>2</v>
      </c>
      <c r="I260" s="275">
        <v>1.5</v>
      </c>
      <c r="J260" s="272">
        <f t="shared" si="13"/>
        <v>0.75</v>
      </c>
      <c r="K260" s="254" t="s">
        <v>63</v>
      </c>
      <c r="L260" s="254" t="s">
        <v>63</v>
      </c>
      <c r="M260" s="254" t="s">
        <v>63</v>
      </c>
      <c r="N260" s="246" t="s">
        <v>373</v>
      </c>
      <c r="O260" s="68">
        <f t="shared" si="14"/>
        <v>201</v>
      </c>
    </row>
    <row r="261" spans="1:30" ht="15.75" hidden="1" customHeight="1" x14ac:dyDescent="0.25">
      <c r="A261" s="255" t="s">
        <v>283</v>
      </c>
      <c r="B261" s="827"/>
      <c r="C261" s="836"/>
      <c r="D261" s="833"/>
      <c r="E261" s="833"/>
      <c r="F261" s="833"/>
      <c r="G261" s="833"/>
      <c r="H261" s="34">
        <v>2</v>
      </c>
      <c r="I261" s="276">
        <v>1.67</v>
      </c>
      <c r="J261" s="272">
        <f t="shared" si="13"/>
        <v>0.83499999999999996</v>
      </c>
      <c r="K261" s="254" t="s">
        <v>63</v>
      </c>
      <c r="L261" s="254" t="s">
        <v>63</v>
      </c>
      <c r="M261" s="254" t="s">
        <v>63</v>
      </c>
      <c r="N261" s="258" t="s">
        <v>374</v>
      </c>
      <c r="O261" s="68">
        <f t="shared" si="14"/>
        <v>189</v>
      </c>
      <c r="P261" s="259"/>
      <c r="Q261" s="259"/>
      <c r="R261" s="259"/>
      <c r="S261" s="259"/>
      <c r="T261" s="259"/>
      <c r="U261" s="259"/>
      <c r="V261" s="259"/>
      <c r="W261" s="259"/>
      <c r="X261" s="259"/>
      <c r="Y261" s="259"/>
      <c r="Z261" s="259"/>
      <c r="AA261" s="259"/>
      <c r="AB261" s="259"/>
      <c r="AC261" s="259"/>
      <c r="AD261" s="259"/>
    </row>
    <row r="262" spans="1:30" ht="15.75" hidden="1" customHeight="1" x14ac:dyDescent="0.25">
      <c r="A262" s="252" t="s">
        <v>284</v>
      </c>
      <c r="B262" s="827"/>
      <c r="C262" s="836"/>
      <c r="D262" s="833"/>
      <c r="E262" s="833"/>
      <c r="F262" s="833"/>
      <c r="G262" s="833"/>
      <c r="H262" s="34">
        <v>2</v>
      </c>
      <c r="I262" s="146">
        <v>1.83</v>
      </c>
      <c r="J262" s="272">
        <f t="shared" si="13"/>
        <v>0.91500000000000004</v>
      </c>
      <c r="K262" s="254" t="s">
        <v>63</v>
      </c>
      <c r="L262" s="254" t="s">
        <v>63</v>
      </c>
      <c r="M262" s="254" t="s">
        <v>63</v>
      </c>
      <c r="N262" s="258" t="s">
        <v>375</v>
      </c>
      <c r="O262" s="68">
        <f t="shared" si="14"/>
        <v>191</v>
      </c>
    </row>
    <row r="263" spans="1:30" ht="15.75" hidden="1" customHeight="1" x14ac:dyDescent="0.25">
      <c r="A263" s="277" t="s">
        <v>285</v>
      </c>
      <c r="B263" s="828"/>
      <c r="C263" s="837"/>
      <c r="D263" s="834"/>
      <c r="E263" s="834"/>
      <c r="F263" s="834"/>
      <c r="G263" s="834"/>
      <c r="H263" s="278">
        <v>2</v>
      </c>
      <c r="I263" s="279">
        <v>2</v>
      </c>
      <c r="J263" s="280">
        <f t="shared" si="13"/>
        <v>1</v>
      </c>
      <c r="K263" s="281" t="s">
        <v>63</v>
      </c>
      <c r="L263" s="281" t="s">
        <v>63</v>
      </c>
      <c r="M263" s="281" t="s">
        <v>63</v>
      </c>
      <c r="N263" s="282" t="s">
        <v>376</v>
      </c>
      <c r="O263" s="68">
        <f t="shared" si="14"/>
        <v>189</v>
      </c>
    </row>
    <row r="264" spans="1:30" ht="15.75" hidden="1" customHeight="1" x14ac:dyDescent="0.25">
      <c r="A264" s="267"/>
      <c r="B264" s="268"/>
      <c r="C264" s="268"/>
      <c r="D264" s="268"/>
      <c r="E264" s="268"/>
      <c r="F264" s="4"/>
      <c r="G264" s="4"/>
      <c r="H264" s="4"/>
      <c r="O264" s="268"/>
    </row>
    <row r="265" spans="1:30" ht="15.75" hidden="1" customHeight="1" x14ac:dyDescent="0.25">
      <c r="A265" s="267"/>
      <c r="B265" s="268"/>
      <c r="C265" s="268"/>
      <c r="D265" s="268"/>
      <c r="E265" s="268"/>
      <c r="F265" s="4"/>
      <c r="G265" s="4"/>
      <c r="H265" s="4"/>
      <c r="O265" s="268"/>
    </row>
    <row r="266" spans="1:30" ht="15.75" hidden="1" customHeight="1" x14ac:dyDescent="0.25">
      <c r="A266" s="269" t="s">
        <v>25</v>
      </c>
      <c r="B266" s="270" t="s">
        <v>323</v>
      </c>
      <c r="C266" s="248" t="s">
        <v>324</v>
      </c>
      <c r="D266" s="249" t="s">
        <v>325</v>
      </c>
      <c r="E266" s="249" t="s">
        <v>326</v>
      </c>
      <c r="F266" s="249" t="s">
        <v>361</v>
      </c>
      <c r="G266" s="249" t="s">
        <v>328</v>
      </c>
      <c r="H266" s="249" t="s">
        <v>362</v>
      </c>
      <c r="I266" s="249" t="s">
        <v>363</v>
      </c>
      <c r="J266" s="250" t="s">
        <v>364</v>
      </c>
      <c r="K266" s="249" t="s">
        <v>332</v>
      </c>
      <c r="L266" s="249" t="s">
        <v>333</v>
      </c>
      <c r="M266" s="249" t="s">
        <v>334</v>
      </c>
      <c r="N266" s="251" t="s">
        <v>335</v>
      </c>
      <c r="O266" s="268"/>
    </row>
    <row r="267" spans="1:30" ht="15.75" hidden="1" customHeight="1" x14ac:dyDescent="0.25">
      <c r="A267" s="252" t="s">
        <v>287</v>
      </c>
      <c r="B267" s="985" t="s">
        <v>343</v>
      </c>
      <c r="C267" s="986" t="s">
        <v>344</v>
      </c>
      <c r="D267" s="972" t="s">
        <v>345</v>
      </c>
      <c r="E267" s="972" t="s">
        <v>346</v>
      </c>
      <c r="F267" s="977">
        <v>100</v>
      </c>
      <c r="G267" s="977">
        <v>370</v>
      </c>
      <c r="H267" s="34">
        <v>50</v>
      </c>
      <c r="I267" s="146">
        <v>0.12</v>
      </c>
      <c r="J267" s="260">
        <f t="shared" ref="J267:J278" si="15">I267/H267</f>
        <v>2.3999999999999998E-3</v>
      </c>
      <c r="K267" s="254" t="s">
        <v>63</v>
      </c>
      <c r="L267" s="254" t="s">
        <v>63</v>
      </c>
      <c r="M267" s="254" t="s">
        <v>63</v>
      </c>
      <c r="N267" s="246" t="s">
        <v>377</v>
      </c>
      <c r="O267" s="68">
        <f t="shared" ref="O267:O278" si="16">LEN(N267)</f>
        <v>275</v>
      </c>
    </row>
    <row r="268" spans="1:30" ht="15.75" hidden="1" customHeight="1" x14ac:dyDescent="0.25">
      <c r="A268" s="252" t="s">
        <v>296</v>
      </c>
      <c r="B268" s="827"/>
      <c r="C268" s="836"/>
      <c r="D268" s="833"/>
      <c r="E268" s="833"/>
      <c r="F268" s="833"/>
      <c r="G268" s="833"/>
      <c r="H268" s="34">
        <v>50</v>
      </c>
      <c r="I268" s="146">
        <v>0.12</v>
      </c>
      <c r="J268" s="260">
        <f t="shared" si="15"/>
        <v>2.3999999999999998E-3</v>
      </c>
      <c r="K268" s="254" t="s">
        <v>63</v>
      </c>
      <c r="L268" s="254" t="s">
        <v>63</v>
      </c>
      <c r="M268" s="254" t="s">
        <v>63</v>
      </c>
      <c r="N268" s="246" t="s">
        <v>378</v>
      </c>
      <c r="O268" s="68">
        <f t="shared" si="16"/>
        <v>277</v>
      </c>
    </row>
    <row r="269" spans="1:30" ht="15.75" hidden="1" customHeight="1" x14ac:dyDescent="0.25">
      <c r="A269" s="252" t="s">
        <v>305</v>
      </c>
      <c r="B269" s="827"/>
      <c r="C269" s="836"/>
      <c r="D269" s="833"/>
      <c r="E269" s="833"/>
      <c r="F269" s="833"/>
      <c r="G269" s="833"/>
      <c r="H269" s="34">
        <v>50</v>
      </c>
      <c r="I269" s="146">
        <v>0.12</v>
      </c>
      <c r="J269" s="260">
        <f t="shared" si="15"/>
        <v>2.3999999999999998E-3</v>
      </c>
      <c r="K269" s="254" t="s">
        <v>63</v>
      </c>
      <c r="L269" s="254" t="s">
        <v>63</v>
      </c>
      <c r="M269" s="254" t="s">
        <v>63</v>
      </c>
      <c r="N269" s="246" t="s">
        <v>379</v>
      </c>
      <c r="O269" s="68">
        <f t="shared" si="16"/>
        <v>275</v>
      </c>
    </row>
    <row r="270" spans="1:30" ht="15.75" hidden="1" customHeight="1" x14ac:dyDescent="0.25">
      <c r="A270" s="252" t="s">
        <v>306</v>
      </c>
      <c r="B270" s="827"/>
      <c r="C270" s="836"/>
      <c r="D270" s="833"/>
      <c r="E270" s="833"/>
      <c r="F270" s="833"/>
      <c r="G270" s="833"/>
      <c r="H270" s="34">
        <v>50</v>
      </c>
      <c r="I270" s="146">
        <v>0.12</v>
      </c>
      <c r="J270" s="260">
        <f t="shared" si="15"/>
        <v>2.3999999999999998E-3</v>
      </c>
      <c r="K270" s="254" t="s">
        <v>63</v>
      </c>
      <c r="L270" s="254" t="s">
        <v>63</v>
      </c>
      <c r="M270" s="254" t="s">
        <v>63</v>
      </c>
      <c r="N270" s="246" t="s">
        <v>380</v>
      </c>
      <c r="O270" s="68">
        <f t="shared" si="16"/>
        <v>275</v>
      </c>
    </row>
    <row r="271" spans="1:30" ht="15.75" hidden="1" customHeight="1" x14ac:dyDescent="0.25">
      <c r="A271" s="252" t="s">
        <v>308</v>
      </c>
      <c r="B271" s="827"/>
      <c r="C271" s="836"/>
      <c r="D271" s="833"/>
      <c r="E271" s="833"/>
      <c r="F271" s="833"/>
      <c r="G271" s="833"/>
      <c r="H271" s="34">
        <v>50</v>
      </c>
      <c r="I271" s="146">
        <v>0.12</v>
      </c>
      <c r="J271" s="260">
        <f t="shared" si="15"/>
        <v>2.3999999999999998E-3</v>
      </c>
      <c r="K271" s="254" t="s">
        <v>63</v>
      </c>
      <c r="L271" s="254" t="s">
        <v>63</v>
      </c>
      <c r="M271" s="254" t="s">
        <v>63</v>
      </c>
      <c r="N271" s="246" t="s">
        <v>381</v>
      </c>
      <c r="O271" s="68">
        <f t="shared" si="16"/>
        <v>274</v>
      </c>
    </row>
    <row r="272" spans="1:30" ht="15.75" hidden="1" customHeight="1" x14ac:dyDescent="0.25">
      <c r="A272" s="252" t="s">
        <v>309</v>
      </c>
      <c r="B272" s="827"/>
      <c r="C272" s="836"/>
      <c r="D272" s="833"/>
      <c r="E272" s="833"/>
      <c r="F272" s="833"/>
      <c r="G272" s="833"/>
      <c r="H272" s="34">
        <v>50</v>
      </c>
      <c r="I272" s="275">
        <v>1.1000000000000001</v>
      </c>
      <c r="J272" s="260">
        <f t="shared" si="15"/>
        <v>2.2000000000000002E-2</v>
      </c>
      <c r="K272" s="254" t="s">
        <v>63</v>
      </c>
      <c r="L272" s="254" t="s">
        <v>63</v>
      </c>
      <c r="M272" s="254" t="s">
        <v>63</v>
      </c>
      <c r="N272" s="246" t="s">
        <v>382</v>
      </c>
      <c r="O272" s="68">
        <f t="shared" si="16"/>
        <v>184</v>
      </c>
    </row>
    <row r="273" spans="1:30" ht="15.75" hidden="1" customHeight="1" x14ac:dyDescent="0.25">
      <c r="A273" s="252" t="s">
        <v>275</v>
      </c>
      <c r="B273" s="827"/>
      <c r="C273" s="836"/>
      <c r="D273" s="833"/>
      <c r="E273" s="833"/>
      <c r="F273" s="833"/>
      <c r="G273" s="833"/>
      <c r="H273" s="34">
        <v>50</v>
      </c>
      <c r="I273" s="275">
        <v>1.1000000000000001</v>
      </c>
      <c r="J273" s="260">
        <f t="shared" si="15"/>
        <v>2.2000000000000002E-2</v>
      </c>
      <c r="K273" s="254" t="s">
        <v>63</v>
      </c>
      <c r="L273" s="254" t="s">
        <v>63</v>
      </c>
      <c r="M273" s="254" t="s">
        <v>63</v>
      </c>
      <c r="N273" s="246" t="s">
        <v>383</v>
      </c>
      <c r="O273" s="68">
        <f t="shared" si="16"/>
        <v>184</v>
      </c>
    </row>
    <row r="274" spans="1:30" ht="15.75" hidden="1" customHeight="1" x14ac:dyDescent="0.25">
      <c r="A274" s="252" t="s">
        <v>281</v>
      </c>
      <c r="B274" s="827"/>
      <c r="C274" s="836"/>
      <c r="D274" s="833"/>
      <c r="E274" s="833"/>
      <c r="F274" s="833"/>
      <c r="G274" s="833"/>
      <c r="H274" s="34">
        <v>50</v>
      </c>
      <c r="I274" s="275">
        <v>1.73</v>
      </c>
      <c r="J274" s="260">
        <f t="shared" si="15"/>
        <v>3.4599999999999999E-2</v>
      </c>
      <c r="K274" s="254" t="s">
        <v>63</v>
      </c>
      <c r="L274" s="254" t="s">
        <v>63</v>
      </c>
      <c r="M274" s="254" t="s">
        <v>63</v>
      </c>
      <c r="N274" s="246" t="s">
        <v>384</v>
      </c>
      <c r="O274" s="68">
        <f t="shared" si="16"/>
        <v>185</v>
      </c>
    </row>
    <row r="275" spans="1:30" ht="15.75" hidden="1" customHeight="1" x14ac:dyDescent="0.25">
      <c r="A275" s="252" t="s">
        <v>282</v>
      </c>
      <c r="B275" s="827"/>
      <c r="C275" s="836"/>
      <c r="D275" s="833"/>
      <c r="E275" s="833"/>
      <c r="F275" s="833"/>
      <c r="G275" s="833"/>
      <c r="H275" s="34">
        <v>50</v>
      </c>
      <c r="I275" s="146">
        <v>2.2400000000000002</v>
      </c>
      <c r="J275" s="260">
        <f t="shared" si="15"/>
        <v>4.4800000000000006E-2</v>
      </c>
      <c r="K275" s="254" t="s">
        <v>63</v>
      </c>
      <c r="L275" s="254" t="s">
        <v>63</v>
      </c>
      <c r="M275" s="254" t="s">
        <v>63</v>
      </c>
      <c r="N275" s="246" t="s">
        <v>385</v>
      </c>
      <c r="O275" s="68">
        <f t="shared" si="16"/>
        <v>184</v>
      </c>
    </row>
    <row r="276" spans="1:30" ht="15.75" hidden="1" customHeight="1" x14ac:dyDescent="0.25">
      <c r="A276" s="255" t="s">
        <v>283</v>
      </c>
      <c r="B276" s="827"/>
      <c r="C276" s="836"/>
      <c r="D276" s="833"/>
      <c r="E276" s="833"/>
      <c r="F276" s="833"/>
      <c r="G276" s="833"/>
      <c r="H276" s="34">
        <v>50</v>
      </c>
      <c r="I276" s="256">
        <v>6.29</v>
      </c>
      <c r="J276" s="260">
        <f t="shared" si="15"/>
        <v>0.1258</v>
      </c>
      <c r="K276" s="254" t="s">
        <v>63</v>
      </c>
      <c r="L276" s="254" t="s">
        <v>63</v>
      </c>
      <c r="M276" s="254" t="s">
        <v>63</v>
      </c>
      <c r="N276" s="246" t="s">
        <v>386</v>
      </c>
      <c r="O276" s="68">
        <f t="shared" si="16"/>
        <v>181</v>
      </c>
      <c r="P276" s="259"/>
      <c r="Q276" s="259"/>
      <c r="R276" s="259"/>
      <c r="S276" s="259"/>
      <c r="T276" s="259"/>
      <c r="U276" s="259"/>
      <c r="V276" s="259"/>
      <c r="W276" s="259"/>
      <c r="X276" s="259"/>
      <c r="Y276" s="259"/>
      <c r="Z276" s="259"/>
      <c r="AA276" s="259"/>
      <c r="AB276" s="259"/>
      <c r="AC276" s="259"/>
      <c r="AD276" s="259"/>
    </row>
    <row r="277" spans="1:30" ht="15.75" hidden="1" customHeight="1" x14ac:dyDescent="0.25">
      <c r="A277" s="252" t="s">
        <v>284</v>
      </c>
      <c r="B277" s="827"/>
      <c r="C277" s="836"/>
      <c r="D277" s="833"/>
      <c r="E277" s="833"/>
      <c r="F277" s="833"/>
      <c r="G277" s="833"/>
      <c r="H277" s="34">
        <v>50</v>
      </c>
      <c r="I277" s="146">
        <v>11.06</v>
      </c>
      <c r="J277" s="260">
        <f t="shared" si="15"/>
        <v>0.22120000000000001</v>
      </c>
      <c r="K277" s="254" t="s">
        <v>63</v>
      </c>
      <c r="L277" s="254" t="s">
        <v>63</v>
      </c>
      <c r="M277" s="254" t="s">
        <v>63</v>
      </c>
      <c r="N277" s="283" t="s">
        <v>387</v>
      </c>
      <c r="O277" s="68">
        <f t="shared" si="16"/>
        <v>184</v>
      </c>
    </row>
    <row r="278" spans="1:30" ht="15.75" hidden="1" customHeight="1" x14ac:dyDescent="0.25">
      <c r="A278" s="261" t="s">
        <v>285</v>
      </c>
      <c r="B278" s="828"/>
      <c r="C278" s="837"/>
      <c r="D278" s="834"/>
      <c r="E278" s="834"/>
      <c r="F278" s="834"/>
      <c r="G278" s="834"/>
      <c r="H278" s="262">
        <v>50</v>
      </c>
      <c r="I278" s="263">
        <v>14.19</v>
      </c>
      <c r="J278" s="284">
        <f t="shared" si="15"/>
        <v>0.2838</v>
      </c>
      <c r="K278" s="285" t="s">
        <v>63</v>
      </c>
      <c r="L278" s="285" t="s">
        <v>63</v>
      </c>
      <c r="M278" s="265" t="s">
        <v>63</v>
      </c>
      <c r="N278" s="286" t="s">
        <v>388</v>
      </c>
      <c r="O278" s="68">
        <f t="shared" si="16"/>
        <v>184</v>
      </c>
    </row>
    <row r="279" spans="1:30" ht="15.75" hidden="1" customHeight="1" x14ac:dyDescent="0.25">
      <c r="A279" s="267"/>
      <c r="B279" s="268"/>
      <c r="C279" s="268"/>
      <c r="D279" s="268"/>
      <c r="E279" s="268"/>
      <c r="F279" s="4"/>
      <c r="G279" s="4"/>
      <c r="H279" s="4"/>
      <c r="O279" s="268"/>
    </row>
    <row r="280" spans="1:30" ht="15.75" hidden="1" customHeight="1" x14ac:dyDescent="0.25">
      <c r="A280" s="267"/>
      <c r="B280" s="268"/>
      <c r="C280" s="268"/>
      <c r="D280" s="268"/>
      <c r="E280" s="268"/>
      <c r="F280" s="4"/>
      <c r="G280" s="4"/>
      <c r="H280" s="4"/>
      <c r="O280" s="268"/>
    </row>
    <row r="281" spans="1:30" ht="15.75" hidden="1" customHeight="1" x14ac:dyDescent="0.25">
      <c r="A281" s="269" t="s">
        <v>25</v>
      </c>
      <c r="B281" s="270" t="s">
        <v>323</v>
      </c>
      <c r="C281" s="248" t="s">
        <v>324</v>
      </c>
      <c r="D281" s="249" t="s">
        <v>325</v>
      </c>
      <c r="E281" s="249" t="s">
        <v>326</v>
      </c>
      <c r="F281" s="249" t="s">
        <v>361</v>
      </c>
      <c r="G281" s="249" t="s">
        <v>328</v>
      </c>
      <c r="H281" s="249" t="s">
        <v>362</v>
      </c>
      <c r="I281" s="249" t="s">
        <v>363</v>
      </c>
      <c r="J281" s="250" t="s">
        <v>364</v>
      </c>
      <c r="K281" s="249" t="s">
        <v>332</v>
      </c>
      <c r="L281" s="249" t="s">
        <v>333</v>
      </c>
      <c r="M281" s="249" t="s">
        <v>334</v>
      </c>
      <c r="N281" s="251" t="s">
        <v>335</v>
      </c>
      <c r="O281" s="268"/>
    </row>
    <row r="282" spans="1:30" ht="15.75" hidden="1" customHeight="1" x14ac:dyDescent="0.25">
      <c r="A282" s="252" t="s">
        <v>287</v>
      </c>
      <c r="B282" s="985" t="s">
        <v>343</v>
      </c>
      <c r="C282" s="986" t="s">
        <v>344</v>
      </c>
      <c r="D282" s="972" t="s">
        <v>350</v>
      </c>
      <c r="E282" s="972" t="s">
        <v>346</v>
      </c>
      <c r="F282" s="977">
        <v>100</v>
      </c>
      <c r="G282" s="977">
        <v>590</v>
      </c>
      <c r="H282" s="34">
        <v>590</v>
      </c>
      <c r="I282" s="146">
        <v>1.48</v>
      </c>
      <c r="J282" s="260">
        <f t="shared" ref="J282:J293" si="17">I282/H282</f>
        <v>2.5084745762711863E-3</v>
      </c>
      <c r="K282" s="254" t="s">
        <v>63</v>
      </c>
      <c r="L282" s="254" t="s">
        <v>63</v>
      </c>
      <c r="M282" s="254" t="s">
        <v>63</v>
      </c>
      <c r="N282" s="246" t="s">
        <v>389</v>
      </c>
      <c r="O282" s="68">
        <f t="shared" ref="O282:O293" si="18">LEN(N282)</f>
        <v>184</v>
      </c>
    </row>
    <row r="283" spans="1:30" ht="15.75" hidden="1" customHeight="1" x14ac:dyDescent="0.25">
      <c r="A283" s="252" t="s">
        <v>296</v>
      </c>
      <c r="B283" s="827"/>
      <c r="C283" s="836"/>
      <c r="D283" s="833"/>
      <c r="E283" s="833"/>
      <c r="F283" s="833"/>
      <c r="G283" s="833"/>
      <c r="H283" s="34">
        <v>590</v>
      </c>
      <c r="I283" s="146">
        <v>1.48</v>
      </c>
      <c r="J283" s="260">
        <f t="shared" si="17"/>
        <v>2.5084745762711863E-3</v>
      </c>
      <c r="K283" s="254" t="s">
        <v>63</v>
      </c>
      <c r="L283" s="254" t="s">
        <v>63</v>
      </c>
      <c r="M283" s="254" t="s">
        <v>63</v>
      </c>
      <c r="N283" s="246" t="s">
        <v>389</v>
      </c>
      <c r="O283" s="68">
        <f t="shared" si="18"/>
        <v>184</v>
      </c>
    </row>
    <row r="284" spans="1:30" ht="15.75" hidden="1" customHeight="1" x14ac:dyDescent="0.25">
      <c r="A284" s="252" t="s">
        <v>305</v>
      </c>
      <c r="B284" s="827"/>
      <c r="C284" s="836"/>
      <c r="D284" s="833"/>
      <c r="E284" s="833"/>
      <c r="F284" s="833"/>
      <c r="G284" s="833"/>
      <c r="H284" s="34">
        <v>590</v>
      </c>
      <c r="I284" s="146">
        <v>1.48</v>
      </c>
      <c r="J284" s="260">
        <f t="shared" si="17"/>
        <v>2.5084745762711863E-3</v>
      </c>
      <c r="K284" s="254" t="s">
        <v>63</v>
      </c>
      <c r="L284" s="254" t="s">
        <v>63</v>
      </c>
      <c r="M284" s="254" t="s">
        <v>63</v>
      </c>
      <c r="N284" s="246" t="s">
        <v>389</v>
      </c>
      <c r="O284" s="68">
        <f t="shared" si="18"/>
        <v>184</v>
      </c>
    </row>
    <row r="285" spans="1:30" ht="15.75" hidden="1" customHeight="1" x14ac:dyDescent="0.25">
      <c r="A285" s="252" t="s">
        <v>306</v>
      </c>
      <c r="B285" s="827"/>
      <c r="C285" s="836"/>
      <c r="D285" s="833"/>
      <c r="E285" s="833"/>
      <c r="F285" s="833"/>
      <c r="G285" s="833"/>
      <c r="H285" s="34">
        <v>590</v>
      </c>
      <c r="I285" s="146">
        <v>2.86</v>
      </c>
      <c r="J285" s="260">
        <f t="shared" si="17"/>
        <v>4.8474576271186438E-3</v>
      </c>
      <c r="K285" s="254" t="s">
        <v>63</v>
      </c>
      <c r="L285" s="254" t="s">
        <v>63</v>
      </c>
      <c r="M285" s="254" t="s">
        <v>63</v>
      </c>
      <c r="N285" s="246" t="s">
        <v>390</v>
      </c>
      <c r="O285" s="68">
        <f t="shared" si="18"/>
        <v>174</v>
      </c>
    </row>
    <row r="286" spans="1:30" ht="15.75" hidden="1" customHeight="1" x14ac:dyDescent="0.25">
      <c r="A286" s="252" t="s">
        <v>308</v>
      </c>
      <c r="B286" s="827"/>
      <c r="C286" s="836"/>
      <c r="D286" s="833"/>
      <c r="E286" s="833"/>
      <c r="F286" s="833"/>
      <c r="G286" s="833"/>
      <c r="H286" s="34">
        <v>590</v>
      </c>
      <c r="I286" s="146">
        <v>8.7100000000000009</v>
      </c>
      <c r="J286" s="260">
        <f t="shared" si="17"/>
        <v>1.4762711864406782E-2</v>
      </c>
      <c r="K286" s="254" t="s">
        <v>63</v>
      </c>
      <c r="L286" s="254" t="s">
        <v>63</v>
      </c>
      <c r="M286" s="254" t="s">
        <v>63</v>
      </c>
      <c r="N286" s="246" t="s">
        <v>391</v>
      </c>
      <c r="O286" s="68">
        <f t="shared" si="18"/>
        <v>230</v>
      </c>
    </row>
    <row r="287" spans="1:30" ht="15.75" hidden="1" customHeight="1" x14ac:dyDescent="0.25">
      <c r="A287" s="252" t="s">
        <v>309</v>
      </c>
      <c r="B287" s="827"/>
      <c r="C287" s="836"/>
      <c r="D287" s="833"/>
      <c r="E287" s="833"/>
      <c r="F287" s="833"/>
      <c r="G287" s="833"/>
      <c r="H287" s="34">
        <v>590</v>
      </c>
      <c r="I287" s="146">
        <v>10.01</v>
      </c>
      <c r="J287" s="260">
        <f t="shared" si="17"/>
        <v>1.6966101694915255E-2</v>
      </c>
      <c r="K287" s="254" t="s">
        <v>63</v>
      </c>
      <c r="L287" s="254" t="s">
        <v>63</v>
      </c>
      <c r="M287" s="254" t="s">
        <v>63</v>
      </c>
      <c r="N287" s="246" t="s">
        <v>392</v>
      </c>
      <c r="O287" s="68">
        <f t="shared" si="18"/>
        <v>231</v>
      </c>
    </row>
    <row r="288" spans="1:30" ht="15.75" hidden="1" customHeight="1" x14ac:dyDescent="0.25">
      <c r="A288" s="252" t="s">
        <v>275</v>
      </c>
      <c r="B288" s="827"/>
      <c r="C288" s="836"/>
      <c r="D288" s="833"/>
      <c r="E288" s="833"/>
      <c r="F288" s="833"/>
      <c r="G288" s="833"/>
      <c r="H288" s="34">
        <v>590</v>
      </c>
      <c r="I288" s="146">
        <v>29.73</v>
      </c>
      <c r="J288" s="260">
        <f t="shared" si="17"/>
        <v>5.0389830508474578E-2</v>
      </c>
      <c r="K288" s="254" t="s">
        <v>63</v>
      </c>
      <c r="L288" s="254" t="s">
        <v>63</v>
      </c>
      <c r="M288" s="254" t="s">
        <v>63</v>
      </c>
      <c r="N288" s="246" t="s">
        <v>393</v>
      </c>
      <c r="O288" s="68">
        <f t="shared" si="18"/>
        <v>231</v>
      </c>
    </row>
    <row r="289" spans="1:30" ht="15.75" hidden="1" customHeight="1" x14ac:dyDescent="0.25">
      <c r="A289" s="252" t="s">
        <v>281</v>
      </c>
      <c r="B289" s="827"/>
      <c r="C289" s="836"/>
      <c r="D289" s="833"/>
      <c r="E289" s="833"/>
      <c r="F289" s="833"/>
      <c r="G289" s="833"/>
      <c r="H289" s="34">
        <v>590</v>
      </c>
      <c r="I289" s="275">
        <v>35.479999999999997</v>
      </c>
      <c r="J289" s="260">
        <f t="shared" si="17"/>
        <v>6.0135593220338977E-2</v>
      </c>
      <c r="K289" s="254" t="s">
        <v>63</v>
      </c>
      <c r="L289" s="254" t="s">
        <v>63</v>
      </c>
      <c r="M289" s="254" t="s">
        <v>63</v>
      </c>
      <c r="N289" s="246" t="s">
        <v>394</v>
      </c>
      <c r="O289" s="68">
        <f t="shared" si="18"/>
        <v>185</v>
      </c>
    </row>
    <row r="290" spans="1:30" ht="15.75" hidden="1" customHeight="1" x14ac:dyDescent="0.25">
      <c r="A290" s="252" t="s">
        <v>282</v>
      </c>
      <c r="B290" s="827"/>
      <c r="C290" s="836"/>
      <c r="D290" s="833"/>
      <c r="E290" s="833"/>
      <c r="F290" s="833"/>
      <c r="G290" s="833"/>
      <c r="H290" s="34">
        <v>590</v>
      </c>
      <c r="I290" s="146">
        <v>40.72</v>
      </c>
      <c r="J290" s="260">
        <f t="shared" si="17"/>
        <v>6.9016949152542376E-2</v>
      </c>
      <c r="K290" s="254" t="s">
        <v>63</v>
      </c>
      <c r="L290" s="254" t="s">
        <v>63</v>
      </c>
      <c r="M290" s="254" t="s">
        <v>63</v>
      </c>
      <c r="N290" s="246" t="s">
        <v>395</v>
      </c>
      <c r="O290" s="68">
        <f t="shared" si="18"/>
        <v>186</v>
      </c>
    </row>
    <row r="291" spans="1:30" ht="15.75" hidden="1" customHeight="1" x14ac:dyDescent="0.25">
      <c r="A291" s="255" t="s">
        <v>283</v>
      </c>
      <c r="B291" s="827"/>
      <c r="C291" s="836"/>
      <c r="D291" s="833"/>
      <c r="E291" s="833"/>
      <c r="F291" s="833"/>
      <c r="G291" s="833"/>
      <c r="H291" s="34">
        <v>590</v>
      </c>
      <c r="I291" s="256">
        <v>55.02</v>
      </c>
      <c r="J291" s="260">
        <f t="shared" si="17"/>
        <v>9.3254237288135602E-2</v>
      </c>
      <c r="K291" s="254" t="s">
        <v>63</v>
      </c>
      <c r="L291" s="254" t="s">
        <v>63</v>
      </c>
      <c r="M291" s="254" t="s">
        <v>63</v>
      </c>
      <c r="N291" s="246" t="s">
        <v>396</v>
      </c>
      <c r="O291" s="68">
        <f t="shared" si="18"/>
        <v>186</v>
      </c>
      <c r="P291" s="259"/>
      <c r="Q291" s="259"/>
      <c r="R291" s="259"/>
      <c r="S291" s="259"/>
      <c r="T291" s="259"/>
      <c r="U291" s="259"/>
      <c r="V291" s="259"/>
      <c r="W291" s="259"/>
      <c r="X291" s="259"/>
      <c r="Y291" s="259"/>
      <c r="Z291" s="259"/>
      <c r="AA291" s="259"/>
      <c r="AB291" s="259"/>
      <c r="AC291" s="259"/>
      <c r="AD291" s="259"/>
    </row>
    <row r="292" spans="1:30" ht="15.75" hidden="1" customHeight="1" x14ac:dyDescent="0.25">
      <c r="A292" s="252" t="s">
        <v>284</v>
      </c>
      <c r="B292" s="827"/>
      <c r="C292" s="836"/>
      <c r="D292" s="833"/>
      <c r="E292" s="833"/>
      <c r="F292" s="833"/>
      <c r="G292" s="833"/>
      <c r="H292" s="34">
        <v>590</v>
      </c>
      <c r="I292" s="146">
        <v>57.14</v>
      </c>
      <c r="J292" s="260">
        <f t="shared" si="17"/>
        <v>9.6847457627118647E-2</v>
      </c>
      <c r="K292" s="254" t="s">
        <v>63</v>
      </c>
      <c r="L292" s="254" t="s">
        <v>63</v>
      </c>
      <c r="M292" s="254" t="s">
        <v>63</v>
      </c>
      <c r="N292" s="246" t="s">
        <v>397</v>
      </c>
      <c r="O292" s="68">
        <f t="shared" si="18"/>
        <v>186</v>
      </c>
    </row>
    <row r="293" spans="1:30" ht="15.75" hidden="1" customHeight="1" x14ac:dyDescent="0.25">
      <c r="A293" s="261" t="s">
        <v>285</v>
      </c>
      <c r="B293" s="828"/>
      <c r="C293" s="837"/>
      <c r="D293" s="834"/>
      <c r="E293" s="834"/>
      <c r="F293" s="834"/>
      <c r="G293" s="834"/>
      <c r="H293" s="262">
        <v>590</v>
      </c>
      <c r="I293" s="263">
        <v>60.56</v>
      </c>
      <c r="J293" s="284">
        <f t="shared" si="17"/>
        <v>0.10264406779661017</v>
      </c>
      <c r="K293" s="285" t="s">
        <v>63</v>
      </c>
      <c r="L293" s="285" t="s">
        <v>63</v>
      </c>
      <c r="M293" s="285" t="s">
        <v>63</v>
      </c>
      <c r="N293" s="287" t="s">
        <v>398</v>
      </c>
      <c r="O293" s="68">
        <f t="shared" si="18"/>
        <v>186</v>
      </c>
    </row>
    <row r="294" spans="1:30" ht="15.75" hidden="1" customHeight="1" x14ac:dyDescent="0.25">
      <c r="A294" s="267"/>
      <c r="B294" s="268"/>
      <c r="C294" s="268"/>
      <c r="D294" s="268"/>
      <c r="E294" s="268"/>
      <c r="F294" s="4"/>
      <c r="G294" s="4"/>
      <c r="H294" s="4"/>
      <c r="O294" s="268"/>
    </row>
    <row r="295" spans="1:30" ht="15.75" hidden="1" customHeight="1" x14ac:dyDescent="0.25">
      <c r="A295" s="267"/>
      <c r="B295" s="268"/>
      <c r="C295" s="268"/>
      <c r="D295" s="268"/>
      <c r="E295" s="268"/>
      <c r="F295" s="4"/>
      <c r="G295" s="4"/>
      <c r="H295" s="4"/>
      <c r="O295" s="268"/>
    </row>
    <row r="296" spans="1:30" ht="15.75" hidden="1" customHeight="1" x14ac:dyDescent="0.25">
      <c r="A296" s="269" t="s">
        <v>25</v>
      </c>
      <c r="B296" s="249" t="s">
        <v>323</v>
      </c>
      <c r="C296" s="249" t="s">
        <v>324</v>
      </c>
      <c r="D296" s="249" t="s">
        <v>325</v>
      </c>
      <c r="E296" s="249" t="s">
        <v>326</v>
      </c>
      <c r="F296" s="249" t="s">
        <v>361</v>
      </c>
      <c r="G296" s="249" t="s">
        <v>328</v>
      </c>
      <c r="H296" s="249" t="s">
        <v>362</v>
      </c>
      <c r="I296" s="249" t="s">
        <v>363</v>
      </c>
      <c r="J296" s="250" t="s">
        <v>364</v>
      </c>
      <c r="K296" s="249" t="s">
        <v>332</v>
      </c>
      <c r="L296" s="249" t="s">
        <v>333</v>
      </c>
      <c r="M296" s="249" t="s">
        <v>334</v>
      </c>
      <c r="N296" s="251" t="s">
        <v>335</v>
      </c>
      <c r="O296" s="268"/>
    </row>
    <row r="297" spans="1:30" ht="15.75" hidden="1" customHeight="1" x14ac:dyDescent="0.25">
      <c r="A297" s="252" t="s">
        <v>287</v>
      </c>
      <c r="B297" s="972" t="s">
        <v>354</v>
      </c>
      <c r="C297" s="972" t="s">
        <v>355</v>
      </c>
      <c r="D297" s="972" t="s">
        <v>356</v>
      </c>
      <c r="E297" s="977" t="s">
        <v>339</v>
      </c>
      <c r="F297" s="977">
        <v>100</v>
      </c>
      <c r="G297" s="977">
        <v>4</v>
      </c>
      <c r="H297" s="253">
        <v>0.73</v>
      </c>
      <c r="I297" s="146">
        <v>0.05</v>
      </c>
      <c r="J297" s="260">
        <f t="shared" ref="J297:J308" si="19">I297/H297</f>
        <v>6.8493150684931517E-2</v>
      </c>
      <c r="K297" s="288">
        <v>0.01</v>
      </c>
      <c r="L297" s="254">
        <v>0</v>
      </c>
      <c r="M297" s="289">
        <f t="shared" ref="M297:M300" si="20">L297/K297</f>
        <v>0</v>
      </c>
      <c r="N297" s="246" t="s">
        <v>399</v>
      </c>
      <c r="O297" s="68">
        <f t="shared" ref="O297:O308" si="21">LEN(N297)</f>
        <v>149</v>
      </c>
    </row>
    <row r="298" spans="1:30" ht="15.75" hidden="1" customHeight="1" x14ac:dyDescent="0.25">
      <c r="A298" s="252" t="s">
        <v>296</v>
      </c>
      <c r="B298" s="833"/>
      <c r="C298" s="833"/>
      <c r="D298" s="833"/>
      <c r="E298" s="833"/>
      <c r="F298" s="833"/>
      <c r="G298" s="833"/>
      <c r="H298" s="253">
        <v>0.73</v>
      </c>
      <c r="I298" s="275">
        <v>0.1</v>
      </c>
      <c r="J298" s="260">
        <f t="shared" si="19"/>
        <v>0.13698630136986303</v>
      </c>
      <c r="K298" s="288">
        <v>0.01</v>
      </c>
      <c r="L298" s="254">
        <v>0</v>
      </c>
      <c r="M298" s="289">
        <f t="shared" si="20"/>
        <v>0</v>
      </c>
      <c r="N298" s="246" t="s">
        <v>400</v>
      </c>
      <c r="O298" s="68">
        <f t="shared" si="21"/>
        <v>183</v>
      </c>
    </row>
    <row r="299" spans="1:30" ht="15.75" hidden="1" customHeight="1" x14ac:dyDescent="0.25">
      <c r="A299" s="252" t="s">
        <v>305</v>
      </c>
      <c r="B299" s="833"/>
      <c r="C299" s="833"/>
      <c r="D299" s="833"/>
      <c r="E299" s="833"/>
      <c r="F299" s="833"/>
      <c r="G299" s="833"/>
      <c r="H299" s="253">
        <v>0.73</v>
      </c>
      <c r="I299" s="146">
        <v>0.14000000000000001</v>
      </c>
      <c r="J299" s="260">
        <f t="shared" si="19"/>
        <v>0.19178082191780824</v>
      </c>
      <c r="K299" s="288">
        <v>0.01</v>
      </c>
      <c r="L299" s="254">
        <v>0</v>
      </c>
      <c r="M299" s="289">
        <f t="shared" si="20"/>
        <v>0</v>
      </c>
      <c r="N299" s="246" t="s">
        <v>401</v>
      </c>
      <c r="O299" s="68">
        <f t="shared" si="21"/>
        <v>230</v>
      </c>
    </row>
    <row r="300" spans="1:30" ht="15.75" hidden="1" customHeight="1" x14ac:dyDescent="0.25">
      <c r="A300" s="252" t="s">
        <v>306</v>
      </c>
      <c r="B300" s="833"/>
      <c r="C300" s="833"/>
      <c r="D300" s="833"/>
      <c r="E300" s="833"/>
      <c r="F300" s="833"/>
      <c r="G300" s="833"/>
      <c r="H300" s="253">
        <v>0.73</v>
      </c>
      <c r="I300" s="275">
        <v>0.2</v>
      </c>
      <c r="J300" s="260">
        <f t="shared" si="19"/>
        <v>0.27397260273972607</v>
      </c>
      <c r="K300" s="288">
        <v>0.01</v>
      </c>
      <c r="L300" s="254">
        <v>0</v>
      </c>
      <c r="M300" s="289">
        <f t="shared" si="20"/>
        <v>0</v>
      </c>
      <c r="N300" s="246" t="s">
        <v>402</v>
      </c>
      <c r="O300" s="68">
        <f t="shared" si="21"/>
        <v>230</v>
      </c>
    </row>
    <row r="301" spans="1:30" ht="15.75" hidden="1" customHeight="1" x14ac:dyDescent="0.25">
      <c r="A301" s="252" t="s">
        <v>308</v>
      </c>
      <c r="B301" s="833"/>
      <c r="C301" s="833"/>
      <c r="D301" s="833"/>
      <c r="E301" s="833"/>
      <c r="F301" s="833"/>
      <c r="G301" s="833"/>
      <c r="H301" s="253">
        <v>0.73</v>
      </c>
      <c r="I301" s="146">
        <v>0.26</v>
      </c>
      <c r="J301" s="260">
        <f t="shared" si="19"/>
        <v>0.35616438356164387</v>
      </c>
      <c r="K301" s="288">
        <v>0.01</v>
      </c>
      <c r="L301" s="254">
        <v>0.01</v>
      </c>
      <c r="M301" s="289">
        <f>K300/L301</f>
        <v>1</v>
      </c>
      <c r="N301" s="246" t="s">
        <v>403</v>
      </c>
      <c r="O301" s="68">
        <f t="shared" si="21"/>
        <v>230</v>
      </c>
    </row>
    <row r="302" spans="1:30" ht="15.75" hidden="1" customHeight="1" x14ac:dyDescent="0.25">
      <c r="A302" s="252" t="s">
        <v>309</v>
      </c>
      <c r="B302" s="833"/>
      <c r="C302" s="833"/>
      <c r="D302" s="833"/>
      <c r="E302" s="833"/>
      <c r="F302" s="833"/>
      <c r="G302" s="833"/>
      <c r="H302" s="253">
        <v>0.73</v>
      </c>
      <c r="I302" s="146">
        <v>0.33</v>
      </c>
      <c r="J302" s="260">
        <f t="shared" si="19"/>
        <v>0.45205479452054798</v>
      </c>
      <c r="K302" s="288">
        <v>0</v>
      </c>
      <c r="L302" s="254">
        <v>0</v>
      </c>
      <c r="M302" s="289">
        <v>0</v>
      </c>
      <c r="N302" s="246" t="s">
        <v>404</v>
      </c>
      <c r="O302" s="68">
        <f t="shared" si="21"/>
        <v>229</v>
      </c>
    </row>
    <row r="303" spans="1:30" ht="15.75" hidden="1" customHeight="1" x14ac:dyDescent="0.25">
      <c r="A303" s="252" t="s">
        <v>275</v>
      </c>
      <c r="B303" s="833"/>
      <c r="C303" s="833"/>
      <c r="D303" s="833"/>
      <c r="E303" s="833"/>
      <c r="F303" s="833"/>
      <c r="G303" s="833"/>
      <c r="H303" s="253">
        <v>0.73</v>
      </c>
      <c r="I303" s="146">
        <v>0.39</v>
      </c>
      <c r="J303" s="260">
        <f t="shared" si="19"/>
        <v>0.53424657534246578</v>
      </c>
      <c r="K303" s="288">
        <v>0</v>
      </c>
      <c r="L303" s="254">
        <v>0</v>
      </c>
      <c r="M303" s="289">
        <v>1</v>
      </c>
      <c r="N303" s="246" t="s">
        <v>405</v>
      </c>
      <c r="O303" s="68">
        <f t="shared" si="21"/>
        <v>229</v>
      </c>
    </row>
    <row r="304" spans="1:30" ht="15.75" hidden="1" customHeight="1" x14ac:dyDescent="0.25">
      <c r="A304" s="252" t="s">
        <v>281</v>
      </c>
      <c r="B304" s="833"/>
      <c r="C304" s="833"/>
      <c r="D304" s="833"/>
      <c r="E304" s="833"/>
      <c r="F304" s="833"/>
      <c r="G304" s="833"/>
      <c r="H304" s="253">
        <v>0.73</v>
      </c>
      <c r="I304" s="146">
        <v>0.46</v>
      </c>
      <c r="J304" s="260">
        <f t="shared" si="19"/>
        <v>0.63013698630136994</v>
      </c>
      <c r="K304" s="288">
        <v>0</v>
      </c>
      <c r="L304" s="254">
        <v>0</v>
      </c>
      <c r="M304" s="289">
        <v>0</v>
      </c>
      <c r="N304" s="246" t="s">
        <v>406</v>
      </c>
      <c r="O304" s="68">
        <f t="shared" si="21"/>
        <v>229</v>
      </c>
    </row>
    <row r="305" spans="1:30" ht="15.75" hidden="1" customHeight="1" x14ac:dyDescent="0.25">
      <c r="A305" s="252" t="s">
        <v>282</v>
      </c>
      <c r="B305" s="833"/>
      <c r="C305" s="833"/>
      <c r="D305" s="833"/>
      <c r="E305" s="833"/>
      <c r="F305" s="833"/>
      <c r="G305" s="833"/>
      <c r="H305" s="253">
        <v>0.73</v>
      </c>
      <c r="I305" s="146">
        <v>0.53</v>
      </c>
      <c r="J305" s="260">
        <f t="shared" si="19"/>
        <v>0.72602739726027399</v>
      </c>
      <c r="K305" s="288">
        <v>0</v>
      </c>
      <c r="L305" s="254">
        <v>0</v>
      </c>
      <c r="M305" s="289">
        <v>0</v>
      </c>
      <c r="N305" s="246" t="s">
        <v>407</v>
      </c>
      <c r="O305" s="68">
        <f t="shared" si="21"/>
        <v>229</v>
      </c>
    </row>
    <row r="306" spans="1:30" ht="15.75" hidden="1" customHeight="1" x14ac:dyDescent="0.25">
      <c r="A306" s="255" t="s">
        <v>283</v>
      </c>
      <c r="B306" s="833"/>
      <c r="C306" s="833"/>
      <c r="D306" s="833"/>
      <c r="E306" s="833"/>
      <c r="F306" s="833"/>
      <c r="G306" s="833"/>
      <c r="H306" s="253">
        <v>0.73</v>
      </c>
      <c r="I306" s="276">
        <v>0.6</v>
      </c>
      <c r="J306" s="260">
        <f t="shared" si="19"/>
        <v>0.82191780821917804</v>
      </c>
      <c r="K306" s="288">
        <v>0</v>
      </c>
      <c r="L306" s="254">
        <v>0</v>
      </c>
      <c r="M306" s="289">
        <v>0</v>
      </c>
      <c r="N306" s="246" t="s">
        <v>408</v>
      </c>
      <c r="O306" s="68">
        <f t="shared" si="21"/>
        <v>229</v>
      </c>
      <c r="P306" s="259"/>
      <c r="Q306" s="259"/>
      <c r="R306" s="259"/>
      <c r="S306" s="259"/>
      <c r="T306" s="259"/>
      <c r="U306" s="259"/>
      <c r="V306" s="259"/>
      <c r="W306" s="259"/>
      <c r="X306" s="259"/>
      <c r="Y306" s="259"/>
      <c r="Z306" s="259"/>
      <c r="AA306" s="259"/>
      <c r="AB306" s="259"/>
      <c r="AC306" s="259"/>
      <c r="AD306" s="259"/>
    </row>
    <row r="307" spans="1:30" ht="15.75" hidden="1" customHeight="1" x14ac:dyDescent="0.25">
      <c r="A307" s="252" t="s">
        <v>284</v>
      </c>
      <c r="B307" s="833"/>
      <c r="C307" s="833"/>
      <c r="D307" s="833"/>
      <c r="E307" s="833"/>
      <c r="F307" s="833"/>
      <c r="G307" s="833"/>
      <c r="H307" s="253">
        <v>0.73</v>
      </c>
      <c r="I307" s="275">
        <v>0.67</v>
      </c>
      <c r="J307" s="260">
        <f t="shared" si="19"/>
        <v>0.91780821917808231</v>
      </c>
      <c r="K307" s="288">
        <v>0</v>
      </c>
      <c r="L307" s="254">
        <v>0</v>
      </c>
      <c r="M307" s="289">
        <v>0</v>
      </c>
      <c r="N307" s="246" t="s">
        <v>409</v>
      </c>
      <c r="O307" s="68">
        <f t="shared" si="21"/>
        <v>229</v>
      </c>
    </row>
    <row r="308" spans="1:30" ht="15.75" hidden="1" customHeight="1" x14ac:dyDescent="0.25">
      <c r="A308" s="261" t="s">
        <v>285</v>
      </c>
      <c r="B308" s="834"/>
      <c r="C308" s="834"/>
      <c r="D308" s="834"/>
      <c r="E308" s="834"/>
      <c r="F308" s="834"/>
      <c r="G308" s="834"/>
      <c r="H308" s="262">
        <v>0.73</v>
      </c>
      <c r="I308" s="263">
        <v>0.73</v>
      </c>
      <c r="J308" s="284">
        <f t="shared" si="19"/>
        <v>1</v>
      </c>
      <c r="K308" s="290">
        <v>0</v>
      </c>
      <c r="L308" s="285">
        <v>0</v>
      </c>
      <c r="M308" s="291">
        <v>0</v>
      </c>
      <c r="N308" s="287" t="s">
        <v>410</v>
      </c>
      <c r="O308" s="68">
        <f t="shared" si="21"/>
        <v>243</v>
      </c>
    </row>
    <row r="309" spans="1:30" ht="15.75" hidden="1" customHeight="1" x14ac:dyDescent="0.25">
      <c r="A309" s="267"/>
      <c r="B309" s="268"/>
      <c r="C309" s="268"/>
      <c r="D309" s="268"/>
      <c r="E309" s="4"/>
      <c r="F309" s="4"/>
      <c r="G309" s="4"/>
      <c r="H309" s="4"/>
      <c r="J309" s="202"/>
      <c r="M309" s="3"/>
      <c r="O309" s="268"/>
    </row>
    <row r="310" spans="1:30" ht="15.75" customHeight="1" thickBot="1" x14ac:dyDescent="0.3">
      <c r="O310" s="4"/>
    </row>
    <row r="311" spans="1:30" ht="15.75" customHeight="1" x14ac:dyDescent="0.25">
      <c r="A311" s="996" t="s">
        <v>411</v>
      </c>
      <c r="B311" s="716"/>
      <c r="C311" s="716"/>
      <c r="D311" s="716"/>
      <c r="E311" s="716"/>
      <c r="F311" s="716"/>
      <c r="G311" s="716"/>
      <c r="H311" s="716"/>
      <c r="I311" s="716"/>
      <c r="J311" s="716"/>
      <c r="K311" s="716"/>
      <c r="L311" s="716"/>
      <c r="M311" s="716"/>
      <c r="N311" s="815"/>
      <c r="O311" s="4"/>
    </row>
    <row r="312" spans="1:30" ht="45.75" customHeight="1" x14ac:dyDescent="0.25">
      <c r="A312" s="243" t="s">
        <v>27</v>
      </c>
      <c r="B312" s="244" t="s">
        <v>323</v>
      </c>
      <c r="C312" s="244" t="s">
        <v>324</v>
      </c>
      <c r="D312" s="244" t="s">
        <v>325</v>
      </c>
      <c r="E312" s="244" t="s">
        <v>326</v>
      </c>
      <c r="F312" s="244" t="s">
        <v>412</v>
      </c>
      <c r="G312" s="244" t="s">
        <v>328</v>
      </c>
      <c r="H312" s="244" t="s">
        <v>413</v>
      </c>
      <c r="I312" s="244" t="s">
        <v>414</v>
      </c>
      <c r="J312" s="292" t="s">
        <v>415</v>
      </c>
      <c r="K312" s="244" t="s">
        <v>332</v>
      </c>
      <c r="L312" s="244" t="s">
        <v>333</v>
      </c>
      <c r="M312" s="244" t="s">
        <v>334</v>
      </c>
      <c r="N312" s="245" t="s">
        <v>335</v>
      </c>
      <c r="O312" s="421"/>
    </row>
    <row r="313" spans="1:30" ht="15.75" customHeight="1" x14ac:dyDescent="0.25">
      <c r="A313" s="405" t="s">
        <v>287</v>
      </c>
      <c r="B313" s="1044" t="s">
        <v>336</v>
      </c>
      <c r="C313" s="1049" t="s">
        <v>337</v>
      </c>
      <c r="D313" s="1050" t="s">
        <v>338</v>
      </c>
      <c r="E313" s="969" t="s">
        <v>339</v>
      </c>
      <c r="F313" s="971">
        <v>100</v>
      </c>
      <c r="G313" s="971">
        <v>8</v>
      </c>
      <c r="H313" s="406">
        <v>2</v>
      </c>
      <c r="I313" s="407">
        <v>0</v>
      </c>
      <c r="J313" s="408">
        <f t="shared" ref="J313:J314" si="22">I313/H313</f>
        <v>0</v>
      </c>
      <c r="K313" s="407">
        <v>0</v>
      </c>
      <c r="L313" s="407">
        <v>0</v>
      </c>
      <c r="M313" s="409">
        <v>0</v>
      </c>
      <c r="N313" s="410" t="s">
        <v>416</v>
      </c>
      <c r="O313" s="422">
        <f t="shared" ref="O313:O324" si="23">LEN(N313)</f>
        <v>200</v>
      </c>
    </row>
    <row r="314" spans="1:30" ht="15.75" customHeight="1" x14ac:dyDescent="0.25">
      <c r="A314" s="405" t="s">
        <v>296</v>
      </c>
      <c r="B314" s="1045"/>
      <c r="C314" s="860"/>
      <c r="D314" s="863"/>
      <c r="E314" s="863"/>
      <c r="F314" s="863"/>
      <c r="G314" s="863"/>
      <c r="H314" s="406">
        <v>2</v>
      </c>
      <c r="I314" s="407">
        <v>0.18</v>
      </c>
      <c r="J314" s="408">
        <f t="shared" si="22"/>
        <v>0.09</v>
      </c>
      <c r="K314" s="407">
        <v>0</v>
      </c>
      <c r="L314" s="407">
        <v>0</v>
      </c>
      <c r="M314" s="409">
        <v>0</v>
      </c>
      <c r="N314" s="411" t="s">
        <v>417</v>
      </c>
      <c r="O314" s="422">
        <f t="shared" si="23"/>
        <v>197</v>
      </c>
    </row>
    <row r="315" spans="1:30" ht="15.75" customHeight="1" x14ac:dyDescent="0.25">
      <c r="A315" s="405" t="s">
        <v>305</v>
      </c>
      <c r="B315" s="1045"/>
      <c r="C315" s="860"/>
      <c r="D315" s="863"/>
      <c r="E315" s="863"/>
      <c r="F315" s="863"/>
      <c r="G315" s="863"/>
      <c r="H315" s="406">
        <v>2</v>
      </c>
      <c r="I315" s="407">
        <v>0.36</v>
      </c>
      <c r="J315" s="408">
        <f t="shared" ref="J315" si="24">I315/H315</f>
        <v>0.18</v>
      </c>
      <c r="K315" s="407">
        <v>0</v>
      </c>
      <c r="L315" s="407">
        <v>0</v>
      </c>
      <c r="M315" s="409">
        <v>0</v>
      </c>
      <c r="N315" s="412" t="s">
        <v>602</v>
      </c>
      <c r="O315" s="422">
        <f t="shared" ref="O315" si="25">LEN(N315)</f>
        <v>196</v>
      </c>
    </row>
    <row r="316" spans="1:30" ht="15.75" customHeight="1" x14ac:dyDescent="0.25">
      <c r="A316" s="405" t="s">
        <v>306</v>
      </c>
      <c r="B316" s="1045"/>
      <c r="C316" s="860"/>
      <c r="D316" s="863"/>
      <c r="E316" s="863"/>
      <c r="F316" s="863"/>
      <c r="G316" s="863"/>
      <c r="H316" s="406">
        <v>2</v>
      </c>
      <c r="I316" s="407"/>
      <c r="J316" s="408"/>
      <c r="K316" s="407"/>
      <c r="L316" s="407"/>
      <c r="M316" s="409"/>
      <c r="N316" s="411"/>
      <c r="O316" s="422">
        <f t="shared" si="23"/>
        <v>0</v>
      </c>
    </row>
    <row r="317" spans="1:30" ht="15.75" customHeight="1" x14ac:dyDescent="0.25">
      <c r="A317" s="405" t="s">
        <v>308</v>
      </c>
      <c r="B317" s="1045"/>
      <c r="C317" s="860"/>
      <c r="D317" s="863"/>
      <c r="E317" s="863"/>
      <c r="F317" s="863"/>
      <c r="G317" s="863"/>
      <c r="H317" s="406">
        <v>2</v>
      </c>
      <c r="I317" s="407"/>
      <c r="J317" s="408"/>
      <c r="K317" s="407"/>
      <c r="L317" s="407"/>
      <c r="M317" s="409"/>
      <c r="N317" s="411"/>
      <c r="O317" s="422">
        <f t="shared" si="23"/>
        <v>0</v>
      </c>
    </row>
    <row r="318" spans="1:30" ht="15.75" customHeight="1" x14ac:dyDescent="0.25">
      <c r="A318" s="405" t="s">
        <v>309</v>
      </c>
      <c r="B318" s="1045"/>
      <c r="C318" s="860"/>
      <c r="D318" s="863"/>
      <c r="E318" s="863"/>
      <c r="F318" s="863"/>
      <c r="G318" s="863"/>
      <c r="H318" s="406">
        <v>2</v>
      </c>
      <c r="I318" s="413"/>
      <c r="J318" s="408"/>
      <c r="K318" s="407"/>
      <c r="L318" s="407"/>
      <c r="M318" s="409"/>
      <c r="N318" s="411"/>
      <c r="O318" s="422">
        <f t="shared" si="23"/>
        <v>0</v>
      </c>
    </row>
    <row r="319" spans="1:30" ht="15.75" customHeight="1" x14ac:dyDescent="0.25">
      <c r="A319" s="405" t="s">
        <v>275</v>
      </c>
      <c r="B319" s="1045"/>
      <c r="C319" s="860"/>
      <c r="D319" s="863"/>
      <c r="E319" s="863"/>
      <c r="F319" s="863"/>
      <c r="G319" s="863"/>
      <c r="H319" s="406">
        <v>2</v>
      </c>
      <c r="I319" s="407"/>
      <c r="J319" s="408"/>
      <c r="K319" s="407"/>
      <c r="L319" s="407"/>
      <c r="M319" s="409"/>
      <c r="N319" s="411"/>
      <c r="O319" s="422">
        <f t="shared" si="23"/>
        <v>0</v>
      </c>
    </row>
    <row r="320" spans="1:30" ht="15.75" customHeight="1" x14ac:dyDescent="0.25">
      <c r="A320" s="405" t="s">
        <v>281</v>
      </c>
      <c r="B320" s="1045"/>
      <c r="C320" s="860"/>
      <c r="D320" s="863"/>
      <c r="E320" s="863"/>
      <c r="F320" s="863"/>
      <c r="G320" s="863"/>
      <c r="H320" s="406">
        <v>2</v>
      </c>
      <c r="I320" s="407"/>
      <c r="J320" s="408"/>
      <c r="K320" s="407"/>
      <c r="L320" s="407"/>
      <c r="M320" s="409"/>
      <c r="N320" s="411"/>
      <c r="O320" s="422">
        <f t="shared" si="23"/>
        <v>0</v>
      </c>
    </row>
    <row r="321" spans="1:16" ht="15.75" customHeight="1" x14ac:dyDescent="0.25">
      <c r="A321" s="405" t="s">
        <v>282</v>
      </c>
      <c r="B321" s="1045"/>
      <c r="C321" s="860"/>
      <c r="D321" s="863"/>
      <c r="E321" s="863"/>
      <c r="F321" s="863"/>
      <c r="G321" s="863"/>
      <c r="H321" s="406">
        <v>2</v>
      </c>
      <c r="I321" s="413"/>
      <c r="J321" s="408"/>
      <c r="K321" s="407"/>
      <c r="L321" s="407"/>
      <c r="M321" s="409"/>
      <c r="N321" s="411"/>
      <c r="O321" s="422">
        <f t="shared" si="23"/>
        <v>0</v>
      </c>
      <c r="P321" s="33"/>
    </row>
    <row r="322" spans="1:16" ht="15.75" customHeight="1" x14ac:dyDescent="0.25">
      <c r="A322" s="405" t="s">
        <v>283</v>
      </c>
      <c r="B322" s="1045"/>
      <c r="C322" s="860"/>
      <c r="D322" s="863"/>
      <c r="E322" s="863"/>
      <c r="F322" s="863"/>
      <c r="G322" s="863"/>
      <c r="H322" s="406">
        <v>2</v>
      </c>
      <c r="I322" s="407"/>
      <c r="J322" s="408"/>
      <c r="K322" s="407"/>
      <c r="L322" s="407"/>
      <c r="M322" s="409"/>
      <c r="N322" s="411"/>
      <c r="O322" s="422">
        <f t="shared" si="23"/>
        <v>0</v>
      </c>
    </row>
    <row r="323" spans="1:16" ht="15.75" customHeight="1" x14ac:dyDescent="0.25">
      <c r="A323" s="405" t="s">
        <v>284</v>
      </c>
      <c r="B323" s="1045"/>
      <c r="C323" s="860"/>
      <c r="D323" s="863"/>
      <c r="E323" s="863"/>
      <c r="F323" s="863"/>
      <c r="G323" s="863"/>
      <c r="H323" s="406">
        <v>2</v>
      </c>
      <c r="I323" s="407"/>
      <c r="J323" s="408"/>
      <c r="K323" s="407"/>
      <c r="L323" s="407"/>
      <c r="M323" s="409"/>
      <c r="N323" s="411"/>
      <c r="O323" s="422">
        <f t="shared" si="23"/>
        <v>0</v>
      </c>
    </row>
    <row r="324" spans="1:16" ht="15.75" customHeight="1" x14ac:dyDescent="0.25">
      <c r="A324" s="414" t="s">
        <v>285</v>
      </c>
      <c r="B324" s="1046"/>
      <c r="C324" s="1048"/>
      <c r="D324" s="970"/>
      <c r="E324" s="970"/>
      <c r="F324" s="970"/>
      <c r="G324" s="970"/>
      <c r="H324" s="415"/>
      <c r="I324" s="416"/>
      <c r="J324" s="417"/>
      <c r="K324" s="418"/>
      <c r="L324" s="418"/>
      <c r="M324" s="419"/>
      <c r="N324" s="420"/>
      <c r="O324" s="422">
        <f t="shared" si="23"/>
        <v>0</v>
      </c>
    </row>
    <row r="325" spans="1:16" ht="15.75" customHeight="1" x14ac:dyDescent="0.25">
      <c r="O325" s="421"/>
    </row>
    <row r="326" spans="1:16" ht="15.75" customHeight="1" x14ac:dyDescent="0.25">
      <c r="O326" s="421"/>
    </row>
    <row r="327" spans="1:16" ht="38.25" customHeight="1" x14ac:dyDescent="0.25">
      <c r="A327" s="269" t="s">
        <v>27</v>
      </c>
      <c r="B327" s="249" t="s">
        <v>323</v>
      </c>
      <c r="C327" s="249" t="s">
        <v>324</v>
      </c>
      <c r="D327" s="249" t="s">
        <v>325</v>
      </c>
      <c r="E327" s="249" t="s">
        <v>326</v>
      </c>
      <c r="F327" s="249" t="s">
        <v>412</v>
      </c>
      <c r="G327" s="249" t="s">
        <v>328</v>
      </c>
      <c r="H327" s="249" t="s">
        <v>413</v>
      </c>
      <c r="I327" s="249" t="s">
        <v>414</v>
      </c>
      <c r="J327" s="250" t="s">
        <v>415</v>
      </c>
      <c r="K327" s="249" t="s">
        <v>332</v>
      </c>
      <c r="L327" s="249" t="s">
        <v>333</v>
      </c>
      <c r="M327" s="249" t="s">
        <v>334</v>
      </c>
      <c r="N327" s="251" t="s">
        <v>335</v>
      </c>
      <c r="O327" s="421"/>
    </row>
    <row r="328" spans="1:16" ht="15" customHeight="1" x14ac:dyDescent="0.25">
      <c r="A328" s="405" t="s">
        <v>287</v>
      </c>
      <c r="B328" s="969" t="s">
        <v>343</v>
      </c>
      <c r="C328" s="969" t="s">
        <v>344</v>
      </c>
      <c r="D328" s="969" t="s">
        <v>345</v>
      </c>
      <c r="E328" s="969" t="s">
        <v>346</v>
      </c>
      <c r="F328" s="971">
        <v>100</v>
      </c>
      <c r="G328" s="971">
        <v>370</v>
      </c>
      <c r="H328" s="406">
        <v>135</v>
      </c>
      <c r="I328" s="407">
        <v>0</v>
      </c>
      <c r="J328" s="408">
        <f t="shared" ref="J328:J339" si="26">I328/H328</f>
        <v>0</v>
      </c>
      <c r="K328" s="407">
        <v>119.34</v>
      </c>
      <c r="L328" s="407">
        <v>0</v>
      </c>
      <c r="M328" s="409">
        <f t="shared" ref="M328:M339" si="27">L328/K328</f>
        <v>0</v>
      </c>
      <c r="N328" s="411" t="s">
        <v>418</v>
      </c>
      <c r="O328" s="423">
        <f t="shared" ref="O328:O339" si="28">LEN(N328)</f>
        <v>168</v>
      </c>
    </row>
    <row r="329" spans="1:16" ht="15.75" customHeight="1" x14ac:dyDescent="0.25">
      <c r="A329" s="405" t="s">
        <v>296</v>
      </c>
      <c r="B329" s="863"/>
      <c r="C329" s="863"/>
      <c r="D329" s="863"/>
      <c r="E329" s="863"/>
      <c r="F329" s="863"/>
      <c r="G329" s="863"/>
      <c r="H329" s="406">
        <v>135</v>
      </c>
      <c r="I329" s="407">
        <v>0</v>
      </c>
      <c r="J329" s="408">
        <f t="shared" si="26"/>
        <v>0</v>
      </c>
      <c r="K329" s="407">
        <v>119.34</v>
      </c>
      <c r="L329" s="407">
        <v>0</v>
      </c>
      <c r="M329" s="409">
        <f t="shared" si="27"/>
        <v>0</v>
      </c>
      <c r="N329" s="411" t="s">
        <v>419</v>
      </c>
      <c r="O329" s="423">
        <f t="shared" si="28"/>
        <v>200</v>
      </c>
    </row>
    <row r="330" spans="1:16" ht="15.75" customHeight="1" x14ac:dyDescent="0.25">
      <c r="A330" s="405" t="s">
        <v>305</v>
      </c>
      <c r="B330" s="863"/>
      <c r="C330" s="863"/>
      <c r="D330" s="863"/>
      <c r="E330" s="863"/>
      <c r="F330" s="863"/>
      <c r="G330" s="863"/>
      <c r="H330" s="406">
        <v>135</v>
      </c>
      <c r="I330" s="413">
        <v>3.4000000000000002E-2</v>
      </c>
      <c r="J330" s="408">
        <f t="shared" ref="J330" si="29">I330/H330</f>
        <v>2.5185185185185185E-4</v>
      </c>
      <c r="K330" s="407">
        <v>119.34</v>
      </c>
      <c r="L330" s="407">
        <v>0</v>
      </c>
      <c r="M330" s="409">
        <f t="shared" ref="M330" si="30">L330/K330</f>
        <v>0</v>
      </c>
      <c r="N330" s="412" t="s">
        <v>610</v>
      </c>
      <c r="O330" s="423">
        <f t="shared" ref="O330" si="31">LEN(N330)</f>
        <v>144</v>
      </c>
    </row>
    <row r="331" spans="1:16" ht="15.75" customHeight="1" x14ac:dyDescent="0.25">
      <c r="A331" s="405" t="s">
        <v>306</v>
      </c>
      <c r="B331" s="863"/>
      <c r="C331" s="863"/>
      <c r="D331" s="863"/>
      <c r="E331" s="863"/>
      <c r="F331" s="863"/>
      <c r="G331" s="863"/>
      <c r="H331" s="406">
        <v>135</v>
      </c>
      <c r="I331" s="413"/>
      <c r="J331" s="408">
        <f t="shared" si="26"/>
        <v>0</v>
      </c>
      <c r="K331" s="407">
        <v>119.34</v>
      </c>
      <c r="L331" s="407"/>
      <c r="M331" s="409">
        <f t="shared" si="27"/>
        <v>0</v>
      </c>
      <c r="N331" s="411"/>
      <c r="O331" s="423">
        <f t="shared" si="28"/>
        <v>0</v>
      </c>
    </row>
    <row r="332" spans="1:16" ht="15.75" customHeight="1" x14ac:dyDescent="0.25">
      <c r="A332" s="405" t="s">
        <v>308</v>
      </c>
      <c r="B332" s="863"/>
      <c r="C332" s="863"/>
      <c r="D332" s="863"/>
      <c r="E332" s="863"/>
      <c r="F332" s="863"/>
      <c r="G332" s="863"/>
      <c r="H332" s="406">
        <v>135</v>
      </c>
      <c r="I332" s="407"/>
      <c r="J332" s="408">
        <f t="shared" si="26"/>
        <v>0</v>
      </c>
      <c r="K332" s="407">
        <v>119.34</v>
      </c>
      <c r="L332" s="407"/>
      <c r="M332" s="409">
        <f t="shared" si="27"/>
        <v>0</v>
      </c>
      <c r="N332" s="411"/>
      <c r="O332" s="423">
        <f t="shared" si="28"/>
        <v>0</v>
      </c>
    </row>
    <row r="333" spans="1:16" ht="15.75" customHeight="1" x14ac:dyDescent="0.25">
      <c r="A333" s="405" t="s">
        <v>309</v>
      </c>
      <c r="B333" s="863"/>
      <c r="C333" s="863"/>
      <c r="D333" s="863"/>
      <c r="E333" s="863"/>
      <c r="F333" s="863"/>
      <c r="G333" s="863"/>
      <c r="H333" s="406">
        <v>135</v>
      </c>
      <c r="I333" s="407"/>
      <c r="J333" s="408">
        <f t="shared" si="26"/>
        <v>0</v>
      </c>
      <c r="K333" s="407">
        <v>119.34</v>
      </c>
      <c r="L333" s="407"/>
      <c r="M333" s="409">
        <f t="shared" si="27"/>
        <v>0</v>
      </c>
      <c r="N333" s="411"/>
      <c r="O333" s="423">
        <f t="shared" si="28"/>
        <v>0</v>
      </c>
    </row>
    <row r="334" spans="1:16" ht="15.75" customHeight="1" x14ac:dyDescent="0.25">
      <c r="A334" s="405" t="s">
        <v>275</v>
      </c>
      <c r="B334" s="863"/>
      <c r="C334" s="863"/>
      <c r="D334" s="863"/>
      <c r="E334" s="863"/>
      <c r="F334" s="863"/>
      <c r="G334" s="863"/>
      <c r="H334" s="406">
        <v>135</v>
      </c>
      <c r="I334" s="407"/>
      <c r="J334" s="408">
        <f t="shared" si="26"/>
        <v>0</v>
      </c>
      <c r="K334" s="407">
        <v>119.34</v>
      </c>
      <c r="L334" s="407"/>
      <c r="M334" s="409">
        <f t="shared" si="27"/>
        <v>0</v>
      </c>
      <c r="N334" s="411"/>
      <c r="O334" s="423">
        <f t="shared" si="28"/>
        <v>0</v>
      </c>
    </row>
    <row r="335" spans="1:16" ht="15.75" customHeight="1" x14ac:dyDescent="0.25">
      <c r="A335" s="405" t="s">
        <v>281</v>
      </c>
      <c r="B335" s="863"/>
      <c r="C335" s="863"/>
      <c r="D335" s="863"/>
      <c r="E335" s="863"/>
      <c r="F335" s="863"/>
      <c r="G335" s="863"/>
      <c r="H335" s="406">
        <v>135</v>
      </c>
      <c r="I335" s="407"/>
      <c r="J335" s="408">
        <f t="shared" si="26"/>
        <v>0</v>
      </c>
      <c r="K335" s="407">
        <v>119.34</v>
      </c>
      <c r="L335" s="407"/>
      <c r="M335" s="409">
        <f t="shared" si="27"/>
        <v>0</v>
      </c>
      <c r="N335" s="411"/>
      <c r="O335" s="423">
        <f t="shared" si="28"/>
        <v>0</v>
      </c>
    </row>
    <row r="336" spans="1:16" ht="15.75" customHeight="1" x14ac:dyDescent="0.25">
      <c r="A336" s="405" t="s">
        <v>282</v>
      </c>
      <c r="B336" s="863"/>
      <c r="C336" s="863"/>
      <c r="D336" s="863"/>
      <c r="E336" s="863"/>
      <c r="F336" s="863"/>
      <c r="G336" s="863"/>
      <c r="H336" s="406">
        <v>135</v>
      </c>
      <c r="I336" s="407"/>
      <c r="J336" s="408">
        <f t="shared" si="26"/>
        <v>0</v>
      </c>
      <c r="K336" s="407">
        <v>119.34</v>
      </c>
      <c r="L336" s="407"/>
      <c r="M336" s="409">
        <f t="shared" si="27"/>
        <v>0</v>
      </c>
      <c r="N336" s="411"/>
      <c r="O336" s="423">
        <f t="shared" si="28"/>
        <v>0</v>
      </c>
    </row>
    <row r="337" spans="1:15" ht="15.75" customHeight="1" x14ac:dyDescent="0.25">
      <c r="A337" s="405" t="s">
        <v>283</v>
      </c>
      <c r="B337" s="863"/>
      <c r="C337" s="863"/>
      <c r="D337" s="863"/>
      <c r="E337" s="863"/>
      <c r="F337" s="863"/>
      <c r="G337" s="863"/>
      <c r="H337" s="406">
        <v>135</v>
      </c>
      <c r="I337" s="407"/>
      <c r="J337" s="408">
        <f t="shared" si="26"/>
        <v>0</v>
      </c>
      <c r="K337" s="407">
        <v>119.34</v>
      </c>
      <c r="L337" s="407"/>
      <c r="M337" s="409">
        <f t="shared" si="27"/>
        <v>0</v>
      </c>
      <c r="N337" s="411"/>
      <c r="O337" s="423">
        <f t="shared" si="28"/>
        <v>0</v>
      </c>
    </row>
    <row r="338" spans="1:15" ht="15.75" customHeight="1" x14ac:dyDescent="0.25">
      <c r="A338" s="405" t="s">
        <v>284</v>
      </c>
      <c r="B338" s="863"/>
      <c r="C338" s="863"/>
      <c r="D338" s="863"/>
      <c r="E338" s="863"/>
      <c r="F338" s="863"/>
      <c r="G338" s="863"/>
      <c r="H338" s="406">
        <v>135</v>
      </c>
      <c r="I338" s="407"/>
      <c r="J338" s="408">
        <f t="shared" si="26"/>
        <v>0</v>
      </c>
      <c r="K338" s="407">
        <v>119.34</v>
      </c>
      <c r="L338" s="407"/>
      <c r="M338" s="409">
        <f t="shared" si="27"/>
        <v>0</v>
      </c>
      <c r="N338" s="411"/>
      <c r="O338" s="423">
        <f t="shared" si="28"/>
        <v>0</v>
      </c>
    </row>
    <row r="339" spans="1:15" ht="15.75" customHeight="1" x14ac:dyDescent="0.25">
      <c r="A339" s="414" t="s">
        <v>285</v>
      </c>
      <c r="B339" s="970"/>
      <c r="C339" s="970"/>
      <c r="D339" s="970"/>
      <c r="E339" s="970"/>
      <c r="F339" s="970"/>
      <c r="G339" s="970"/>
      <c r="H339" s="415">
        <v>135</v>
      </c>
      <c r="I339" s="418"/>
      <c r="J339" s="417">
        <f t="shared" si="26"/>
        <v>0</v>
      </c>
      <c r="K339" s="418">
        <v>119.34</v>
      </c>
      <c r="L339" s="418"/>
      <c r="M339" s="419">
        <f t="shared" si="27"/>
        <v>0</v>
      </c>
      <c r="N339" s="420"/>
      <c r="O339" s="423">
        <f t="shared" si="28"/>
        <v>0</v>
      </c>
    </row>
    <row r="340" spans="1:15" ht="15.75" customHeight="1" x14ac:dyDescent="0.25">
      <c r="O340" s="421"/>
    </row>
    <row r="341" spans="1:15" ht="15.75" customHeight="1" x14ac:dyDescent="0.25">
      <c r="O341" s="421"/>
    </row>
    <row r="342" spans="1:15" ht="42" customHeight="1" x14ac:dyDescent="0.25">
      <c r="A342" s="243" t="s">
        <v>27</v>
      </c>
      <c r="B342" s="244" t="s">
        <v>323</v>
      </c>
      <c r="C342" s="244" t="s">
        <v>324</v>
      </c>
      <c r="D342" s="247" t="s">
        <v>325</v>
      </c>
      <c r="E342" s="248" t="s">
        <v>326</v>
      </c>
      <c r="F342" s="244" t="s">
        <v>412</v>
      </c>
      <c r="G342" s="249" t="s">
        <v>328</v>
      </c>
      <c r="H342" s="244" t="s">
        <v>413</v>
      </c>
      <c r="I342" s="244" t="s">
        <v>414</v>
      </c>
      <c r="J342" s="292" t="s">
        <v>415</v>
      </c>
      <c r="K342" s="249" t="s">
        <v>332</v>
      </c>
      <c r="L342" s="249" t="s">
        <v>333</v>
      </c>
      <c r="M342" s="249" t="s">
        <v>334</v>
      </c>
      <c r="N342" s="251" t="s">
        <v>335</v>
      </c>
      <c r="O342" s="421"/>
    </row>
    <row r="343" spans="1:15" ht="15.75" customHeight="1" x14ac:dyDescent="0.25">
      <c r="A343" s="405" t="s">
        <v>287</v>
      </c>
      <c r="B343" s="1044" t="s">
        <v>343</v>
      </c>
      <c r="C343" s="1051" t="s">
        <v>344</v>
      </c>
      <c r="D343" s="1044" t="s">
        <v>350</v>
      </c>
      <c r="E343" s="1051" t="s">
        <v>346</v>
      </c>
      <c r="F343" s="971">
        <v>100</v>
      </c>
      <c r="G343" s="971">
        <v>590</v>
      </c>
      <c r="H343" s="406">
        <v>590</v>
      </c>
      <c r="I343" s="407">
        <v>0</v>
      </c>
      <c r="J343" s="408">
        <f t="shared" ref="J343:J354" si="32">I343/H343</f>
        <v>0</v>
      </c>
      <c r="K343" s="407">
        <v>0</v>
      </c>
      <c r="L343" s="407">
        <v>0</v>
      </c>
      <c r="M343" s="409">
        <v>0</v>
      </c>
      <c r="N343" s="411" t="s">
        <v>420</v>
      </c>
      <c r="O343" s="422">
        <f t="shared" ref="O343:O354" si="33">LEN(N343)</f>
        <v>181</v>
      </c>
    </row>
    <row r="344" spans="1:15" ht="15.75" customHeight="1" x14ac:dyDescent="0.25">
      <c r="A344" s="405" t="s">
        <v>296</v>
      </c>
      <c r="B344" s="1045"/>
      <c r="C344" s="860"/>
      <c r="D344" s="1045"/>
      <c r="E344" s="860"/>
      <c r="F344" s="863"/>
      <c r="G344" s="863"/>
      <c r="H344" s="406">
        <v>590</v>
      </c>
      <c r="I344" s="407">
        <v>0</v>
      </c>
      <c r="J344" s="408">
        <f t="shared" si="32"/>
        <v>0</v>
      </c>
      <c r="K344" s="407">
        <v>0</v>
      </c>
      <c r="L344" s="407">
        <v>0</v>
      </c>
      <c r="M344" s="409">
        <v>0</v>
      </c>
      <c r="N344" s="411" t="s">
        <v>421</v>
      </c>
      <c r="O344" s="422">
        <f t="shared" si="33"/>
        <v>183</v>
      </c>
    </row>
    <row r="345" spans="1:15" ht="15.75" customHeight="1" x14ac:dyDescent="0.25">
      <c r="A345" s="405" t="s">
        <v>305</v>
      </c>
      <c r="B345" s="1045"/>
      <c r="C345" s="860"/>
      <c r="D345" s="1045"/>
      <c r="E345" s="860"/>
      <c r="F345" s="863"/>
      <c r="G345" s="863"/>
      <c r="H345" s="406">
        <v>590</v>
      </c>
      <c r="I345" s="407">
        <v>0</v>
      </c>
      <c r="J345" s="408">
        <f t="shared" ref="J345" si="34">I345/H345</f>
        <v>0</v>
      </c>
      <c r="K345" s="407">
        <v>0</v>
      </c>
      <c r="L345" s="407">
        <v>0</v>
      </c>
      <c r="M345" s="409">
        <v>0</v>
      </c>
      <c r="N345" s="412" t="s">
        <v>603</v>
      </c>
      <c r="O345" s="422">
        <f t="shared" ref="O345" si="35">LEN(N345)</f>
        <v>178</v>
      </c>
    </row>
    <row r="346" spans="1:15" ht="15.75" customHeight="1" x14ac:dyDescent="0.25">
      <c r="A346" s="405" t="s">
        <v>306</v>
      </c>
      <c r="B346" s="1045"/>
      <c r="C346" s="860"/>
      <c r="D346" s="1045"/>
      <c r="E346" s="860"/>
      <c r="F346" s="863"/>
      <c r="G346" s="863"/>
      <c r="H346" s="406">
        <v>590</v>
      </c>
      <c r="I346" s="407"/>
      <c r="J346" s="408">
        <f t="shared" si="32"/>
        <v>0</v>
      </c>
      <c r="K346" s="407">
        <v>0</v>
      </c>
      <c r="L346" s="407">
        <v>0</v>
      </c>
      <c r="M346" s="409">
        <v>0</v>
      </c>
      <c r="N346" s="411"/>
      <c r="O346" s="422">
        <f t="shared" si="33"/>
        <v>0</v>
      </c>
    </row>
    <row r="347" spans="1:15" ht="15.75" customHeight="1" x14ac:dyDescent="0.25">
      <c r="A347" s="405" t="s">
        <v>308</v>
      </c>
      <c r="B347" s="1045"/>
      <c r="C347" s="860"/>
      <c r="D347" s="1045"/>
      <c r="E347" s="860"/>
      <c r="F347" s="863"/>
      <c r="G347" s="863"/>
      <c r="H347" s="406">
        <v>590</v>
      </c>
      <c r="I347" s="407"/>
      <c r="J347" s="408">
        <f t="shared" si="32"/>
        <v>0</v>
      </c>
      <c r="K347" s="407">
        <v>0</v>
      </c>
      <c r="L347" s="407">
        <v>0</v>
      </c>
      <c r="M347" s="409">
        <v>0</v>
      </c>
      <c r="N347" s="411"/>
      <c r="O347" s="422">
        <f t="shared" si="33"/>
        <v>0</v>
      </c>
    </row>
    <row r="348" spans="1:15" ht="15.75" customHeight="1" x14ac:dyDescent="0.25">
      <c r="A348" s="405" t="s">
        <v>309</v>
      </c>
      <c r="B348" s="1045"/>
      <c r="C348" s="860"/>
      <c r="D348" s="1045"/>
      <c r="E348" s="860"/>
      <c r="F348" s="863"/>
      <c r="G348" s="863"/>
      <c r="H348" s="406">
        <v>590</v>
      </c>
      <c r="I348" s="407"/>
      <c r="J348" s="408">
        <f t="shared" si="32"/>
        <v>0</v>
      </c>
      <c r="K348" s="407">
        <v>0</v>
      </c>
      <c r="L348" s="407">
        <v>0</v>
      </c>
      <c r="M348" s="409">
        <v>0</v>
      </c>
      <c r="N348" s="411"/>
      <c r="O348" s="422">
        <f t="shared" si="33"/>
        <v>0</v>
      </c>
    </row>
    <row r="349" spans="1:15" ht="15.75" customHeight="1" x14ac:dyDescent="0.25">
      <c r="A349" s="405" t="s">
        <v>275</v>
      </c>
      <c r="B349" s="1045"/>
      <c r="C349" s="860"/>
      <c r="D349" s="1045"/>
      <c r="E349" s="860"/>
      <c r="F349" s="863"/>
      <c r="G349" s="863"/>
      <c r="H349" s="406">
        <v>590</v>
      </c>
      <c r="I349" s="407"/>
      <c r="J349" s="408">
        <f t="shared" si="32"/>
        <v>0</v>
      </c>
      <c r="K349" s="407">
        <v>0</v>
      </c>
      <c r="L349" s="407">
        <v>0</v>
      </c>
      <c r="M349" s="409">
        <v>0</v>
      </c>
      <c r="N349" s="411"/>
      <c r="O349" s="422">
        <f t="shared" si="33"/>
        <v>0</v>
      </c>
    </row>
    <row r="350" spans="1:15" ht="15.75" customHeight="1" x14ac:dyDescent="0.25">
      <c r="A350" s="405" t="s">
        <v>281</v>
      </c>
      <c r="B350" s="1045"/>
      <c r="C350" s="860"/>
      <c r="D350" s="1045"/>
      <c r="E350" s="860"/>
      <c r="F350" s="863"/>
      <c r="G350" s="863"/>
      <c r="H350" s="406">
        <v>590</v>
      </c>
      <c r="I350" s="407"/>
      <c r="J350" s="408">
        <f t="shared" si="32"/>
        <v>0</v>
      </c>
      <c r="K350" s="407">
        <v>0</v>
      </c>
      <c r="L350" s="407">
        <v>0</v>
      </c>
      <c r="M350" s="409">
        <v>0</v>
      </c>
      <c r="N350" s="411"/>
      <c r="O350" s="422">
        <f t="shared" si="33"/>
        <v>0</v>
      </c>
    </row>
    <row r="351" spans="1:15" ht="15.75" customHeight="1" x14ac:dyDescent="0.25">
      <c r="A351" s="405" t="s">
        <v>282</v>
      </c>
      <c r="B351" s="1045"/>
      <c r="C351" s="860"/>
      <c r="D351" s="1045"/>
      <c r="E351" s="860"/>
      <c r="F351" s="863"/>
      <c r="G351" s="863"/>
      <c r="H351" s="406">
        <v>590</v>
      </c>
      <c r="I351" s="407"/>
      <c r="J351" s="408">
        <f t="shared" si="32"/>
        <v>0</v>
      </c>
      <c r="K351" s="407">
        <v>0</v>
      </c>
      <c r="L351" s="407">
        <v>0</v>
      </c>
      <c r="M351" s="409">
        <v>0</v>
      </c>
      <c r="N351" s="411"/>
      <c r="O351" s="422">
        <f t="shared" si="33"/>
        <v>0</v>
      </c>
    </row>
    <row r="352" spans="1:15" ht="15.75" customHeight="1" x14ac:dyDescent="0.25">
      <c r="A352" s="405" t="s">
        <v>283</v>
      </c>
      <c r="B352" s="1045"/>
      <c r="C352" s="860"/>
      <c r="D352" s="1045"/>
      <c r="E352" s="860"/>
      <c r="F352" s="863"/>
      <c r="G352" s="863"/>
      <c r="H352" s="406">
        <v>590</v>
      </c>
      <c r="I352" s="407"/>
      <c r="J352" s="408">
        <f t="shared" si="32"/>
        <v>0</v>
      </c>
      <c r="K352" s="407">
        <v>0</v>
      </c>
      <c r="L352" s="407">
        <v>0</v>
      </c>
      <c r="M352" s="409">
        <v>0</v>
      </c>
      <c r="N352" s="411"/>
      <c r="O352" s="422">
        <f t="shared" si="33"/>
        <v>0</v>
      </c>
    </row>
    <row r="353" spans="1:15" ht="15.75" customHeight="1" x14ac:dyDescent="0.25">
      <c r="A353" s="405" t="s">
        <v>284</v>
      </c>
      <c r="B353" s="1045"/>
      <c r="C353" s="860"/>
      <c r="D353" s="1045"/>
      <c r="E353" s="860"/>
      <c r="F353" s="863"/>
      <c r="G353" s="863"/>
      <c r="H353" s="406">
        <v>590</v>
      </c>
      <c r="I353" s="407"/>
      <c r="J353" s="408">
        <f t="shared" si="32"/>
        <v>0</v>
      </c>
      <c r="K353" s="407">
        <v>0</v>
      </c>
      <c r="L353" s="407">
        <v>0</v>
      </c>
      <c r="M353" s="409">
        <v>0</v>
      </c>
      <c r="N353" s="411"/>
      <c r="O353" s="422">
        <f t="shared" si="33"/>
        <v>0</v>
      </c>
    </row>
    <row r="354" spans="1:15" ht="15.75" customHeight="1" x14ac:dyDescent="0.25">
      <c r="A354" s="414" t="s">
        <v>285</v>
      </c>
      <c r="B354" s="1046"/>
      <c r="C354" s="1048"/>
      <c r="D354" s="1046"/>
      <c r="E354" s="1048"/>
      <c r="F354" s="970"/>
      <c r="G354" s="970"/>
      <c r="H354" s="415">
        <v>590</v>
      </c>
      <c r="I354" s="418"/>
      <c r="J354" s="417">
        <f t="shared" si="32"/>
        <v>0</v>
      </c>
      <c r="K354" s="418">
        <v>0</v>
      </c>
      <c r="L354" s="418">
        <v>0</v>
      </c>
      <c r="M354" s="419">
        <v>0</v>
      </c>
      <c r="N354" s="420"/>
      <c r="O354" s="422">
        <f t="shared" si="33"/>
        <v>0</v>
      </c>
    </row>
    <row r="355" spans="1:15" ht="15.75" customHeight="1" x14ac:dyDescent="0.25">
      <c r="O355" s="421"/>
    </row>
    <row r="356" spans="1:15" ht="15.75" customHeight="1" x14ac:dyDescent="0.25">
      <c r="O356" s="421"/>
    </row>
    <row r="357" spans="1:15" ht="23.25" customHeight="1" x14ac:dyDescent="0.25">
      <c r="A357" s="243" t="s">
        <v>27</v>
      </c>
      <c r="B357" s="249" t="s">
        <v>323</v>
      </c>
      <c r="C357" s="249" t="s">
        <v>324</v>
      </c>
      <c r="D357" s="270" t="s">
        <v>325</v>
      </c>
      <c r="E357" s="248" t="s">
        <v>326</v>
      </c>
      <c r="F357" s="244" t="s">
        <v>412</v>
      </c>
      <c r="G357" s="249" t="s">
        <v>328</v>
      </c>
      <c r="H357" s="244" t="s">
        <v>413</v>
      </c>
      <c r="I357" s="244" t="s">
        <v>414</v>
      </c>
      <c r="J357" s="292" t="s">
        <v>415</v>
      </c>
      <c r="K357" s="249" t="s">
        <v>332</v>
      </c>
      <c r="L357" s="249" t="s">
        <v>333</v>
      </c>
      <c r="M357" s="249" t="s">
        <v>334</v>
      </c>
      <c r="N357" s="251" t="s">
        <v>335</v>
      </c>
      <c r="O357" s="421"/>
    </row>
    <row r="358" spans="1:15" ht="15.75" customHeight="1" x14ac:dyDescent="0.25">
      <c r="A358" s="405" t="s">
        <v>287</v>
      </c>
      <c r="B358" s="969" t="s">
        <v>354</v>
      </c>
      <c r="C358" s="969" t="s">
        <v>355</v>
      </c>
      <c r="D358" s="1044" t="s">
        <v>356</v>
      </c>
      <c r="E358" s="1047" t="s">
        <v>339</v>
      </c>
      <c r="F358" s="971">
        <v>100</v>
      </c>
      <c r="G358" s="971">
        <v>4</v>
      </c>
      <c r="H358" s="424">
        <v>1</v>
      </c>
      <c r="I358" s="407">
        <v>0</v>
      </c>
      <c r="J358" s="408">
        <f t="shared" ref="J358:J369" si="36">I358/H358</f>
        <v>0</v>
      </c>
      <c r="K358" s="407">
        <v>0</v>
      </c>
      <c r="L358" s="407">
        <v>0</v>
      </c>
      <c r="M358" s="409">
        <v>0</v>
      </c>
      <c r="N358" s="411" t="s">
        <v>422</v>
      </c>
      <c r="O358" s="422">
        <f t="shared" ref="O358:O369" si="37">LEN(N358)</f>
        <v>197</v>
      </c>
    </row>
    <row r="359" spans="1:15" ht="15.75" customHeight="1" x14ac:dyDescent="0.25">
      <c r="A359" s="405" t="s">
        <v>296</v>
      </c>
      <c r="B359" s="863"/>
      <c r="C359" s="863"/>
      <c r="D359" s="1045"/>
      <c r="E359" s="860"/>
      <c r="F359" s="863"/>
      <c r="G359" s="863"/>
      <c r="H359" s="425">
        <v>1</v>
      </c>
      <c r="I359" s="407">
        <v>0.09</v>
      </c>
      <c r="J359" s="408">
        <f t="shared" si="36"/>
        <v>0.09</v>
      </c>
      <c r="K359" s="407">
        <v>0</v>
      </c>
      <c r="L359" s="407">
        <v>0</v>
      </c>
      <c r="M359" s="409">
        <v>0</v>
      </c>
      <c r="N359" s="426" t="s">
        <v>423</v>
      </c>
      <c r="O359" s="422">
        <f t="shared" si="37"/>
        <v>121</v>
      </c>
    </row>
    <row r="360" spans="1:15" ht="15.75" customHeight="1" x14ac:dyDescent="0.25">
      <c r="A360" s="405" t="s">
        <v>305</v>
      </c>
      <c r="B360" s="863"/>
      <c r="C360" s="863"/>
      <c r="D360" s="1045"/>
      <c r="E360" s="860"/>
      <c r="F360" s="863"/>
      <c r="G360" s="863"/>
      <c r="H360" s="424">
        <v>1</v>
      </c>
      <c r="I360" s="407">
        <v>0.18</v>
      </c>
      <c r="J360" s="408">
        <f t="shared" ref="J360" si="38">I360/H360</f>
        <v>0.18</v>
      </c>
      <c r="K360" s="407">
        <v>0</v>
      </c>
      <c r="L360" s="407">
        <v>0</v>
      </c>
      <c r="M360" s="409">
        <v>0</v>
      </c>
      <c r="N360" s="427" t="s">
        <v>604</v>
      </c>
      <c r="O360" s="422">
        <f t="shared" ref="O360" si="39">LEN(N360)</f>
        <v>122</v>
      </c>
    </row>
    <row r="361" spans="1:15" ht="15.75" customHeight="1" x14ac:dyDescent="0.25">
      <c r="A361" s="405" t="s">
        <v>306</v>
      </c>
      <c r="B361" s="863"/>
      <c r="C361" s="863"/>
      <c r="D361" s="1045"/>
      <c r="E361" s="860"/>
      <c r="F361" s="863"/>
      <c r="G361" s="863"/>
      <c r="H361" s="424">
        <v>1</v>
      </c>
      <c r="I361" s="407"/>
      <c r="J361" s="408">
        <f t="shared" si="36"/>
        <v>0</v>
      </c>
      <c r="K361" s="407">
        <v>0</v>
      </c>
      <c r="L361" s="407">
        <v>0</v>
      </c>
      <c r="M361" s="409">
        <v>0</v>
      </c>
      <c r="N361" s="426"/>
      <c r="O361" s="422">
        <f t="shared" si="37"/>
        <v>0</v>
      </c>
    </row>
    <row r="362" spans="1:15" ht="15.75" customHeight="1" x14ac:dyDescent="0.25">
      <c r="A362" s="405" t="s">
        <v>308</v>
      </c>
      <c r="B362" s="863"/>
      <c r="C362" s="863"/>
      <c r="D362" s="1045"/>
      <c r="E362" s="860"/>
      <c r="F362" s="863"/>
      <c r="G362" s="863"/>
      <c r="H362" s="424">
        <v>1</v>
      </c>
      <c r="I362" s="407"/>
      <c r="J362" s="408">
        <f t="shared" si="36"/>
        <v>0</v>
      </c>
      <c r="K362" s="407">
        <v>0</v>
      </c>
      <c r="L362" s="407">
        <v>0</v>
      </c>
      <c r="M362" s="409">
        <v>0</v>
      </c>
      <c r="N362" s="426"/>
      <c r="O362" s="422">
        <f t="shared" si="37"/>
        <v>0</v>
      </c>
    </row>
    <row r="363" spans="1:15" ht="15.75" customHeight="1" x14ac:dyDescent="0.25">
      <c r="A363" s="405" t="s">
        <v>309</v>
      </c>
      <c r="B363" s="863"/>
      <c r="C363" s="863"/>
      <c r="D363" s="1045"/>
      <c r="E363" s="860"/>
      <c r="F363" s="863"/>
      <c r="G363" s="863"/>
      <c r="H363" s="424">
        <v>1</v>
      </c>
      <c r="I363" s="407"/>
      <c r="J363" s="408">
        <f t="shared" si="36"/>
        <v>0</v>
      </c>
      <c r="K363" s="407">
        <v>0</v>
      </c>
      <c r="L363" s="407">
        <v>0</v>
      </c>
      <c r="M363" s="409">
        <v>0</v>
      </c>
      <c r="N363" s="426"/>
      <c r="O363" s="422">
        <f t="shared" si="37"/>
        <v>0</v>
      </c>
    </row>
    <row r="364" spans="1:15" ht="15.75" customHeight="1" x14ac:dyDescent="0.25">
      <c r="A364" s="405" t="s">
        <v>275</v>
      </c>
      <c r="B364" s="863"/>
      <c r="C364" s="863"/>
      <c r="D364" s="1045"/>
      <c r="E364" s="860"/>
      <c r="F364" s="863"/>
      <c r="G364" s="863"/>
      <c r="H364" s="424">
        <v>1</v>
      </c>
      <c r="I364" s="407"/>
      <c r="J364" s="408">
        <f t="shared" si="36"/>
        <v>0</v>
      </c>
      <c r="K364" s="407">
        <v>0</v>
      </c>
      <c r="L364" s="407">
        <v>0</v>
      </c>
      <c r="M364" s="409">
        <v>0</v>
      </c>
      <c r="N364" s="426"/>
      <c r="O364" s="422">
        <f t="shared" si="37"/>
        <v>0</v>
      </c>
    </row>
    <row r="365" spans="1:15" ht="15.75" customHeight="1" x14ac:dyDescent="0.25">
      <c r="A365" s="405" t="s">
        <v>281</v>
      </c>
      <c r="B365" s="863"/>
      <c r="C365" s="863"/>
      <c r="D365" s="1045"/>
      <c r="E365" s="860"/>
      <c r="F365" s="863"/>
      <c r="G365" s="863"/>
      <c r="H365" s="424">
        <v>1</v>
      </c>
      <c r="I365" s="407"/>
      <c r="J365" s="408">
        <f t="shared" si="36"/>
        <v>0</v>
      </c>
      <c r="K365" s="407">
        <v>0</v>
      </c>
      <c r="L365" s="407">
        <v>0</v>
      </c>
      <c r="M365" s="409">
        <v>0</v>
      </c>
      <c r="N365" s="426"/>
      <c r="O365" s="422">
        <f t="shared" si="37"/>
        <v>0</v>
      </c>
    </row>
    <row r="366" spans="1:15" ht="15.75" customHeight="1" x14ac:dyDescent="0.25">
      <c r="A366" s="405" t="s">
        <v>282</v>
      </c>
      <c r="B366" s="863"/>
      <c r="C366" s="863"/>
      <c r="D366" s="1045"/>
      <c r="E366" s="860"/>
      <c r="F366" s="863"/>
      <c r="G366" s="863"/>
      <c r="H366" s="424">
        <v>1</v>
      </c>
      <c r="I366" s="407"/>
      <c r="J366" s="408">
        <f t="shared" si="36"/>
        <v>0</v>
      </c>
      <c r="K366" s="407">
        <v>0</v>
      </c>
      <c r="L366" s="407">
        <v>0</v>
      </c>
      <c r="M366" s="409">
        <v>0</v>
      </c>
      <c r="N366" s="426"/>
      <c r="O366" s="422">
        <f t="shared" si="37"/>
        <v>0</v>
      </c>
    </row>
    <row r="367" spans="1:15" ht="15.75" customHeight="1" x14ac:dyDescent="0.25">
      <c r="A367" s="405" t="s">
        <v>283</v>
      </c>
      <c r="B367" s="863"/>
      <c r="C367" s="863"/>
      <c r="D367" s="1045"/>
      <c r="E367" s="860"/>
      <c r="F367" s="863"/>
      <c r="G367" s="863"/>
      <c r="H367" s="424">
        <v>1</v>
      </c>
      <c r="I367" s="407"/>
      <c r="J367" s="408">
        <f t="shared" si="36"/>
        <v>0</v>
      </c>
      <c r="K367" s="407">
        <v>0</v>
      </c>
      <c r="L367" s="407">
        <v>0</v>
      </c>
      <c r="M367" s="409">
        <v>0</v>
      </c>
      <c r="N367" s="426"/>
      <c r="O367" s="422">
        <f t="shared" si="37"/>
        <v>0</v>
      </c>
    </row>
    <row r="368" spans="1:15" ht="15.75" customHeight="1" x14ac:dyDescent="0.25">
      <c r="A368" s="405" t="s">
        <v>284</v>
      </c>
      <c r="B368" s="863"/>
      <c r="C368" s="863"/>
      <c r="D368" s="1045"/>
      <c r="E368" s="860"/>
      <c r="F368" s="863"/>
      <c r="G368" s="863"/>
      <c r="H368" s="424">
        <v>1</v>
      </c>
      <c r="I368" s="413"/>
      <c r="J368" s="408">
        <f t="shared" si="36"/>
        <v>0</v>
      </c>
      <c r="K368" s="407">
        <v>0</v>
      </c>
      <c r="L368" s="407">
        <v>0</v>
      </c>
      <c r="M368" s="409">
        <v>0</v>
      </c>
      <c r="N368" s="426"/>
      <c r="O368" s="422">
        <f t="shared" si="37"/>
        <v>0</v>
      </c>
    </row>
    <row r="369" spans="1:16" ht="15.75" customHeight="1" x14ac:dyDescent="0.25">
      <c r="A369" s="414" t="s">
        <v>285</v>
      </c>
      <c r="B369" s="970"/>
      <c r="C369" s="970"/>
      <c r="D369" s="1046"/>
      <c r="E369" s="1048"/>
      <c r="F369" s="970"/>
      <c r="G369" s="970"/>
      <c r="H369" s="415">
        <v>1</v>
      </c>
      <c r="I369" s="416"/>
      <c r="J369" s="417">
        <f t="shared" si="36"/>
        <v>0</v>
      </c>
      <c r="K369" s="418">
        <v>0</v>
      </c>
      <c r="L369" s="418">
        <v>0</v>
      </c>
      <c r="M369" s="419">
        <v>0</v>
      </c>
      <c r="N369" s="428"/>
      <c r="O369" s="422">
        <f t="shared" si="37"/>
        <v>0</v>
      </c>
    </row>
    <row r="370" spans="1:16" ht="15.75" customHeight="1" x14ac:dyDescent="0.25">
      <c r="O370" s="421"/>
    </row>
    <row r="371" spans="1:16" ht="15.75" hidden="1" customHeight="1" x14ac:dyDescent="0.25">
      <c r="O371" s="421"/>
    </row>
    <row r="372" spans="1:16" ht="20.25" hidden="1" customHeight="1" x14ac:dyDescent="0.25">
      <c r="A372" s="996" t="s">
        <v>424</v>
      </c>
      <c r="B372" s="716"/>
      <c r="C372" s="716"/>
      <c r="D372" s="716"/>
      <c r="E372" s="716"/>
      <c r="F372" s="716"/>
      <c r="G372" s="716"/>
      <c r="H372" s="716"/>
      <c r="I372" s="716"/>
      <c r="J372" s="716"/>
      <c r="K372" s="716"/>
      <c r="L372" s="716"/>
      <c r="M372" s="716"/>
      <c r="N372" s="815"/>
      <c r="O372" s="421"/>
    </row>
    <row r="373" spans="1:16" ht="15.75" hidden="1" customHeight="1" x14ac:dyDescent="0.25">
      <c r="A373" s="243" t="s">
        <v>26</v>
      </c>
      <c r="B373" s="244" t="s">
        <v>323</v>
      </c>
      <c r="C373" s="244" t="s">
        <v>324</v>
      </c>
      <c r="D373" s="244" t="s">
        <v>325</v>
      </c>
      <c r="E373" s="244" t="s">
        <v>326</v>
      </c>
      <c r="F373" s="244" t="s">
        <v>425</v>
      </c>
      <c r="G373" s="244" t="s">
        <v>328</v>
      </c>
      <c r="H373" s="244" t="s">
        <v>426</v>
      </c>
      <c r="I373" s="244" t="s">
        <v>427</v>
      </c>
      <c r="J373" s="292" t="s">
        <v>428</v>
      </c>
      <c r="K373" s="244" t="s">
        <v>332</v>
      </c>
      <c r="L373" s="244" t="s">
        <v>333</v>
      </c>
      <c r="M373" s="244" t="s">
        <v>334</v>
      </c>
      <c r="N373" s="245" t="s">
        <v>335</v>
      </c>
      <c r="O373" s="421"/>
    </row>
    <row r="374" spans="1:16" ht="15.75" hidden="1" customHeight="1" x14ac:dyDescent="0.25">
      <c r="A374" s="239" t="s">
        <v>287</v>
      </c>
      <c r="B374" s="985" t="s">
        <v>336</v>
      </c>
      <c r="C374" s="1043" t="s">
        <v>337</v>
      </c>
      <c r="D374" s="987" t="s">
        <v>338</v>
      </c>
      <c r="E374" s="972" t="s">
        <v>339</v>
      </c>
      <c r="F374" s="977">
        <v>100</v>
      </c>
      <c r="G374" s="977">
        <v>8</v>
      </c>
      <c r="H374" s="34"/>
      <c r="I374" s="254"/>
      <c r="J374" s="293"/>
      <c r="K374" s="254"/>
      <c r="L374" s="254"/>
      <c r="M374" s="289"/>
      <c r="N374" s="294"/>
      <c r="O374" s="422">
        <f t="shared" ref="O374:O385" si="40">LEN(N374)</f>
        <v>0</v>
      </c>
    </row>
    <row r="375" spans="1:16" ht="15.75" hidden="1" customHeight="1" x14ac:dyDescent="0.25">
      <c r="A375" s="239" t="s">
        <v>296</v>
      </c>
      <c r="B375" s="827"/>
      <c r="C375" s="836"/>
      <c r="D375" s="833"/>
      <c r="E375" s="833"/>
      <c r="F375" s="833"/>
      <c r="G375" s="833"/>
      <c r="H375" s="34"/>
      <c r="I375" s="254"/>
      <c r="J375" s="293"/>
      <c r="K375" s="254"/>
      <c r="L375" s="254"/>
      <c r="M375" s="289"/>
      <c r="N375" s="246"/>
      <c r="O375" s="422">
        <f t="shared" si="40"/>
        <v>0</v>
      </c>
    </row>
    <row r="376" spans="1:16" ht="15.75" hidden="1" customHeight="1" x14ac:dyDescent="0.25">
      <c r="A376" s="239" t="s">
        <v>305</v>
      </c>
      <c r="B376" s="827"/>
      <c r="C376" s="836"/>
      <c r="D376" s="833"/>
      <c r="E376" s="833"/>
      <c r="F376" s="833"/>
      <c r="G376" s="833"/>
      <c r="H376" s="34"/>
      <c r="I376" s="254"/>
      <c r="J376" s="293"/>
      <c r="K376" s="254"/>
      <c r="L376" s="254"/>
      <c r="M376" s="289"/>
      <c r="N376" s="246"/>
      <c r="O376" s="422">
        <f t="shared" si="40"/>
        <v>0</v>
      </c>
    </row>
    <row r="377" spans="1:16" ht="15.75" hidden="1" customHeight="1" x14ac:dyDescent="0.25">
      <c r="A377" s="239" t="s">
        <v>306</v>
      </c>
      <c r="B377" s="827"/>
      <c r="C377" s="836"/>
      <c r="D377" s="833"/>
      <c r="E377" s="833"/>
      <c r="F377" s="833"/>
      <c r="G377" s="833"/>
      <c r="H377" s="34"/>
      <c r="I377" s="254"/>
      <c r="J377" s="293"/>
      <c r="K377" s="254"/>
      <c r="L377" s="254"/>
      <c r="M377" s="289"/>
      <c r="N377" s="246"/>
      <c r="O377" s="422">
        <f t="shared" si="40"/>
        <v>0</v>
      </c>
    </row>
    <row r="378" spans="1:16" ht="15.75" hidden="1" customHeight="1" x14ac:dyDescent="0.25">
      <c r="A378" s="239" t="s">
        <v>308</v>
      </c>
      <c r="B378" s="827"/>
      <c r="C378" s="836"/>
      <c r="D378" s="833"/>
      <c r="E378" s="833"/>
      <c r="F378" s="833"/>
      <c r="G378" s="833"/>
      <c r="H378" s="34"/>
      <c r="I378" s="254"/>
      <c r="J378" s="293"/>
      <c r="K378" s="254"/>
      <c r="L378" s="254"/>
      <c r="M378" s="289"/>
      <c r="N378" s="246"/>
      <c r="O378" s="422">
        <f t="shared" si="40"/>
        <v>0</v>
      </c>
    </row>
    <row r="379" spans="1:16" ht="15.75" hidden="1" customHeight="1" x14ac:dyDescent="0.25">
      <c r="A379" s="239" t="s">
        <v>309</v>
      </c>
      <c r="B379" s="827"/>
      <c r="C379" s="836"/>
      <c r="D379" s="833"/>
      <c r="E379" s="833"/>
      <c r="F379" s="833"/>
      <c r="G379" s="833"/>
      <c r="H379" s="34"/>
      <c r="I379" s="288"/>
      <c r="J379" s="293"/>
      <c r="K379" s="254"/>
      <c r="L379" s="254"/>
      <c r="M379" s="289"/>
      <c r="N379" s="246"/>
      <c r="O379" s="422">
        <f t="shared" si="40"/>
        <v>0</v>
      </c>
    </row>
    <row r="380" spans="1:16" ht="15.75" hidden="1" customHeight="1" x14ac:dyDescent="0.25">
      <c r="A380" s="239" t="s">
        <v>275</v>
      </c>
      <c r="B380" s="827"/>
      <c r="C380" s="836"/>
      <c r="D380" s="833"/>
      <c r="E380" s="833"/>
      <c r="F380" s="833"/>
      <c r="G380" s="833"/>
      <c r="H380" s="34"/>
      <c r="I380" s="254"/>
      <c r="J380" s="293"/>
      <c r="K380" s="254"/>
      <c r="L380" s="254"/>
      <c r="M380" s="289"/>
      <c r="N380" s="246"/>
      <c r="O380" s="422">
        <f t="shared" si="40"/>
        <v>0</v>
      </c>
    </row>
    <row r="381" spans="1:16" ht="15.75" hidden="1" customHeight="1" x14ac:dyDescent="0.25">
      <c r="A381" s="239" t="s">
        <v>281</v>
      </c>
      <c r="B381" s="827"/>
      <c r="C381" s="836"/>
      <c r="D381" s="833"/>
      <c r="E381" s="833"/>
      <c r="F381" s="833"/>
      <c r="G381" s="833"/>
      <c r="H381" s="34"/>
      <c r="I381" s="254"/>
      <c r="J381" s="293"/>
      <c r="K381" s="254"/>
      <c r="L381" s="254"/>
      <c r="M381" s="289"/>
      <c r="N381" s="246"/>
      <c r="O381" s="422">
        <f t="shared" si="40"/>
        <v>0</v>
      </c>
    </row>
    <row r="382" spans="1:16" ht="15.75" hidden="1" customHeight="1" x14ac:dyDescent="0.25">
      <c r="A382" s="239" t="s">
        <v>282</v>
      </c>
      <c r="B382" s="827"/>
      <c r="C382" s="836"/>
      <c r="D382" s="833"/>
      <c r="E382" s="833"/>
      <c r="F382" s="833"/>
      <c r="G382" s="833"/>
      <c r="H382" s="34"/>
      <c r="I382" s="288"/>
      <c r="J382" s="293"/>
      <c r="K382" s="254"/>
      <c r="L382" s="254"/>
      <c r="M382" s="289"/>
      <c r="N382" s="246"/>
      <c r="O382" s="422">
        <f t="shared" si="40"/>
        <v>0</v>
      </c>
      <c r="P382" s="33"/>
    </row>
    <row r="383" spans="1:16" ht="15.75" hidden="1" customHeight="1" x14ac:dyDescent="0.25">
      <c r="A383" s="239" t="s">
        <v>283</v>
      </c>
      <c r="B383" s="827"/>
      <c r="C383" s="836"/>
      <c r="D383" s="833"/>
      <c r="E383" s="833"/>
      <c r="F383" s="833"/>
      <c r="G383" s="833"/>
      <c r="H383" s="34"/>
      <c r="I383" s="254"/>
      <c r="J383" s="293"/>
      <c r="K383" s="254"/>
      <c r="L383" s="254"/>
      <c r="M383" s="289"/>
      <c r="N383" s="246"/>
      <c r="O383" s="422">
        <f t="shared" si="40"/>
        <v>0</v>
      </c>
    </row>
    <row r="384" spans="1:16" ht="15.75" hidden="1" customHeight="1" x14ac:dyDescent="0.25">
      <c r="A384" s="239" t="s">
        <v>284</v>
      </c>
      <c r="B384" s="827"/>
      <c r="C384" s="836"/>
      <c r="D384" s="833"/>
      <c r="E384" s="833"/>
      <c r="F384" s="833"/>
      <c r="G384" s="833"/>
      <c r="H384" s="34"/>
      <c r="I384" s="254"/>
      <c r="J384" s="293"/>
      <c r="K384" s="254"/>
      <c r="L384" s="254"/>
      <c r="M384" s="289"/>
      <c r="N384" s="246"/>
      <c r="O384" s="422">
        <f t="shared" si="40"/>
        <v>0</v>
      </c>
    </row>
    <row r="385" spans="1:15" ht="15.75" hidden="1" customHeight="1" x14ac:dyDescent="0.25">
      <c r="A385" s="240" t="s">
        <v>285</v>
      </c>
      <c r="B385" s="828"/>
      <c r="C385" s="837"/>
      <c r="D385" s="834"/>
      <c r="E385" s="834"/>
      <c r="F385" s="834"/>
      <c r="G385" s="834"/>
      <c r="H385" s="278"/>
      <c r="I385" s="295"/>
      <c r="J385" s="293"/>
      <c r="K385" s="254"/>
      <c r="L385" s="254"/>
      <c r="M385" s="289"/>
      <c r="N385" s="246"/>
      <c r="O385" s="422">
        <f t="shared" si="40"/>
        <v>0</v>
      </c>
    </row>
    <row r="386" spans="1:15" ht="15.75" hidden="1" customHeight="1" x14ac:dyDescent="0.25">
      <c r="O386" s="421"/>
    </row>
    <row r="387" spans="1:15" ht="15.75" hidden="1" customHeight="1" x14ac:dyDescent="0.25">
      <c r="O387" s="421"/>
    </row>
    <row r="388" spans="1:15" ht="15.75" hidden="1" customHeight="1" x14ac:dyDescent="0.25">
      <c r="A388" s="269" t="s">
        <v>26</v>
      </c>
      <c r="B388" s="249" t="s">
        <v>323</v>
      </c>
      <c r="C388" s="249" t="s">
        <v>324</v>
      </c>
      <c r="D388" s="270" t="s">
        <v>325</v>
      </c>
      <c r="E388" s="248" t="s">
        <v>326</v>
      </c>
      <c r="F388" s="249" t="s">
        <v>425</v>
      </c>
      <c r="G388" s="249" t="s">
        <v>328</v>
      </c>
      <c r="H388" s="249" t="s">
        <v>426</v>
      </c>
      <c r="I388" s="249" t="s">
        <v>427</v>
      </c>
      <c r="J388" s="250" t="s">
        <v>428</v>
      </c>
      <c r="K388" s="249" t="s">
        <v>332</v>
      </c>
      <c r="L388" s="249" t="s">
        <v>333</v>
      </c>
      <c r="M388" s="249" t="s">
        <v>334</v>
      </c>
      <c r="N388" s="251" t="s">
        <v>335</v>
      </c>
      <c r="O388" s="421"/>
    </row>
    <row r="389" spans="1:15" ht="15" hidden="1" customHeight="1" x14ac:dyDescent="0.25">
      <c r="A389" s="239" t="s">
        <v>287</v>
      </c>
      <c r="B389" s="972" t="s">
        <v>343</v>
      </c>
      <c r="C389" s="972" t="s">
        <v>344</v>
      </c>
      <c r="D389" s="985" t="s">
        <v>345</v>
      </c>
      <c r="E389" s="986" t="s">
        <v>346</v>
      </c>
      <c r="F389" s="977">
        <v>100</v>
      </c>
      <c r="G389" s="977">
        <v>370</v>
      </c>
      <c r="H389" s="34"/>
      <c r="I389" s="254"/>
      <c r="J389" s="293"/>
      <c r="K389" s="254"/>
      <c r="L389" s="254"/>
      <c r="M389" s="289"/>
      <c r="N389" s="246"/>
      <c r="O389" s="423">
        <f t="shared" ref="O389:O400" si="41">LEN(N389)</f>
        <v>0</v>
      </c>
    </row>
    <row r="390" spans="1:15" ht="15.75" hidden="1" customHeight="1" x14ac:dyDescent="0.25">
      <c r="A390" s="239" t="s">
        <v>296</v>
      </c>
      <c r="B390" s="833"/>
      <c r="C390" s="833"/>
      <c r="D390" s="827"/>
      <c r="E390" s="836"/>
      <c r="F390" s="833"/>
      <c r="G390" s="833"/>
      <c r="H390" s="34"/>
      <c r="I390" s="254"/>
      <c r="J390" s="293"/>
      <c r="K390" s="254"/>
      <c r="L390" s="254"/>
      <c r="M390" s="289"/>
      <c r="N390" s="246"/>
      <c r="O390" s="423">
        <f t="shared" si="41"/>
        <v>0</v>
      </c>
    </row>
    <row r="391" spans="1:15" ht="15.75" hidden="1" customHeight="1" x14ac:dyDescent="0.25">
      <c r="A391" s="239" t="s">
        <v>305</v>
      </c>
      <c r="B391" s="833"/>
      <c r="C391" s="833"/>
      <c r="D391" s="827"/>
      <c r="E391" s="836"/>
      <c r="F391" s="833"/>
      <c r="G391" s="833"/>
      <c r="H391" s="34"/>
      <c r="I391" s="288"/>
      <c r="J391" s="293"/>
      <c r="K391" s="254"/>
      <c r="L391" s="254"/>
      <c r="M391" s="289"/>
      <c r="N391" s="246"/>
      <c r="O391" s="423">
        <f t="shared" si="41"/>
        <v>0</v>
      </c>
    </row>
    <row r="392" spans="1:15" ht="15.75" hidden="1" customHeight="1" x14ac:dyDescent="0.25">
      <c r="A392" s="239" t="s">
        <v>306</v>
      </c>
      <c r="B392" s="833"/>
      <c r="C392" s="833"/>
      <c r="D392" s="827"/>
      <c r="E392" s="836"/>
      <c r="F392" s="833"/>
      <c r="G392" s="833"/>
      <c r="H392" s="34"/>
      <c r="I392" s="288"/>
      <c r="J392" s="293"/>
      <c r="K392" s="254"/>
      <c r="L392" s="254"/>
      <c r="M392" s="289"/>
      <c r="N392" s="246"/>
      <c r="O392" s="423">
        <f t="shared" si="41"/>
        <v>0</v>
      </c>
    </row>
    <row r="393" spans="1:15" ht="15.75" hidden="1" customHeight="1" x14ac:dyDescent="0.25">
      <c r="A393" s="239" t="s">
        <v>308</v>
      </c>
      <c r="B393" s="833"/>
      <c r="C393" s="833"/>
      <c r="D393" s="827"/>
      <c r="E393" s="836"/>
      <c r="F393" s="833"/>
      <c r="G393" s="833"/>
      <c r="H393" s="34"/>
      <c r="I393" s="254"/>
      <c r="J393" s="293"/>
      <c r="K393" s="254"/>
      <c r="L393" s="254"/>
      <c r="M393" s="289"/>
      <c r="N393" s="246"/>
      <c r="O393" s="423">
        <f t="shared" si="41"/>
        <v>0</v>
      </c>
    </row>
    <row r="394" spans="1:15" ht="15.75" hidden="1" customHeight="1" x14ac:dyDescent="0.25">
      <c r="A394" s="239" t="s">
        <v>309</v>
      </c>
      <c r="B394" s="833"/>
      <c r="C394" s="833"/>
      <c r="D394" s="827"/>
      <c r="E394" s="836"/>
      <c r="F394" s="833"/>
      <c r="G394" s="833"/>
      <c r="H394" s="34"/>
      <c r="I394" s="254"/>
      <c r="J394" s="293"/>
      <c r="K394" s="254"/>
      <c r="L394" s="254"/>
      <c r="M394" s="289"/>
      <c r="N394" s="246"/>
      <c r="O394" s="423">
        <f t="shared" si="41"/>
        <v>0</v>
      </c>
    </row>
    <row r="395" spans="1:15" ht="15.75" hidden="1" customHeight="1" x14ac:dyDescent="0.25">
      <c r="A395" s="239" t="s">
        <v>275</v>
      </c>
      <c r="B395" s="833"/>
      <c r="C395" s="833"/>
      <c r="D395" s="827"/>
      <c r="E395" s="836"/>
      <c r="F395" s="833"/>
      <c r="G395" s="833"/>
      <c r="H395" s="34"/>
      <c r="I395" s="254"/>
      <c r="J395" s="293"/>
      <c r="K395" s="254"/>
      <c r="L395" s="254"/>
      <c r="M395" s="289"/>
      <c r="N395" s="246"/>
      <c r="O395" s="423">
        <f t="shared" si="41"/>
        <v>0</v>
      </c>
    </row>
    <row r="396" spans="1:15" ht="15.75" hidden="1" customHeight="1" x14ac:dyDescent="0.25">
      <c r="A396" s="239" t="s">
        <v>281</v>
      </c>
      <c r="B396" s="833"/>
      <c r="C396" s="833"/>
      <c r="D396" s="827"/>
      <c r="E396" s="836"/>
      <c r="F396" s="833"/>
      <c r="G396" s="833"/>
      <c r="H396" s="34"/>
      <c r="I396" s="254"/>
      <c r="J396" s="293"/>
      <c r="K396" s="254"/>
      <c r="L396" s="254"/>
      <c r="M396" s="289"/>
      <c r="N396" s="246"/>
      <c r="O396" s="423">
        <f t="shared" si="41"/>
        <v>0</v>
      </c>
    </row>
    <row r="397" spans="1:15" ht="15.75" hidden="1" customHeight="1" x14ac:dyDescent="0.25">
      <c r="A397" s="239" t="s">
        <v>282</v>
      </c>
      <c r="B397" s="833"/>
      <c r="C397" s="833"/>
      <c r="D397" s="827"/>
      <c r="E397" s="836"/>
      <c r="F397" s="833"/>
      <c r="G397" s="833"/>
      <c r="H397" s="34"/>
      <c r="I397" s="254"/>
      <c r="J397" s="293"/>
      <c r="K397" s="254"/>
      <c r="L397" s="254"/>
      <c r="M397" s="289"/>
      <c r="N397" s="246"/>
      <c r="O397" s="423">
        <f t="shared" si="41"/>
        <v>0</v>
      </c>
    </row>
    <row r="398" spans="1:15" ht="15.75" hidden="1" customHeight="1" x14ac:dyDescent="0.25">
      <c r="A398" s="239" t="s">
        <v>283</v>
      </c>
      <c r="B398" s="833"/>
      <c r="C398" s="833"/>
      <c r="D398" s="827"/>
      <c r="E398" s="836"/>
      <c r="F398" s="833"/>
      <c r="G398" s="833"/>
      <c r="H398" s="34"/>
      <c r="I398" s="254"/>
      <c r="J398" s="293"/>
      <c r="K398" s="254"/>
      <c r="L398" s="254"/>
      <c r="M398" s="289"/>
      <c r="N398" s="246"/>
      <c r="O398" s="423">
        <f t="shared" si="41"/>
        <v>0</v>
      </c>
    </row>
    <row r="399" spans="1:15" ht="15.75" hidden="1" customHeight="1" x14ac:dyDescent="0.25">
      <c r="A399" s="239" t="s">
        <v>284</v>
      </c>
      <c r="B399" s="833"/>
      <c r="C399" s="833"/>
      <c r="D399" s="827"/>
      <c r="E399" s="836"/>
      <c r="F399" s="833"/>
      <c r="G399" s="833"/>
      <c r="H399" s="34"/>
      <c r="I399" s="254"/>
      <c r="J399" s="293"/>
      <c r="K399" s="254"/>
      <c r="L399" s="254"/>
      <c r="M399" s="289"/>
      <c r="N399" s="246"/>
      <c r="O399" s="423">
        <f t="shared" si="41"/>
        <v>0</v>
      </c>
    </row>
    <row r="400" spans="1:15" ht="15.75" hidden="1" customHeight="1" x14ac:dyDescent="0.25">
      <c r="A400" s="240" t="s">
        <v>285</v>
      </c>
      <c r="B400" s="834"/>
      <c r="C400" s="834"/>
      <c r="D400" s="828"/>
      <c r="E400" s="837"/>
      <c r="F400" s="834"/>
      <c r="G400" s="834"/>
      <c r="H400" s="278"/>
      <c r="I400" s="281"/>
      <c r="J400" s="296"/>
      <c r="K400" s="281"/>
      <c r="L400" s="281"/>
      <c r="M400" s="297"/>
      <c r="N400" s="298"/>
      <c r="O400" s="423">
        <f t="shared" si="41"/>
        <v>0</v>
      </c>
    </row>
    <row r="401" spans="1:15" ht="15.75" hidden="1" customHeight="1" x14ac:dyDescent="0.25">
      <c r="O401" s="421"/>
    </row>
    <row r="402" spans="1:15" ht="15.75" hidden="1" customHeight="1" x14ac:dyDescent="0.25">
      <c r="O402" s="421"/>
    </row>
    <row r="403" spans="1:15" ht="15.75" hidden="1" customHeight="1" x14ac:dyDescent="0.25">
      <c r="A403" s="243" t="s">
        <v>26</v>
      </c>
      <c r="B403" s="244" t="s">
        <v>323</v>
      </c>
      <c r="C403" s="244" t="s">
        <v>324</v>
      </c>
      <c r="D403" s="247" t="s">
        <v>325</v>
      </c>
      <c r="E403" s="248" t="s">
        <v>326</v>
      </c>
      <c r="F403" s="249" t="s">
        <v>425</v>
      </c>
      <c r="G403" s="249" t="s">
        <v>328</v>
      </c>
      <c r="H403" s="249" t="s">
        <v>426</v>
      </c>
      <c r="I403" s="249" t="s">
        <v>427</v>
      </c>
      <c r="J403" s="250" t="s">
        <v>428</v>
      </c>
      <c r="K403" s="249" t="s">
        <v>332</v>
      </c>
      <c r="L403" s="249" t="s">
        <v>333</v>
      </c>
      <c r="M403" s="249" t="s">
        <v>334</v>
      </c>
      <c r="N403" s="251" t="s">
        <v>335</v>
      </c>
      <c r="O403" s="421"/>
    </row>
    <row r="404" spans="1:15" ht="15.75" hidden="1" customHeight="1" x14ac:dyDescent="0.25">
      <c r="A404" s="239" t="s">
        <v>287</v>
      </c>
      <c r="B404" s="985" t="s">
        <v>343</v>
      </c>
      <c r="C404" s="986" t="s">
        <v>344</v>
      </c>
      <c r="D404" s="985" t="s">
        <v>350</v>
      </c>
      <c r="E404" s="986" t="s">
        <v>346</v>
      </c>
      <c r="F404" s="977">
        <v>100</v>
      </c>
      <c r="G404" s="977">
        <v>590</v>
      </c>
      <c r="H404" s="34"/>
      <c r="I404" s="254"/>
      <c r="J404" s="293"/>
      <c r="K404" s="254"/>
      <c r="L404" s="254"/>
      <c r="M404" s="289"/>
      <c r="N404" s="246"/>
      <c r="O404" s="422">
        <f t="shared" ref="O404:O415" si="42">LEN(N404)</f>
        <v>0</v>
      </c>
    </row>
    <row r="405" spans="1:15" ht="15.75" hidden="1" customHeight="1" x14ac:dyDescent="0.25">
      <c r="A405" s="239" t="s">
        <v>296</v>
      </c>
      <c r="B405" s="827"/>
      <c r="C405" s="836"/>
      <c r="D405" s="827"/>
      <c r="E405" s="836"/>
      <c r="F405" s="833"/>
      <c r="G405" s="833"/>
      <c r="H405" s="34"/>
      <c r="I405" s="254"/>
      <c r="J405" s="293"/>
      <c r="K405" s="254"/>
      <c r="L405" s="254"/>
      <c r="M405" s="289"/>
      <c r="N405" s="246"/>
      <c r="O405" s="422">
        <f t="shared" si="42"/>
        <v>0</v>
      </c>
    </row>
    <row r="406" spans="1:15" ht="15.75" hidden="1" customHeight="1" x14ac:dyDescent="0.25">
      <c r="A406" s="239" t="s">
        <v>305</v>
      </c>
      <c r="B406" s="827"/>
      <c r="C406" s="836"/>
      <c r="D406" s="827"/>
      <c r="E406" s="836"/>
      <c r="F406" s="833"/>
      <c r="G406" s="833"/>
      <c r="H406" s="34"/>
      <c r="I406" s="254"/>
      <c r="J406" s="293"/>
      <c r="K406" s="254"/>
      <c r="L406" s="254"/>
      <c r="M406" s="289"/>
      <c r="N406" s="246"/>
      <c r="O406" s="422">
        <f t="shared" si="42"/>
        <v>0</v>
      </c>
    </row>
    <row r="407" spans="1:15" ht="15.75" hidden="1" customHeight="1" x14ac:dyDescent="0.25">
      <c r="A407" s="239" t="s">
        <v>306</v>
      </c>
      <c r="B407" s="827"/>
      <c r="C407" s="836"/>
      <c r="D407" s="827"/>
      <c r="E407" s="836"/>
      <c r="F407" s="833"/>
      <c r="G407" s="833"/>
      <c r="H407" s="34"/>
      <c r="I407" s="254"/>
      <c r="J407" s="293"/>
      <c r="K407" s="254"/>
      <c r="L407" s="254"/>
      <c r="M407" s="289"/>
      <c r="N407" s="246"/>
      <c r="O407" s="422">
        <f t="shared" si="42"/>
        <v>0</v>
      </c>
    </row>
    <row r="408" spans="1:15" ht="15.75" hidden="1" customHeight="1" x14ac:dyDescent="0.25">
      <c r="A408" s="239" t="s">
        <v>308</v>
      </c>
      <c r="B408" s="827"/>
      <c r="C408" s="836"/>
      <c r="D408" s="827"/>
      <c r="E408" s="836"/>
      <c r="F408" s="833"/>
      <c r="G408" s="833"/>
      <c r="H408" s="34"/>
      <c r="I408" s="254"/>
      <c r="J408" s="293"/>
      <c r="K408" s="254"/>
      <c r="L408" s="254"/>
      <c r="M408" s="289"/>
      <c r="N408" s="246"/>
      <c r="O408" s="422">
        <f t="shared" si="42"/>
        <v>0</v>
      </c>
    </row>
    <row r="409" spans="1:15" ht="15.75" hidden="1" customHeight="1" x14ac:dyDescent="0.25">
      <c r="A409" s="239" t="s">
        <v>309</v>
      </c>
      <c r="B409" s="827"/>
      <c r="C409" s="836"/>
      <c r="D409" s="827"/>
      <c r="E409" s="836"/>
      <c r="F409" s="833"/>
      <c r="G409" s="833"/>
      <c r="H409" s="34"/>
      <c r="I409" s="254"/>
      <c r="J409" s="293"/>
      <c r="K409" s="254"/>
      <c r="L409" s="254"/>
      <c r="M409" s="289"/>
      <c r="N409" s="246"/>
      <c r="O409" s="422">
        <f t="shared" si="42"/>
        <v>0</v>
      </c>
    </row>
    <row r="410" spans="1:15" ht="15.75" hidden="1" customHeight="1" x14ac:dyDescent="0.25">
      <c r="A410" s="239" t="s">
        <v>275</v>
      </c>
      <c r="B410" s="827"/>
      <c r="C410" s="836"/>
      <c r="D410" s="827"/>
      <c r="E410" s="836"/>
      <c r="F410" s="833"/>
      <c r="G410" s="833"/>
      <c r="H410" s="34"/>
      <c r="I410" s="254"/>
      <c r="J410" s="293"/>
      <c r="K410" s="254"/>
      <c r="L410" s="254"/>
      <c r="M410" s="289"/>
      <c r="N410" s="246"/>
      <c r="O410" s="422">
        <f t="shared" si="42"/>
        <v>0</v>
      </c>
    </row>
    <row r="411" spans="1:15" ht="15.75" hidden="1" customHeight="1" x14ac:dyDescent="0.25">
      <c r="A411" s="239" t="s">
        <v>281</v>
      </c>
      <c r="B411" s="827"/>
      <c r="C411" s="836"/>
      <c r="D411" s="827"/>
      <c r="E411" s="836"/>
      <c r="F411" s="833"/>
      <c r="G411" s="833"/>
      <c r="H411" s="34"/>
      <c r="I411" s="254"/>
      <c r="J411" s="293"/>
      <c r="K411" s="254"/>
      <c r="L411" s="254"/>
      <c r="M411" s="289"/>
      <c r="N411" s="246"/>
      <c r="O411" s="422">
        <f t="shared" si="42"/>
        <v>0</v>
      </c>
    </row>
    <row r="412" spans="1:15" ht="15.75" hidden="1" customHeight="1" x14ac:dyDescent="0.25">
      <c r="A412" s="239" t="s">
        <v>282</v>
      </c>
      <c r="B412" s="827"/>
      <c r="C412" s="836"/>
      <c r="D412" s="827"/>
      <c r="E412" s="836"/>
      <c r="F412" s="833"/>
      <c r="G412" s="833"/>
      <c r="H412" s="34"/>
      <c r="I412" s="254"/>
      <c r="J412" s="293"/>
      <c r="K412" s="254"/>
      <c r="L412" s="254"/>
      <c r="M412" s="289"/>
      <c r="N412" s="246"/>
      <c r="O412" s="422">
        <f t="shared" si="42"/>
        <v>0</v>
      </c>
    </row>
    <row r="413" spans="1:15" ht="15.75" hidden="1" customHeight="1" x14ac:dyDescent="0.25">
      <c r="A413" s="239" t="s">
        <v>283</v>
      </c>
      <c r="B413" s="827"/>
      <c r="C413" s="836"/>
      <c r="D413" s="827"/>
      <c r="E413" s="836"/>
      <c r="F413" s="833"/>
      <c r="G413" s="833"/>
      <c r="H413" s="34"/>
      <c r="I413" s="254"/>
      <c r="J413" s="293"/>
      <c r="K413" s="254"/>
      <c r="L413" s="254"/>
      <c r="M413" s="289"/>
      <c r="N413" s="246"/>
      <c r="O413" s="422">
        <f t="shared" si="42"/>
        <v>0</v>
      </c>
    </row>
    <row r="414" spans="1:15" ht="15.75" hidden="1" customHeight="1" x14ac:dyDescent="0.25">
      <c r="A414" s="239" t="s">
        <v>284</v>
      </c>
      <c r="B414" s="827"/>
      <c r="C414" s="836"/>
      <c r="D414" s="827"/>
      <c r="E414" s="836"/>
      <c r="F414" s="833"/>
      <c r="G414" s="833"/>
      <c r="H414" s="34"/>
      <c r="I414" s="254"/>
      <c r="J414" s="293"/>
      <c r="K414" s="254"/>
      <c r="L414" s="254"/>
      <c r="M414" s="289"/>
      <c r="N414" s="246"/>
      <c r="O414" s="422">
        <f t="shared" si="42"/>
        <v>0</v>
      </c>
    </row>
    <row r="415" spans="1:15" ht="15.75" hidden="1" customHeight="1" x14ac:dyDescent="0.25">
      <c r="A415" s="240" t="s">
        <v>285</v>
      </c>
      <c r="B415" s="828"/>
      <c r="C415" s="837"/>
      <c r="D415" s="828"/>
      <c r="E415" s="837"/>
      <c r="F415" s="834"/>
      <c r="G415" s="834"/>
      <c r="H415" s="278"/>
      <c r="I415" s="281"/>
      <c r="J415" s="296"/>
      <c r="K415" s="281"/>
      <c r="L415" s="281"/>
      <c r="M415" s="297"/>
      <c r="N415" s="298"/>
      <c r="O415" s="422">
        <f t="shared" si="42"/>
        <v>0</v>
      </c>
    </row>
    <row r="416" spans="1:15" ht="15.75" hidden="1" customHeight="1" x14ac:dyDescent="0.25">
      <c r="O416" s="421"/>
    </row>
    <row r="417" spans="1:15" ht="15.75" hidden="1" customHeight="1" x14ac:dyDescent="0.25">
      <c r="O417" s="421"/>
    </row>
    <row r="418" spans="1:15" ht="15.75" hidden="1" customHeight="1" x14ac:dyDescent="0.25">
      <c r="A418" s="269" t="s">
        <v>26</v>
      </c>
      <c r="B418" s="249" t="s">
        <v>323</v>
      </c>
      <c r="C418" s="249" t="s">
        <v>324</v>
      </c>
      <c r="D418" s="270" t="s">
        <v>325</v>
      </c>
      <c r="E418" s="248" t="s">
        <v>326</v>
      </c>
      <c r="F418" s="249" t="s">
        <v>425</v>
      </c>
      <c r="G418" s="249" t="s">
        <v>328</v>
      </c>
      <c r="H418" s="249" t="s">
        <v>426</v>
      </c>
      <c r="I418" s="249" t="s">
        <v>427</v>
      </c>
      <c r="J418" s="250" t="s">
        <v>428</v>
      </c>
      <c r="K418" s="249" t="s">
        <v>332</v>
      </c>
      <c r="L418" s="249" t="s">
        <v>333</v>
      </c>
      <c r="M418" s="249" t="s">
        <v>334</v>
      </c>
      <c r="N418" s="251" t="s">
        <v>335</v>
      </c>
      <c r="O418" s="421"/>
    </row>
    <row r="419" spans="1:15" ht="15.75" hidden="1" customHeight="1" x14ac:dyDescent="0.25">
      <c r="A419" s="239" t="s">
        <v>287</v>
      </c>
      <c r="B419" s="972" t="s">
        <v>354</v>
      </c>
      <c r="C419" s="972" t="s">
        <v>355</v>
      </c>
      <c r="D419" s="985" t="s">
        <v>356</v>
      </c>
      <c r="E419" s="995" t="s">
        <v>339</v>
      </c>
      <c r="F419" s="977">
        <v>100</v>
      </c>
      <c r="G419" s="977">
        <v>4</v>
      </c>
      <c r="H419" s="253"/>
      <c r="I419" s="254"/>
      <c r="J419" s="293"/>
      <c r="K419" s="254"/>
      <c r="L419" s="254"/>
      <c r="M419" s="289"/>
      <c r="N419" s="246"/>
      <c r="O419" s="422">
        <f t="shared" ref="O419:O430" si="43">LEN(N419)</f>
        <v>0</v>
      </c>
    </row>
    <row r="420" spans="1:15" ht="15.75" hidden="1" customHeight="1" x14ac:dyDescent="0.25">
      <c r="A420" s="239" t="s">
        <v>296</v>
      </c>
      <c r="B420" s="833"/>
      <c r="C420" s="833"/>
      <c r="D420" s="827"/>
      <c r="E420" s="836"/>
      <c r="F420" s="833"/>
      <c r="G420" s="833"/>
      <c r="H420" s="253"/>
      <c r="I420" s="254"/>
      <c r="J420" s="293"/>
      <c r="K420" s="254"/>
      <c r="L420" s="254"/>
      <c r="M420" s="289"/>
      <c r="N420" s="300"/>
      <c r="O420" s="422">
        <f t="shared" si="43"/>
        <v>0</v>
      </c>
    </row>
    <row r="421" spans="1:15" ht="15.75" hidden="1" customHeight="1" x14ac:dyDescent="0.25">
      <c r="A421" s="239" t="s">
        <v>305</v>
      </c>
      <c r="B421" s="833"/>
      <c r="C421" s="833"/>
      <c r="D421" s="827"/>
      <c r="E421" s="836"/>
      <c r="F421" s="833"/>
      <c r="G421" s="833"/>
      <c r="H421" s="253"/>
      <c r="I421" s="254"/>
      <c r="J421" s="293"/>
      <c r="K421" s="254"/>
      <c r="L421" s="254"/>
      <c r="M421" s="289"/>
      <c r="N421" s="300"/>
      <c r="O421" s="422">
        <f t="shared" si="43"/>
        <v>0</v>
      </c>
    </row>
    <row r="422" spans="1:15" ht="15.75" hidden="1" customHeight="1" x14ac:dyDescent="0.25">
      <c r="A422" s="239" t="s">
        <v>306</v>
      </c>
      <c r="B422" s="833"/>
      <c r="C422" s="833"/>
      <c r="D422" s="827"/>
      <c r="E422" s="836"/>
      <c r="F422" s="833"/>
      <c r="G422" s="833"/>
      <c r="H422" s="253"/>
      <c r="I422" s="254"/>
      <c r="J422" s="293"/>
      <c r="K422" s="254"/>
      <c r="L422" s="254"/>
      <c r="M422" s="289"/>
      <c r="N422" s="300"/>
      <c r="O422" s="422">
        <f t="shared" si="43"/>
        <v>0</v>
      </c>
    </row>
    <row r="423" spans="1:15" ht="15.75" hidden="1" customHeight="1" x14ac:dyDescent="0.25">
      <c r="A423" s="239" t="s">
        <v>308</v>
      </c>
      <c r="B423" s="833"/>
      <c r="C423" s="833"/>
      <c r="D423" s="827"/>
      <c r="E423" s="836"/>
      <c r="F423" s="833"/>
      <c r="G423" s="833"/>
      <c r="H423" s="253"/>
      <c r="I423" s="254"/>
      <c r="J423" s="293"/>
      <c r="K423" s="254"/>
      <c r="L423" s="254"/>
      <c r="M423" s="289"/>
      <c r="N423" s="300"/>
      <c r="O423" s="422">
        <f t="shared" si="43"/>
        <v>0</v>
      </c>
    </row>
    <row r="424" spans="1:15" ht="15.75" hidden="1" customHeight="1" x14ac:dyDescent="0.25">
      <c r="A424" s="239" t="s">
        <v>309</v>
      </c>
      <c r="B424" s="833"/>
      <c r="C424" s="833"/>
      <c r="D424" s="827"/>
      <c r="E424" s="836"/>
      <c r="F424" s="833"/>
      <c r="G424" s="833"/>
      <c r="H424" s="253"/>
      <c r="I424" s="254"/>
      <c r="J424" s="293"/>
      <c r="K424" s="254"/>
      <c r="L424" s="254"/>
      <c r="M424" s="289"/>
      <c r="N424" s="300"/>
      <c r="O424" s="422">
        <f t="shared" si="43"/>
        <v>0</v>
      </c>
    </row>
    <row r="425" spans="1:15" ht="15.75" hidden="1" customHeight="1" x14ac:dyDescent="0.25">
      <c r="A425" s="239" t="s">
        <v>275</v>
      </c>
      <c r="B425" s="833"/>
      <c r="C425" s="833"/>
      <c r="D425" s="827"/>
      <c r="E425" s="836"/>
      <c r="F425" s="833"/>
      <c r="G425" s="833"/>
      <c r="H425" s="253"/>
      <c r="I425" s="254"/>
      <c r="J425" s="293"/>
      <c r="K425" s="254"/>
      <c r="L425" s="254"/>
      <c r="M425" s="289"/>
      <c r="N425" s="300"/>
      <c r="O425" s="422">
        <f t="shared" si="43"/>
        <v>0</v>
      </c>
    </row>
    <row r="426" spans="1:15" ht="15.75" hidden="1" customHeight="1" x14ac:dyDescent="0.25">
      <c r="A426" s="239" t="s">
        <v>281</v>
      </c>
      <c r="B426" s="833"/>
      <c r="C426" s="833"/>
      <c r="D426" s="827"/>
      <c r="E426" s="836"/>
      <c r="F426" s="833"/>
      <c r="G426" s="833"/>
      <c r="H426" s="253"/>
      <c r="I426" s="254"/>
      <c r="J426" s="293"/>
      <c r="K426" s="254"/>
      <c r="L426" s="254"/>
      <c r="M426" s="289"/>
      <c r="N426" s="300"/>
      <c r="O426" s="422">
        <f t="shared" si="43"/>
        <v>0</v>
      </c>
    </row>
    <row r="427" spans="1:15" ht="15.75" hidden="1" customHeight="1" x14ac:dyDescent="0.25">
      <c r="A427" s="239" t="s">
        <v>282</v>
      </c>
      <c r="B427" s="833"/>
      <c r="C427" s="833"/>
      <c r="D427" s="827"/>
      <c r="E427" s="836"/>
      <c r="F427" s="833"/>
      <c r="G427" s="833"/>
      <c r="H427" s="253"/>
      <c r="I427" s="254"/>
      <c r="J427" s="293"/>
      <c r="K427" s="254"/>
      <c r="L427" s="254"/>
      <c r="M427" s="289"/>
      <c r="N427" s="300"/>
      <c r="O427" s="422">
        <f t="shared" si="43"/>
        <v>0</v>
      </c>
    </row>
    <row r="428" spans="1:15" ht="15.75" hidden="1" customHeight="1" x14ac:dyDescent="0.25">
      <c r="A428" s="239" t="s">
        <v>283</v>
      </c>
      <c r="B428" s="833"/>
      <c r="C428" s="833"/>
      <c r="D428" s="827"/>
      <c r="E428" s="836"/>
      <c r="F428" s="833"/>
      <c r="G428" s="833"/>
      <c r="H428" s="253"/>
      <c r="I428" s="254"/>
      <c r="J428" s="293"/>
      <c r="K428" s="254"/>
      <c r="L428" s="254"/>
      <c r="M428" s="289"/>
      <c r="N428" s="300"/>
      <c r="O428" s="422">
        <f t="shared" si="43"/>
        <v>0</v>
      </c>
    </row>
    <row r="429" spans="1:15" ht="15.75" hidden="1" customHeight="1" x14ac:dyDescent="0.25">
      <c r="A429" s="239" t="s">
        <v>284</v>
      </c>
      <c r="B429" s="833"/>
      <c r="C429" s="833"/>
      <c r="D429" s="827"/>
      <c r="E429" s="836"/>
      <c r="F429" s="833"/>
      <c r="G429" s="833"/>
      <c r="H429" s="253"/>
      <c r="I429" s="288"/>
      <c r="J429" s="293"/>
      <c r="K429" s="254"/>
      <c r="L429" s="254"/>
      <c r="M429" s="289"/>
      <c r="N429" s="300"/>
      <c r="O429" s="422">
        <f t="shared" si="43"/>
        <v>0</v>
      </c>
    </row>
    <row r="430" spans="1:15" ht="15.75" hidden="1" customHeight="1" x14ac:dyDescent="0.25">
      <c r="A430" s="240" t="s">
        <v>285</v>
      </c>
      <c r="B430" s="834"/>
      <c r="C430" s="834"/>
      <c r="D430" s="828"/>
      <c r="E430" s="837"/>
      <c r="F430" s="834"/>
      <c r="G430" s="834"/>
      <c r="H430" s="278"/>
      <c r="I430" s="295"/>
      <c r="J430" s="296"/>
      <c r="K430" s="281"/>
      <c r="L430" s="281"/>
      <c r="M430" s="297"/>
      <c r="N430" s="301"/>
      <c r="O430" s="422">
        <f t="shared" si="43"/>
        <v>0</v>
      </c>
    </row>
    <row r="431" spans="1:15" ht="15.75" hidden="1" customHeight="1" x14ac:dyDescent="0.3">
      <c r="A431" s="974" t="s">
        <v>429</v>
      </c>
      <c r="B431" s="716"/>
      <c r="C431" s="716"/>
      <c r="D431" s="716"/>
      <c r="E431" s="716"/>
      <c r="F431" s="716"/>
      <c r="G431" s="815"/>
      <c r="O431" s="421"/>
    </row>
    <row r="432" spans="1:15" ht="15.75" hidden="1" customHeight="1" x14ac:dyDescent="0.25">
      <c r="A432" s="243" t="s">
        <v>24</v>
      </c>
      <c r="B432" s="302" t="s">
        <v>323</v>
      </c>
      <c r="C432" s="302" t="s">
        <v>324</v>
      </c>
      <c r="D432" s="302" t="s">
        <v>430</v>
      </c>
      <c r="E432" s="302" t="s">
        <v>431</v>
      </c>
      <c r="F432" s="302" t="s">
        <v>432</v>
      </c>
      <c r="G432" s="303" t="s">
        <v>433</v>
      </c>
      <c r="O432" s="421"/>
    </row>
    <row r="433" spans="1:15" ht="15.75" hidden="1" customHeight="1" x14ac:dyDescent="0.25">
      <c r="A433" s="304" t="s">
        <v>275</v>
      </c>
      <c r="B433" s="972" t="s">
        <v>336</v>
      </c>
      <c r="C433" s="984" t="s">
        <v>434</v>
      </c>
      <c r="D433" s="979" t="s">
        <v>435</v>
      </c>
      <c r="E433" s="305">
        <v>2239274028</v>
      </c>
      <c r="F433" s="305">
        <v>15250000</v>
      </c>
      <c r="G433" s="306" t="s">
        <v>436</v>
      </c>
      <c r="H433" s="4">
        <f t="shared" ref="H433:H438" si="44">LEN(G433)</f>
        <v>27</v>
      </c>
      <c r="N433" s="307"/>
      <c r="O433" s="421"/>
    </row>
    <row r="434" spans="1:15" ht="15.75" hidden="1" customHeight="1" x14ac:dyDescent="0.25">
      <c r="A434" s="252" t="s">
        <v>281</v>
      </c>
      <c r="B434" s="833"/>
      <c r="C434" s="833"/>
      <c r="D434" s="833"/>
      <c r="E434" s="308">
        <v>2239274028</v>
      </c>
      <c r="F434" s="308">
        <v>186734000</v>
      </c>
      <c r="G434" s="246"/>
      <c r="H434" s="4">
        <f t="shared" si="44"/>
        <v>0</v>
      </c>
      <c r="O434" s="421"/>
    </row>
    <row r="435" spans="1:15" ht="15.75" hidden="1" customHeight="1" x14ac:dyDescent="0.25">
      <c r="A435" s="252" t="s">
        <v>282</v>
      </c>
      <c r="B435" s="833"/>
      <c r="C435" s="833"/>
      <c r="D435" s="833"/>
      <c r="E435" s="308">
        <v>2239274028</v>
      </c>
      <c r="F435" s="308">
        <v>208535000</v>
      </c>
      <c r="G435" s="246"/>
      <c r="H435" s="4">
        <f t="shared" si="44"/>
        <v>0</v>
      </c>
      <c r="O435" s="421"/>
    </row>
    <row r="436" spans="1:15" ht="15.75" hidden="1" customHeight="1" x14ac:dyDescent="0.25">
      <c r="A436" s="255" t="s">
        <v>283</v>
      </c>
      <c r="B436" s="833"/>
      <c r="C436" s="833"/>
      <c r="D436" s="833"/>
      <c r="E436" s="309">
        <v>2239274028</v>
      </c>
      <c r="F436" s="309" t="e">
        <v>#REF!</v>
      </c>
      <c r="G436" s="258" t="s">
        <v>437</v>
      </c>
      <c r="H436" s="4">
        <f t="shared" si="44"/>
        <v>69</v>
      </c>
      <c r="O436" s="421"/>
    </row>
    <row r="437" spans="1:15" ht="15.75" hidden="1" customHeight="1" x14ac:dyDescent="0.25">
      <c r="A437" s="310" t="s">
        <v>284</v>
      </c>
      <c r="B437" s="833"/>
      <c r="C437" s="833"/>
      <c r="D437" s="833"/>
      <c r="E437" s="309" t="e">
        <v>#REF!</v>
      </c>
      <c r="F437" s="309" t="e">
        <v>#REF!</v>
      </c>
      <c r="G437" s="258" t="s">
        <v>438</v>
      </c>
      <c r="H437" s="4">
        <f t="shared" si="44"/>
        <v>107</v>
      </c>
      <c r="O437" s="421"/>
    </row>
    <row r="438" spans="1:15" ht="15.75" hidden="1" customHeight="1" x14ac:dyDescent="0.25">
      <c r="A438" s="261" t="s">
        <v>285</v>
      </c>
      <c r="B438" s="834"/>
      <c r="C438" s="834"/>
      <c r="D438" s="834"/>
      <c r="E438" s="311" t="e">
        <v>#REF!</v>
      </c>
      <c r="F438" s="311" t="e">
        <v>#REF!</v>
      </c>
      <c r="G438" s="312" t="s">
        <v>439</v>
      </c>
      <c r="H438" s="4">
        <f t="shared" si="44"/>
        <v>222</v>
      </c>
      <c r="O438" s="421"/>
    </row>
    <row r="439" spans="1:15" ht="15.75" hidden="1" customHeight="1" x14ac:dyDescent="0.25">
      <c r="A439" s="267"/>
      <c r="B439" s="267"/>
      <c r="C439" s="267"/>
      <c r="D439" s="267"/>
      <c r="E439" s="267"/>
      <c r="F439" s="267"/>
      <c r="G439" s="267"/>
      <c r="O439" s="421"/>
    </row>
    <row r="440" spans="1:15" ht="15.75" hidden="1" customHeight="1" x14ac:dyDescent="0.25">
      <c r="A440" s="267"/>
      <c r="B440" s="267"/>
      <c r="C440" s="267"/>
      <c r="D440" s="267"/>
      <c r="E440" s="267"/>
      <c r="F440" s="267"/>
      <c r="G440" s="267"/>
      <c r="O440" s="421"/>
    </row>
    <row r="441" spans="1:15" ht="15.75" hidden="1" customHeight="1" x14ac:dyDescent="0.25">
      <c r="A441" s="243" t="s">
        <v>24</v>
      </c>
      <c r="B441" s="302" t="s">
        <v>323</v>
      </c>
      <c r="C441" s="302" t="s">
        <v>324</v>
      </c>
      <c r="D441" s="302" t="s">
        <v>430</v>
      </c>
      <c r="E441" s="135" t="s">
        <v>431</v>
      </c>
      <c r="F441" s="135" t="s">
        <v>432</v>
      </c>
      <c r="G441" s="136" t="s">
        <v>433</v>
      </c>
      <c r="O441" s="421"/>
    </row>
    <row r="442" spans="1:15" ht="15.75" hidden="1" customHeight="1" x14ac:dyDescent="0.25">
      <c r="A442" s="304" t="s">
        <v>275</v>
      </c>
      <c r="B442" s="972" t="s">
        <v>343</v>
      </c>
      <c r="C442" s="972" t="s">
        <v>344</v>
      </c>
      <c r="D442" s="988" t="s">
        <v>440</v>
      </c>
      <c r="E442" s="308">
        <v>632180000</v>
      </c>
      <c r="F442" s="308">
        <v>0</v>
      </c>
      <c r="G442" s="146" t="s">
        <v>441</v>
      </c>
      <c r="H442" s="4">
        <f t="shared" ref="H442:H447" si="45">LEN(G442)</f>
        <v>30</v>
      </c>
      <c r="O442" s="421"/>
    </row>
    <row r="443" spans="1:15" ht="15.75" hidden="1" customHeight="1" x14ac:dyDescent="0.25">
      <c r="A443" s="252" t="s">
        <v>281</v>
      </c>
      <c r="B443" s="833"/>
      <c r="C443" s="833"/>
      <c r="D443" s="833"/>
      <c r="E443" s="308">
        <v>632180000</v>
      </c>
      <c r="F443" s="308">
        <v>183792000</v>
      </c>
      <c r="G443" s="146"/>
      <c r="H443" s="4">
        <f t="shared" si="45"/>
        <v>0</v>
      </c>
      <c r="O443" s="421"/>
    </row>
    <row r="444" spans="1:15" ht="15.75" hidden="1" customHeight="1" x14ac:dyDescent="0.25">
      <c r="A444" s="252" t="s">
        <v>282</v>
      </c>
      <c r="B444" s="833"/>
      <c r="C444" s="833"/>
      <c r="D444" s="833"/>
      <c r="E444" s="308">
        <v>632180000</v>
      </c>
      <c r="F444" s="308">
        <v>190062000</v>
      </c>
      <c r="G444" s="146"/>
      <c r="H444" s="4">
        <f t="shared" si="45"/>
        <v>0</v>
      </c>
      <c r="O444" s="421"/>
    </row>
    <row r="445" spans="1:15" ht="15.75" hidden="1" customHeight="1" x14ac:dyDescent="0.25">
      <c r="A445" s="255" t="s">
        <v>283</v>
      </c>
      <c r="B445" s="833"/>
      <c r="C445" s="833"/>
      <c r="D445" s="833"/>
      <c r="E445" s="309">
        <v>632180000</v>
      </c>
      <c r="F445" s="309" t="e">
        <v>#REF!</v>
      </c>
      <c r="G445" s="256" t="s">
        <v>442</v>
      </c>
      <c r="H445" s="4">
        <f t="shared" si="45"/>
        <v>48</v>
      </c>
      <c r="O445" s="421"/>
    </row>
    <row r="446" spans="1:15" ht="15.75" hidden="1" customHeight="1" x14ac:dyDescent="0.25">
      <c r="A446" s="255" t="s">
        <v>284</v>
      </c>
      <c r="B446" s="833"/>
      <c r="C446" s="833"/>
      <c r="D446" s="833"/>
      <c r="E446" s="309" t="e">
        <v>#REF!</v>
      </c>
      <c r="F446" s="309" t="e">
        <v>#REF!</v>
      </c>
      <c r="G446" s="256" t="s">
        <v>443</v>
      </c>
      <c r="H446" s="4">
        <f t="shared" si="45"/>
        <v>87</v>
      </c>
      <c r="N446" s="307"/>
      <c r="O446" s="421"/>
    </row>
    <row r="447" spans="1:15" ht="15.75" hidden="1" customHeight="1" x14ac:dyDescent="0.25">
      <c r="A447" s="261" t="s">
        <v>285</v>
      </c>
      <c r="B447" s="834"/>
      <c r="C447" s="834"/>
      <c r="D447" s="834"/>
      <c r="E447" s="311" t="e">
        <v>#REF!</v>
      </c>
      <c r="F447" s="311" t="e">
        <v>#REF!</v>
      </c>
      <c r="G447" s="313" t="s">
        <v>444</v>
      </c>
      <c r="H447" s="4">
        <f t="shared" si="45"/>
        <v>139</v>
      </c>
      <c r="N447" s="307"/>
      <c r="O447" s="421"/>
    </row>
    <row r="448" spans="1:15" ht="15.75" hidden="1" customHeight="1" x14ac:dyDescent="0.25">
      <c r="A448" s="267"/>
      <c r="B448" s="267"/>
      <c r="C448" s="267"/>
      <c r="D448" s="267"/>
      <c r="E448" s="267"/>
      <c r="F448" s="267"/>
      <c r="G448" s="267"/>
      <c r="O448" s="421"/>
    </row>
    <row r="449" spans="1:15" ht="15.75" hidden="1" customHeight="1" x14ac:dyDescent="0.25">
      <c r="A449" s="267"/>
      <c r="B449" s="267"/>
      <c r="C449" s="267"/>
      <c r="D449" s="267"/>
      <c r="E449" s="267"/>
      <c r="F449" s="267"/>
      <c r="G449" s="267"/>
      <c r="O449" s="421"/>
    </row>
    <row r="450" spans="1:15" ht="15.75" hidden="1" customHeight="1" x14ac:dyDescent="0.25">
      <c r="A450" s="243" t="s">
        <v>24</v>
      </c>
      <c r="B450" s="302" t="s">
        <v>323</v>
      </c>
      <c r="C450" s="302" t="s">
        <v>324</v>
      </c>
      <c r="D450" s="302" t="s">
        <v>430</v>
      </c>
      <c r="E450" s="135" t="s">
        <v>431</v>
      </c>
      <c r="F450" s="135" t="s">
        <v>432</v>
      </c>
      <c r="G450" s="136" t="s">
        <v>433</v>
      </c>
      <c r="O450" s="421"/>
    </row>
    <row r="451" spans="1:15" ht="15.75" hidden="1" customHeight="1" x14ac:dyDescent="0.25">
      <c r="A451" s="304" t="s">
        <v>275</v>
      </c>
      <c r="B451" s="972" t="s">
        <v>343</v>
      </c>
      <c r="C451" s="972" t="s">
        <v>344</v>
      </c>
      <c r="D451" s="979" t="s">
        <v>445</v>
      </c>
      <c r="E451" s="308">
        <v>846820000</v>
      </c>
      <c r="F451" s="308">
        <v>0</v>
      </c>
      <c r="G451" s="146" t="s">
        <v>441</v>
      </c>
      <c r="H451" s="4">
        <f t="shared" ref="H451:H456" si="46">LEN(G451)</f>
        <v>30</v>
      </c>
      <c r="O451" s="421"/>
    </row>
    <row r="452" spans="1:15" ht="15.75" hidden="1" customHeight="1" x14ac:dyDescent="0.25">
      <c r="A452" s="252" t="s">
        <v>281</v>
      </c>
      <c r="B452" s="833"/>
      <c r="C452" s="833"/>
      <c r="D452" s="833"/>
      <c r="E452" s="308">
        <v>846820000</v>
      </c>
      <c r="F452" s="308">
        <v>298980000</v>
      </c>
      <c r="G452" s="146"/>
      <c r="H452" s="4">
        <f t="shared" si="46"/>
        <v>0</v>
      </c>
      <c r="O452" s="421"/>
    </row>
    <row r="453" spans="1:15" ht="15.75" hidden="1" customHeight="1" x14ac:dyDescent="0.25">
      <c r="A453" s="252" t="s">
        <v>282</v>
      </c>
      <c r="B453" s="833"/>
      <c r="C453" s="833"/>
      <c r="D453" s="833"/>
      <c r="E453" s="308">
        <v>846820000</v>
      </c>
      <c r="F453" s="308">
        <v>316529347</v>
      </c>
      <c r="G453" s="146"/>
      <c r="H453" s="4">
        <f t="shared" si="46"/>
        <v>0</v>
      </c>
      <c r="O453" s="421"/>
    </row>
    <row r="454" spans="1:15" ht="15.75" hidden="1" customHeight="1" x14ac:dyDescent="0.25">
      <c r="A454" s="255" t="s">
        <v>283</v>
      </c>
      <c r="B454" s="833"/>
      <c r="C454" s="833"/>
      <c r="D454" s="833"/>
      <c r="E454" s="309">
        <v>846820000</v>
      </c>
      <c r="F454" s="309" t="e">
        <v>#REF!</v>
      </c>
      <c r="G454" s="256" t="s">
        <v>446</v>
      </c>
      <c r="H454" s="4">
        <f t="shared" si="46"/>
        <v>72</v>
      </c>
      <c r="O454" s="421"/>
    </row>
    <row r="455" spans="1:15" ht="15.75" hidden="1" customHeight="1" x14ac:dyDescent="0.25">
      <c r="A455" s="310" t="s">
        <v>284</v>
      </c>
      <c r="B455" s="833"/>
      <c r="C455" s="833"/>
      <c r="D455" s="833"/>
      <c r="E455" s="309" t="e">
        <v>#REF!</v>
      </c>
      <c r="F455" s="309" t="e">
        <v>#REF!</v>
      </c>
      <c r="G455" s="256" t="s">
        <v>447</v>
      </c>
      <c r="H455" s="4">
        <f t="shared" si="46"/>
        <v>111</v>
      </c>
      <c r="O455" s="421"/>
    </row>
    <row r="456" spans="1:15" ht="15.75" hidden="1" customHeight="1" x14ac:dyDescent="0.25">
      <c r="A456" s="261" t="s">
        <v>285</v>
      </c>
      <c r="B456" s="834"/>
      <c r="C456" s="834"/>
      <c r="D456" s="834"/>
      <c r="E456" s="314" t="e">
        <v>#REF!</v>
      </c>
      <c r="F456" s="314" t="e">
        <v>#REF!</v>
      </c>
      <c r="G456" s="313" t="s">
        <v>448</v>
      </c>
      <c r="H456" s="4">
        <f t="shared" si="46"/>
        <v>223</v>
      </c>
      <c r="O456" s="421"/>
    </row>
    <row r="457" spans="1:15" ht="15.75" hidden="1" customHeight="1" x14ac:dyDescent="0.25">
      <c r="A457" s="267"/>
      <c r="B457" s="267"/>
      <c r="C457" s="267"/>
      <c r="D457" s="267"/>
      <c r="E457" s="267"/>
      <c r="F457" s="267"/>
      <c r="G457" s="267"/>
      <c r="O457" s="421"/>
    </row>
    <row r="458" spans="1:15" ht="15.75" hidden="1" customHeight="1" x14ac:dyDescent="0.25">
      <c r="A458" s="267"/>
      <c r="B458" s="267"/>
      <c r="C458" s="267"/>
      <c r="D458" s="267"/>
      <c r="E458" s="267"/>
      <c r="F458" s="267"/>
      <c r="G458" s="267"/>
      <c r="O458" s="421"/>
    </row>
    <row r="459" spans="1:15" ht="15.75" hidden="1" customHeight="1" x14ac:dyDescent="0.25">
      <c r="A459" s="243" t="s">
        <v>24</v>
      </c>
      <c r="B459" s="302" t="s">
        <v>323</v>
      </c>
      <c r="C459" s="302" t="s">
        <v>324</v>
      </c>
      <c r="D459" s="302" t="s">
        <v>430</v>
      </c>
      <c r="E459" s="135" t="s">
        <v>431</v>
      </c>
      <c r="F459" s="135" t="s">
        <v>432</v>
      </c>
      <c r="G459" s="136" t="s">
        <v>433</v>
      </c>
      <c r="O459" s="421"/>
    </row>
    <row r="460" spans="1:15" ht="15.75" hidden="1" customHeight="1" x14ac:dyDescent="0.25">
      <c r="A460" s="304" t="s">
        <v>275</v>
      </c>
      <c r="B460" s="972" t="s">
        <v>354</v>
      </c>
      <c r="C460" s="972" t="s">
        <v>355</v>
      </c>
      <c r="D460" s="979" t="s">
        <v>449</v>
      </c>
      <c r="E460" s="308">
        <v>201000000</v>
      </c>
      <c r="F460" s="308">
        <v>0</v>
      </c>
      <c r="G460" s="146" t="s">
        <v>441</v>
      </c>
      <c r="H460" s="4">
        <f t="shared" ref="H460:H465" si="47">LEN(G460)</f>
        <v>30</v>
      </c>
      <c r="O460" s="421"/>
    </row>
    <row r="461" spans="1:15" ht="15.75" hidden="1" customHeight="1" x14ac:dyDescent="0.25">
      <c r="A461" s="252" t="s">
        <v>281</v>
      </c>
      <c r="B461" s="833"/>
      <c r="C461" s="833"/>
      <c r="D461" s="833"/>
      <c r="E461" s="308">
        <v>201000000</v>
      </c>
      <c r="F461" s="308">
        <v>71564000</v>
      </c>
      <c r="G461" s="146"/>
      <c r="H461" s="4">
        <f t="shared" si="47"/>
        <v>0</v>
      </c>
      <c r="O461" s="421"/>
    </row>
    <row r="462" spans="1:15" ht="15.75" hidden="1" customHeight="1" x14ac:dyDescent="0.25">
      <c r="A462" s="252" t="s">
        <v>282</v>
      </c>
      <c r="B462" s="833"/>
      <c r="C462" s="833"/>
      <c r="D462" s="833"/>
      <c r="E462" s="308">
        <v>201000000</v>
      </c>
      <c r="F462" s="308">
        <v>71564000</v>
      </c>
      <c r="G462" s="146"/>
      <c r="H462" s="4">
        <f t="shared" si="47"/>
        <v>0</v>
      </c>
      <c r="O462" s="421"/>
    </row>
    <row r="463" spans="1:15" ht="15.75" hidden="1" customHeight="1" x14ac:dyDescent="0.25">
      <c r="A463" s="255" t="s">
        <v>283</v>
      </c>
      <c r="B463" s="833"/>
      <c r="C463" s="833"/>
      <c r="D463" s="833"/>
      <c r="E463" s="309">
        <v>201000000</v>
      </c>
      <c r="F463" s="309" t="e">
        <v>#REF!</v>
      </c>
      <c r="G463" s="256" t="s">
        <v>450</v>
      </c>
      <c r="H463" s="4">
        <f t="shared" si="47"/>
        <v>48</v>
      </c>
      <c r="O463" s="421"/>
    </row>
    <row r="464" spans="1:15" ht="15.75" hidden="1" customHeight="1" x14ac:dyDescent="0.25">
      <c r="A464" s="255" t="s">
        <v>284</v>
      </c>
      <c r="B464" s="833"/>
      <c r="C464" s="833"/>
      <c r="D464" s="833"/>
      <c r="E464" s="309" t="e">
        <v>#REF!</v>
      </c>
      <c r="F464" s="309" t="e">
        <v>#REF!</v>
      </c>
      <c r="G464" s="256" t="s">
        <v>451</v>
      </c>
      <c r="H464" s="4">
        <f t="shared" si="47"/>
        <v>88</v>
      </c>
      <c r="O464" s="421"/>
    </row>
    <row r="465" spans="1:15" ht="15.75" hidden="1" customHeight="1" x14ac:dyDescent="0.25">
      <c r="A465" s="261" t="s">
        <v>285</v>
      </c>
      <c r="B465" s="834"/>
      <c r="C465" s="834"/>
      <c r="D465" s="834"/>
      <c r="E465" s="311" t="e">
        <v>#REF!</v>
      </c>
      <c r="F465" s="311" t="e">
        <v>#REF!</v>
      </c>
      <c r="G465" s="313" t="s">
        <v>452</v>
      </c>
      <c r="H465" s="4">
        <f t="shared" si="47"/>
        <v>157</v>
      </c>
      <c r="O465" s="421"/>
    </row>
    <row r="466" spans="1:15" ht="15.75" hidden="1" customHeight="1" x14ac:dyDescent="0.25">
      <c r="A466" s="267"/>
      <c r="B466" s="268"/>
      <c r="C466" s="268"/>
      <c r="D466" s="315"/>
      <c r="E466" s="307"/>
      <c r="F466" s="307"/>
      <c r="G466" s="259"/>
      <c r="H466" s="4"/>
      <c r="O466" s="421"/>
    </row>
    <row r="467" spans="1:15" ht="15.75" hidden="1" customHeight="1" x14ac:dyDescent="0.3">
      <c r="A467" s="974" t="s">
        <v>453</v>
      </c>
      <c r="B467" s="716"/>
      <c r="C467" s="716"/>
      <c r="D467" s="716"/>
      <c r="E467" s="716"/>
      <c r="F467" s="716"/>
      <c r="G467" s="815"/>
      <c r="O467" s="421"/>
    </row>
    <row r="468" spans="1:15" ht="15.75" hidden="1" customHeight="1" x14ac:dyDescent="0.25">
      <c r="A468" s="243" t="s">
        <v>25</v>
      </c>
      <c r="B468" s="302" t="s">
        <v>323</v>
      </c>
      <c r="C468" s="302" t="s">
        <v>324</v>
      </c>
      <c r="D468" s="302" t="s">
        <v>430</v>
      </c>
      <c r="E468" s="302" t="s">
        <v>454</v>
      </c>
      <c r="F468" s="302" t="s">
        <v>455</v>
      </c>
      <c r="G468" s="303" t="s">
        <v>433</v>
      </c>
      <c r="O468" s="421"/>
    </row>
    <row r="469" spans="1:15" ht="15.75" hidden="1" customHeight="1" x14ac:dyDescent="0.25">
      <c r="A469" s="304" t="s">
        <v>287</v>
      </c>
      <c r="B469" s="972" t="s">
        <v>336</v>
      </c>
      <c r="C469" s="984" t="s">
        <v>434</v>
      </c>
      <c r="D469" s="979" t="s">
        <v>435</v>
      </c>
      <c r="E469" s="316">
        <v>11297816000</v>
      </c>
      <c r="F469" s="316">
        <v>0</v>
      </c>
      <c r="G469" s="306" t="s">
        <v>456</v>
      </c>
      <c r="H469" s="4">
        <f t="shared" ref="H469:H480" si="48">LEN(G469)</f>
        <v>69</v>
      </c>
      <c r="N469" s="307"/>
      <c r="O469" s="421"/>
    </row>
    <row r="470" spans="1:15" ht="15.75" hidden="1" customHeight="1" x14ac:dyDescent="0.25">
      <c r="A470" s="304" t="s">
        <v>296</v>
      </c>
      <c r="B470" s="833"/>
      <c r="C470" s="833"/>
      <c r="D470" s="833"/>
      <c r="E470" s="316">
        <v>11617816000</v>
      </c>
      <c r="F470" s="317">
        <v>252325000</v>
      </c>
      <c r="G470" s="306" t="s">
        <v>457</v>
      </c>
      <c r="H470" s="4">
        <f t="shared" si="48"/>
        <v>74</v>
      </c>
      <c r="N470" s="307"/>
      <c r="O470" s="421"/>
    </row>
    <row r="471" spans="1:15" ht="15.75" hidden="1" customHeight="1" x14ac:dyDescent="0.25">
      <c r="A471" s="304" t="s">
        <v>305</v>
      </c>
      <c r="B471" s="833"/>
      <c r="C471" s="833"/>
      <c r="D471" s="833"/>
      <c r="E471" s="317">
        <v>11617816000</v>
      </c>
      <c r="F471" s="317">
        <v>574453000</v>
      </c>
      <c r="G471" s="306" t="s">
        <v>457</v>
      </c>
      <c r="H471" s="4">
        <f t="shared" si="48"/>
        <v>74</v>
      </c>
      <c r="N471" s="307"/>
      <c r="O471" s="421"/>
    </row>
    <row r="472" spans="1:15" ht="15.75" hidden="1" customHeight="1" x14ac:dyDescent="0.25">
      <c r="A472" s="304" t="s">
        <v>306</v>
      </c>
      <c r="B472" s="833"/>
      <c r="C472" s="833"/>
      <c r="D472" s="833"/>
      <c r="E472" s="318">
        <v>11364428500</v>
      </c>
      <c r="F472" s="318">
        <v>574453000</v>
      </c>
      <c r="G472" s="306" t="s">
        <v>457</v>
      </c>
      <c r="H472" s="4">
        <f t="shared" si="48"/>
        <v>74</v>
      </c>
      <c r="N472" s="307"/>
      <c r="O472" s="421"/>
    </row>
    <row r="473" spans="1:15" ht="15.75" hidden="1" customHeight="1" x14ac:dyDescent="0.25">
      <c r="A473" s="304" t="s">
        <v>308</v>
      </c>
      <c r="B473" s="833"/>
      <c r="C473" s="833"/>
      <c r="D473" s="833"/>
      <c r="E473" s="318">
        <v>11364428500</v>
      </c>
      <c r="F473" s="318">
        <v>574453000</v>
      </c>
      <c r="G473" s="306" t="s">
        <v>457</v>
      </c>
      <c r="H473" s="4">
        <f t="shared" si="48"/>
        <v>74</v>
      </c>
      <c r="N473" s="307"/>
      <c r="O473" s="421"/>
    </row>
    <row r="474" spans="1:15" ht="15.75" hidden="1" customHeight="1" x14ac:dyDescent="0.25">
      <c r="A474" s="304" t="s">
        <v>309</v>
      </c>
      <c r="B474" s="833"/>
      <c r="C474" s="833"/>
      <c r="D474" s="833"/>
      <c r="E474" s="318">
        <v>11364428500</v>
      </c>
      <c r="F474" s="318">
        <v>752099000</v>
      </c>
      <c r="G474" s="306" t="s">
        <v>458</v>
      </c>
      <c r="H474" s="4">
        <f t="shared" si="48"/>
        <v>84</v>
      </c>
      <c r="N474" s="307"/>
      <c r="O474" s="421"/>
    </row>
    <row r="475" spans="1:15" ht="15.75" hidden="1" customHeight="1" x14ac:dyDescent="0.25">
      <c r="A475" s="304" t="s">
        <v>275</v>
      </c>
      <c r="B475" s="833"/>
      <c r="C475" s="833"/>
      <c r="D475" s="833"/>
      <c r="E475" s="318">
        <v>11364428500</v>
      </c>
      <c r="F475" s="318">
        <v>752099000</v>
      </c>
      <c r="G475" s="306" t="s">
        <v>458</v>
      </c>
      <c r="H475" s="4">
        <f t="shared" si="48"/>
        <v>84</v>
      </c>
      <c r="N475" s="307"/>
      <c r="O475" s="421"/>
    </row>
    <row r="476" spans="1:15" ht="15.75" hidden="1" customHeight="1" x14ac:dyDescent="0.25">
      <c r="A476" s="252" t="s">
        <v>281</v>
      </c>
      <c r="B476" s="833"/>
      <c r="C476" s="833"/>
      <c r="D476" s="833"/>
      <c r="E476" s="198">
        <v>9975981143</v>
      </c>
      <c r="F476" s="318">
        <v>752099000</v>
      </c>
      <c r="G476" s="306" t="s">
        <v>458</v>
      </c>
      <c r="H476" s="4">
        <f t="shared" si="48"/>
        <v>84</v>
      </c>
      <c r="O476" s="421"/>
    </row>
    <row r="477" spans="1:15" ht="15.75" hidden="1" customHeight="1" x14ac:dyDescent="0.25">
      <c r="A477" s="252" t="s">
        <v>282</v>
      </c>
      <c r="B477" s="833"/>
      <c r="C477" s="833"/>
      <c r="D477" s="833"/>
      <c r="E477" s="198">
        <v>9975981143</v>
      </c>
      <c r="F477" s="198">
        <v>770188500</v>
      </c>
      <c r="G477" s="306" t="s">
        <v>459</v>
      </c>
      <c r="H477" s="4">
        <f t="shared" si="48"/>
        <v>108</v>
      </c>
      <c r="O477" s="421"/>
    </row>
    <row r="478" spans="1:15" ht="15.75" hidden="1" customHeight="1" x14ac:dyDescent="0.25">
      <c r="A478" s="255" t="s">
        <v>283</v>
      </c>
      <c r="B478" s="833"/>
      <c r="C478" s="833"/>
      <c r="D478" s="833"/>
      <c r="E478" s="198">
        <v>9975981143</v>
      </c>
      <c r="F478" s="319">
        <v>1020443291</v>
      </c>
      <c r="G478" s="306" t="s">
        <v>460</v>
      </c>
      <c r="H478" s="4">
        <f t="shared" si="48"/>
        <v>124</v>
      </c>
      <c r="O478" s="421"/>
    </row>
    <row r="479" spans="1:15" ht="15.75" hidden="1" customHeight="1" x14ac:dyDescent="0.25">
      <c r="A479" s="310" t="s">
        <v>284</v>
      </c>
      <c r="B479" s="833"/>
      <c r="C479" s="833"/>
      <c r="D479" s="833"/>
      <c r="E479" s="198">
        <v>9945577030</v>
      </c>
      <c r="F479" s="319">
        <v>1299419291</v>
      </c>
      <c r="G479" s="246" t="s">
        <v>461</v>
      </c>
      <c r="H479" s="4">
        <f t="shared" si="48"/>
        <v>164</v>
      </c>
      <c r="O479" s="421"/>
    </row>
    <row r="480" spans="1:15" ht="15.75" hidden="1" customHeight="1" x14ac:dyDescent="0.25">
      <c r="A480" s="261" t="s">
        <v>285</v>
      </c>
      <c r="B480" s="834"/>
      <c r="C480" s="834"/>
      <c r="D480" s="834"/>
      <c r="E480" s="320">
        <v>9845577030</v>
      </c>
      <c r="F480" s="320">
        <v>3983407535</v>
      </c>
      <c r="G480" s="266" t="s">
        <v>462</v>
      </c>
      <c r="H480" s="4">
        <f t="shared" si="48"/>
        <v>269</v>
      </c>
      <c r="O480" s="421"/>
    </row>
    <row r="481" spans="1:15" ht="15.75" hidden="1" customHeight="1" x14ac:dyDescent="0.25">
      <c r="A481" s="267"/>
      <c r="B481" s="267"/>
      <c r="C481" s="267"/>
      <c r="D481" s="267"/>
      <c r="E481" s="267"/>
      <c r="F481" s="267"/>
      <c r="G481" s="267"/>
      <c r="O481" s="421"/>
    </row>
    <row r="482" spans="1:15" ht="15.75" hidden="1" customHeight="1" x14ac:dyDescent="0.25">
      <c r="A482" s="267"/>
      <c r="B482" s="267"/>
      <c r="C482" s="267"/>
      <c r="D482" s="267"/>
      <c r="E482" s="267"/>
      <c r="F482" s="267"/>
      <c r="G482" s="267"/>
      <c r="O482" s="421"/>
    </row>
    <row r="483" spans="1:15" ht="15.75" hidden="1" customHeight="1" x14ac:dyDescent="0.25">
      <c r="A483" s="269" t="s">
        <v>25</v>
      </c>
      <c r="B483" s="321" t="s">
        <v>323</v>
      </c>
      <c r="C483" s="321" t="s">
        <v>324</v>
      </c>
      <c r="D483" s="321" t="s">
        <v>430</v>
      </c>
      <c r="E483" s="321" t="s">
        <v>454</v>
      </c>
      <c r="F483" s="321" t="s">
        <v>455</v>
      </c>
      <c r="G483" s="211" t="s">
        <v>433</v>
      </c>
      <c r="O483" s="421"/>
    </row>
    <row r="484" spans="1:15" ht="15.75" hidden="1" customHeight="1" x14ac:dyDescent="0.25">
      <c r="A484" s="304" t="s">
        <v>287</v>
      </c>
      <c r="B484" s="972" t="s">
        <v>343</v>
      </c>
      <c r="C484" s="972" t="s">
        <v>344</v>
      </c>
      <c r="D484" s="979" t="s">
        <v>440</v>
      </c>
      <c r="E484" s="322">
        <v>5009181000</v>
      </c>
      <c r="F484" s="322">
        <v>0</v>
      </c>
      <c r="G484" s="306" t="s">
        <v>456</v>
      </c>
      <c r="H484" s="4">
        <f t="shared" ref="H484:H495" si="49">LEN(G484)</f>
        <v>69</v>
      </c>
      <c r="O484" s="421"/>
    </row>
    <row r="485" spans="1:15" ht="15.75" hidden="1" customHeight="1" x14ac:dyDescent="0.25">
      <c r="A485" s="304" t="s">
        <v>296</v>
      </c>
      <c r="B485" s="833"/>
      <c r="C485" s="833"/>
      <c r="D485" s="833"/>
      <c r="E485" s="323">
        <v>4689181000</v>
      </c>
      <c r="F485" s="322">
        <v>0</v>
      </c>
      <c r="G485" s="306" t="s">
        <v>456</v>
      </c>
      <c r="H485" s="4">
        <f t="shared" si="49"/>
        <v>69</v>
      </c>
      <c r="O485" s="421"/>
    </row>
    <row r="486" spans="1:15" ht="15.75" hidden="1" customHeight="1" x14ac:dyDescent="0.25">
      <c r="A486" s="304" t="s">
        <v>305</v>
      </c>
      <c r="B486" s="833"/>
      <c r="C486" s="833"/>
      <c r="D486" s="833"/>
      <c r="E486" s="323">
        <v>4689181000</v>
      </c>
      <c r="F486" s="317">
        <v>226464000</v>
      </c>
      <c r="G486" s="306" t="s">
        <v>463</v>
      </c>
      <c r="H486" s="4">
        <f t="shared" si="49"/>
        <v>38</v>
      </c>
      <c r="O486" s="421"/>
    </row>
    <row r="487" spans="1:15" ht="15.75" hidden="1" customHeight="1" x14ac:dyDescent="0.25">
      <c r="A487" s="304" t="s">
        <v>306</v>
      </c>
      <c r="B487" s="833"/>
      <c r="C487" s="833"/>
      <c r="D487" s="833"/>
      <c r="E487" s="198">
        <v>4312793857</v>
      </c>
      <c r="F487" s="198">
        <v>440096000</v>
      </c>
      <c r="G487" s="306" t="s">
        <v>463</v>
      </c>
      <c r="H487" s="4">
        <f t="shared" si="49"/>
        <v>38</v>
      </c>
      <c r="O487" s="421"/>
    </row>
    <row r="488" spans="1:15" ht="15.75" hidden="1" customHeight="1" x14ac:dyDescent="0.25">
      <c r="A488" s="304" t="s">
        <v>308</v>
      </c>
      <c r="B488" s="833"/>
      <c r="C488" s="833"/>
      <c r="D488" s="833"/>
      <c r="E488" s="198">
        <v>4312793857</v>
      </c>
      <c r="F488" s="198">
        <v>440096000</v>
      </c>
      <c r="G488" s="306" t="s">
        <v>463</v>
      </c>
      <c r="H488" s="4">
        <f t="shared" si="49"/>
        <v>38</v>
      </c>
      <c r="O488" s="421"/>
    </row>
    <row r="489" spans="1:15" ht="15.75" hidden="1" customHeight="1" x14ac:dyDescent="0.25">
      <c r="A489" s="304" t="s">
        <v>309</v>
      </c>
      <c r="B489" s="833"/>
      <c r="C489" s="833"/>
      <c r="D489" s="833"/>
      <c r="E489" s="198">
        <v>4244239942</v>
      </c>
      <c r="F489" s="198">
        <v>508419000</v>
      </c>
      <c r="G489" s="306" t="s">
        <v>464</v>
      </c>
      <c r="H489" s="4">
        <f t="shared" si="49"/>
        <v>66</v>
      </c>
      <c r="O489" s="421"/>
    </row>
    <row r="490" spans="1:15" ht="15.75" hidden="1" customHeight="1" x14ac:dyDescent="0.25">
      <c r="A490" s="304" t="s">
        <v>275</v>
      </c>
      <c r="B490" s="833"/>
      <c r="C490" s="833"/>
      <c r="D490" s="833"/>
      <c r="E490" s="198">
        <v>4244239942</v>
      </c>
      <c r="F490" s="198">
        <v>508419000</v>
      </c>
      <c r="G490" s="306" t="s">
        <v>464</v>
      </c>
      <c r="H490" s="4">
        <f t="shared" si="49"/>
        <v>66</v>
      </c>
      <c r="O490" s="421"/>
    </row>
    <row r="491" spans="1:15" ht="15.75" hidden="1" customHeight="1" x14ac:dyDescent="0.25">
      <c r="A491" s="252" t="s">
        <v>281</v>
      </c>
      <c r="B491" s="833"/>
      <c r="C491" s="833"/>
      <c r="D491" s="833"/>
      <c r="E491" s="198">
        <v>4177645269</v>
      </c>
      <c r="F491" s="198">
        <v>508419000</v>
      </c>
      <c r="G491" s="306" t="s">
        <v>464</v>
      </c>
      <c r="H491" s="4">
        <f t="shared" si="49"/>
        <v>66</v>
      </c>
      <c r="O491" s="421"/>
    </row>
    <row r="492" spans="1:15" ht="15.75" hidden="1" customHeight="1" x14ac:dyDescent="0.25">
      <c r="A492" s="252" t="s">
        <v>282</v>
      </c>
      <c r="B492" s="833"/>
      <c r="C492" s="833"/>
      <c r="D492" s="833"/>
      <c r="E492" s="198">
        <v>4177645269</v>
      </c>
      <c r="F492" s="198">
        <v>511919000</v>
      </c>
      <c r="G492" s="306" t="s">
        <v>465</v>
      </c>
      <c r="H492" s="4">
        <f t="shared" si="49"/>
        <v>96</v>
      </c>
      <c r="O492" s="421"/>
    </row>
    <row r="493" spans="1:15" ht="15.75" hidden="1" customHeight="1" x14ac:dyDescent="0.25">
      <c r="A493" s="255" t="s">
        <v>283</v>
      </c>
      <c r="B493" s="833"/>
      <c r="C493" s="833"/>
      <c r="D493" s="833"/>
      <c r="E493" s="198">
        <v>4177645269</v>
      </c>
      <c r="F493" s="198">
        <v>915890071</v>
      </c>
      <c r="G493" s="306" t="s">
        <v>466</v>
      </c>
      <c r="H493" s="4">
        <f t="shared" si="49"/>
        <v>105</v>
      </c>
      <c r="O493" s="421"/>
    </row>
    <row r="494" spans="1:15" ht="15.75" hidden="1" customHeight="1" x14ac:dyDescent="0.25">
      <c r="A494" s="310" t="s">
        <v>284</v>
      </c>
      <c r="B494" s="833"/>
      <c r="C494" s="833"/>
      <c r="D494" s="833"/>
      <c r="E494" s="198">
        <v>4190304269</v>
      </c>
      <c r="F494" s="198">
        <v>915890071</v>
      </c>
      <c r="G494" s="306" t="s">
        <v>466</v>
      </c>
      <c r="H494" s="4">
        <f t="shared" si="49"/>
        <v>105</v>
      </c>
      <c r="O494" s="421"/>
    </row>
    <row r="495" spans="1:15" ht="15.75" hidden="1" customHeight="1" x14ac:dyDescent="0.25">
      <c r="A495" s="261" t="s">
        <v>285</v>
      </c>
      <c r="B495" s="834"/>
      <c r="C495" s="834"/>
      <c r="D495" s="834"/>
      <c r="E495" s="320">
        <v>4132147982</v>
      </c>
      <c r="F495" s="320">
        <v>3521604494</v>
      </c>
      <c r="G495" s="324" t="s">
        <v>467</v>
      </c>
      <c r="H495" s="4">
        <f t="shared" si="49"/>
        <v>119</v>
      </c>
      <c r="N495" s="307"/>
      <c r="O495" s="421"/>
    </row>
    <row r="496" spans="1:15" ht="15.75" hidden="1" customHeight="1" x14ac:dyDescent="0.25">
      <c r="A496" s="267"/>
      <c r="B496" s="267"/>
      <c r="C496" s="267"/>
      <c r="D496" s="267"/>
      <c r="E496" s="267"/>
      <c r="F496" s="267"/>
      <c r="G496" s="267"/>
      <c r="O496" s="421"/>
    </row>
    <row r="497" spans="1:15" ht="15.75" hidden="1" customHeight="1" x14ac:dyDescent="0.25">
      <c r="A497" s="267"/>
      <c r="B497" s="267"/>
      <c r="C497" s="267"/>
      <c r="D497" s="267"/>
      <c r="E497" s="267"/>
      <c r="F497" s="267"/>
      <c r="G497" s="267"/>
      <c r="O497" s="421"/>
    </row>
    <row r="498" spans="1:15" ht="15.75" hidden="1" customHeight="1" x14ac:dyDescent="0.25">
      <c r="A498" s="269" t="s">
        <v>25</v>
      </c>
      <c r="B498" s="321" t="s">
        <v>323</v>
      </c>
      <c r="C498" s="321" t="s">
        <v>324</v>
      </c>
      <c r="D498" s="321" t="s">
        <v>430</v>
      </c>
      <c r="E498" s="321" t="s">
        <v>454</v>
      </c>
      <c r="F498" s="321" t="s">
        <v>455</v>
      </c>
      <c r="G498" s="211" t="s">
        <v>433</v>
      </c>
      <c r="O498" s="421"/>
    </row>
    <row r="499" spans="1:15" ht="15.75" hidden="1" customHeight="1" x14ac:dyDescent="0.25">
      <c r="A499" s="304" t="s">
        <v>287</v>
      </c>
      <c r="B499" s="972" t="s">
        <v>343</v>
      </c>
      <c r="C499" s="972" t="s">
        <v>344</v>
      </c>
      <c r="D499" s="979" t="s">
        <v>445</v>
      </c>
      <c r="E499" s="322">
        <v>8798867000</v>
      </c>
      <c r="F499" s="322">
        <v>0</v>
      </c>
      <c r="G499" s="306" t="s">
        <v>456</v>
      </c>
      <c r="H499" s="4">
        <f t="shared" ref="H499:H510" si="50">LEN(G499)</f>
        <v>69</v>
      </c>
      <c r="O499" s="421"/>
    </row>
    <row r="500" spans="1:15" ht="15.75" hidden="1" customHeight="1" x14ac:dyDescent="0.25">
      <c r="A500" s="304" t="s">
        <v>296</v>
      </c>
      <c r="B500" s="833"/>
      <c r="C500" s="833"/>
      <c r="D500" s="833"/>
      <c r="E500" s="322">
        <v>8798867000</v>
      </c>
      <c r="F500" s="317">
        <v>10695000</v>
      </c>
      <c r="G500" s="306" t="s">
        <v>457</v>
      </c>
      <c r="H500" s="4">
        <f t="shared" si="50"/>
        <v>74</v>
      </c>
      <c r="O500" s="421"/>
    </row>
    <row r="501" spans="1:15" ht="15.75" hidden="1" customHeight="1" x14ac:dyDescent="0.25">
      <c r="A501" s="304" t="s">
        <v>305</v>
      </c>
      <c r="B501" s="833"/>
      <c r="C501" s="833"/>
      <c r="D501" s="833"/>
      <c r="E501" s="322">
        <v>8798867000</v>
      </c>
      <c r="F501" s="317">
        <v>309783000</v>
      </c>
      <c r="G501" s="306" t="s">
        <v>457</v>
      </c>
      <c r="H501" s="4">
        <f t="shared" si="50"/>
        <v>74</v>
      </c>
      <c r="O501" s="421"/>
    </row>
    <row r="502" spans="1:15" ht="15.75" hidden="1" customHeight="1" x14ac:dyDescent="0.25">
      <c r="A502" s="304" t="s">
        <v>306</v>
      </c>
      <c r="B502" s="833"/>
      <c r="C502" s="833"/>
      <c r="D502" s="833"/>
      <c r="E502" s="198">
        <v>8530667000</v>
      </c>
      <c r="F502" s="198">
        <v>598735996</v>
      </c>
      <c r="G502" s="306" t="s">
        <v>457</v>
      </c>
      <c r="H502" s="4">
        <f t="shared" si="50"/>
        <v>74</v>
      </c>
      <c r="O502" s="421"/>
    </row>
    <row r="503" spans="1:15" ht="15.75" hidden="1" customHeight="1" x14ac:dyDescent="0.25">
      <c r="A503" s="304" t="s">
        <v>308</v>
      </c>
      <c r="B503" s="833"/>
      <c r="C503" s="833"/>
      <c r="D503" s="833"/>
      <c r="E503" s="198">
        <v>8530667000</v>
      </c>
      <c r="F503" s="198">
        <v>600182874</v>
      </c>
      <c r="G503" s="306" t="s">
        <v>468</v>
      </c>
      <c r="H503" s="4">
        <f t="shared" si="50"/>
        <v>102</v>
      </c>
      <c r="O503" s="421"/>
    </row>
    <row r="504" spans="1:15" ht="15.75" hidden="1" customHeight="1" x14ac:dyDescent="0.25">
      <c r="A504" s="304" t="s">
        <v>309</v>
      </c>
      <c r="B504" s="833"/>
      <c r="C504" s="833"/>
      <c r="D504" s="833"/>
      <c r="E504" s="198">
        <v>8599220915</v>
      </c>
      <c r="F504" s="198">
        <v>776147471</v>
      </c>
      <c r="G504" s="306" t="s">
        <v>469</v>
      </c>
      <c r="H504" s="4">
        <f t="shared" si="50"/>
        <v>125</v>
      </c>
      <c r="O504" s="421"/>
    </row>
    <row r="505" spans="1:15" ht="15.75" hidden="1" customHeight="1" x14ac:dyDescent="0.25">
      <c r="A505" s="304" t="s">
        <v>275</v>
      </c>
      <c r="B505" s="833"/>
      <c r="C505" s="833"/>
      <c r="D505" s="833"/>
      <c r="E505" s="198">
        <v>8599220915</v>
      </c>
      <c r="F505" s="198">
        <v>776147471</v>
      </c>
      <c r="G505" s="306" t="s">
        <v>469</v>
      </c>
      <c r="H505" s="4">
        <f t="shared" si="50"/>
        <v>125</v>
      </c>
      <c r="O505" s="421"/>
    </row>
    <row r="506" spans="1:15" ht="15.75" hidden="1" customHeight="1" x14ac:dyDescent="0.25">
      <c r="A506" s="252" t="s">
        <v>281</v>
      </c>
      <c r="B506" s="833"/>
      <c r="C506" s="833"/>
      <c r="D506" s="833"/>
      <c r="E506" s="198">
        <v>7265572915</v>
      </c>
      <c r="F506" s="198">
        <v>776147471</v>
      </c>
      <c r="G506" s="306" t="s">
        <v>469</v>
      </c>
      <c r="H506" s="4">
        <f t="shared" si="50"/>
        <v>125</v>
      </c>
      <c r="O506" s="421"/>
    </row>
    <row r="507" spans="1:15" ht="15.75" hidden="1" customHeight="1" x14ac:dyDescent="0.25">
      <c r="A507" s="252" t="s">
        <v>282</v>
      </c>
      <c r="B507" s="833"/>
      <c r="C507" s="833"/>
      <c r="D507" s="833"/>
      <c r="E507" s="198">
        <v>7265572915</v>
      </c>
      <c r="F507" s="198">
        <v>779647471</v>
      </c>
      <c r="G507" s="306" t="s">
        <v>470</v>
      </c>
      <c r="H507" s="4">
        <f t="shared" si="50"/>
        <v>151</v>
      </c>
      <c r="O507" s="421"/>
    </row>
    <row r="508" spans="1:15" ht="15.75" hidden="1" customHeight="1" x14ac:dyDescent="0.25">
      <c r="A508" s="255" t="s">
        <v>283</v>
      </c>
      <c r="B508" s="833"/>
      <c r="C508" s="833"/>
      <c r="D508" s="833"/>
      <c r="E508" s="319">
        <v>7265572915</v>
      </c>
      <c r="F508" s="319">
        <v>3779647471</v>
      </c>
      <c r="G508" s="306" t="s">
        <v>471</v>
      </c>
      <c r="H508" s="4">
        <f t="shared" si="50"/>
        <v>191</v>
      </c>
      <c r="O508" s="421"/>
    </row>
    <row r="509" spans="1:15" ht="15.75" hidden="1" customHeight="1" x14ac:dyDescent="0.25">
      <c r="A509" s="310" t="s">
        <v>284</v>
      </c>
      <c r="B509" s="833"/>
      <c r="C509" s="833"/>
      <c r="D509" s="833"/>
      <c r="E509" s="319">
        <v>7328093261</v>
      </c>
      <c r="F509" s="319">
        <v>7100671285</v>
      </c>
      <c r="G509" s="306" t="s">
        <v>472</v>
      </c>
      <c r="H509" s="4">
        <f t="shared" si="50"/>
        <v>215</v>
      </c>
      <c r="O509" s="421"/>
    </row>
    <row r="510" spans="1:15" ht="15.75" hidden="1" customHeight="1" x14ac:dyDescent="0.25">
      <c r="A510" s="261" t="s">
        <v>285</v>
      </c>
      <c r="B510" s="834"/>
      <c r="C510" s="834"/>
      <c r="D510" s="834"/>
      <c r="E510" s="325">
        <v>7311780179</v>
      </c>
      <c r="F510" s="311">
        <v>7181707363</v>
      </c>
      <c r="G510" s="324" t="s">
        <v>472</v>
      </c>
      <c r="H510" s="4">
        <f t="shared" si="50"/>
        <v>215</v>
      </c>
      <c r="J510" s="109"/>
      <c r="O510" s="421"/>
    </row>
    <row r="511" spans="1:15" ht="15.75" hidden="1" customHeight="1" x14ac:dyDescent="0.25">
      <c r="A511" s="267"/>
      <c r="B511" s="267"/>
      <c r="C511" s="267"/>
      <c r="D511" s="267"/>
      <c r="E511" s="267"/>
      <c r="F511" s="267"/>
      <c r="G511" s="267"/>
      <c r="O511" s="421"/>
    </row>
    <row r="512" spans="1:15" ht="15.75" hidden="1" customHeight="1" x14ac:dyDescent="0.25">
      <c r="A512" s="267"/>
      <c r="B512" s="267"/>
      <c r="C512" s="267"/>
      <c r="D512" s="267"/>
      <c r="E512" s="267"/>
      <c r="F512" s="267"/>
      <c r="G512" s="267"/>
      <c r="O512" s="421"/>
    </row>
    <row r="513" spans="1:15" ht="15.75" hidden="1" customHeight="1" x14ac:dyDescent="0.25">
      <c r="A513" s="269" t="s">
        <v>25</v>
      </c>
      <c r="B513" s="321" t="s">
        <v>323</v>
      </c>
      <c r="C513" s="321" t="s">
        <v>324</v>
      </c>
      <c r="D513" s="321" t="s">
        <v>430</v>
      </c>
      <c r="E513" s="321" t="s">
        <v>454</v>
      </c>
      <c r="F513" s="321" t="s">
        <v>455</v>
      </c>
      <c r="G513" s="211" t="s">
        <v>433</v>
      </c>
      <c r="O513" s="421"/>
    </row>
    <row r="514" spans="1:15" ht="15.75" hidden="1" customHeight="1" x14ac:dyDescent="0.25">
      <c r="A514" s="304" t="s">
        <v>287</v>
      </c>
      <c r="B514" s="972" t="s">
        <v>354</v>
      </c>
      <c r="C514" s="972" t="s">
        <v>355</v>
      </c>
      <c r="D514" s="979" t="s">
        <v>449</v>
      </c>
      <c r="E514" s="198">
        <v>251240000</v>
      </c>
      <c r="F514" s="198">
        <v>0</v>
      </c>
      <c r="G514" s="306" t="s">
        <v>456</v>
      </c>
      <c r="H514" s="4">
        <f t="shared" ref="H514:H525" si="51">LEN(G514)</f>
        <v>69</v>
      </c>
      <c r="O514" s="421"/>
    </row>
    <row r="515" spans="1:15" ht="15.75" hidden="1" customHeight="1" x14ac:dyDescent="0.25">
      <c r="A515" s="304" t="s">
        <v>296</v>
      </c>
      <c r="B515" s="833"/>
      <c r="C515" s="833"/>
      <c r="D515" s="833"/>
      <c r="E515" s="198">
        <v>251240000</v>
      </c>
      <c r="F515" s="198">
        <v>0</v>
      </c>
      <c r="G515" s="306" t="s">
        <v>463</v>
      </c>
      <c r="H515" s="4">
        <f t="shared" si="51"/>
        <v>38</v>
      </c>
      <c r="O515" s="421"/>
    </row>
    <row r="516" spans="1:15" ht="15.75" hidden="1" customHeight="1" x14ac:dyDescent="0.25">
      <c r="A516" s="304" t="s">
        <v>305</v>
      </c>
      <c r="B516" s="833"/>
      <c r="C516" s="833"/>
      <c r="D516" s="833"/>
      <c r="E516" s="198">
        <v>251240000</v>
      </c>
      <c r="F516" s="198">
        <v>133938000</v>
      </c>
      <c r="G516" s="306" t="s">
        <v>463</v>
      </c>
      <c r="H516" s="4">
        <f t="shared" si="51"/>
        <v>38</v>
      </c>
      <c r="O516" s="421"/>
    </row>
    <row r="517" spans="1:15" ht="15.75" hidden="1" customHeight="1" x14ac:dyDescent="0.25">
      <c r="A517" s="304" t="s">
        <v>306</v>
      </c>
      <c r="B517" s="833"/>
      <c r="C517" s="833"/>
      <c r="D517" s="833"/>
      <c r="E517" s="317">
        <v>221204000</v>
      </c>
      <c r="F517" s="322">
        <v>190224000</v>
      </c>
      <c r="G517" s="326" t="s">
        <v>463</v>
      </c>
      <c r="H517" s="4">
        <f t="shared" si="51"/>
        <v>38</v>
      </c>
      <c r="O517" s="421"/>
    </row>
    <row r="518" spans="1:15" ht="15.75" hidden="1" customHeight="1" x14ac:dyDescent="0.25">
      <c r="A518" s="304" t="s">
        <v>308</v>
      </c>
      <c r="B518" s="833"/>
      <c r="C518" s="833"/>
      <c r="D518" s="833"/>
      <c r="E518" s="317">
        <v>221204000</v>
      </c>
      <c r="F518" s="322">
        <v>190224000</v>
      </c>
      <c r="G518" s="326" t="s">
        <v>463</v>
      </c>
      <c r="H518" s="4">
        <f t="shared" si="51"/>
        <v>38</v>
      </c>
      <c r="O518" s="421"/>
    </row>
    <row r="519" spans="1:15" ht="15.75" hidden="1" customHeight="1" x14ac:dyDescent="0.25">
      <c r="A519" s="304" t="s">
        <v>309</v>
      </c>
      <c r="B519" s="833"/>
      <c r="C519" s="833"/>
      <c r="D519" s="833"/>
      <c r="E519" s="198">
        <v>221204000</v>
      </c>
      <c r="F519" s="198">
        <v>200724000</v>
      </c>
      <c r="G519" s="326" t="s">
        <v>463</v>
      </c>
      <c r="H519" s="4">
        <f t="shared" si="51"/>
        <v>38</v>
      </c>
      <c r="O519" s="421"/>
    </row>
    <row r="520" spans="1:15" ht="15.75" hidden="1" customHeight="1" x14ac:dyDescent="0.25">
      <c r="A520" s="304" t="s">
        <v>275</v>
      </c>
      <c r="B520" s="833"/>
      <c r="C520" s="833"/>
      <c r="D520" s="833"/>
      <c r="E520" s="198">
        <v>221204000</v>
      </c>
      <c r="F520" s="198">
        <v>200724000</v>
      </c>
      <c r="G520" s="326" t="s">
        <v>463</v>
      </c>
      <c r="H520" s="4">
        <f t="shared" si="51"/>
        <v>38</v>
      </c>
      <c r="O520" s="421"/>
    </row>
    <row r="521" spans="1:15" ht="15.75" hidden="1" customHeight="1" x14ac:dyDescent="0.25">
      <c r="A521" s="252" t="s">
        <v>281</v>
      </c>
      <c r="B521" s="833"/>
      <c r="C521" s="833"/>
      <c r="D521" s="833"/>
      <c r="E521" s="198">
        <v>221204000</v>
      </c>
      <c r="F521" s="198">
        <v>200724000</v>
      </c>
      <c r="G521" s="326" t="s">
        <v>463</v>
      </c>
      <c r="H521" s="4">
        <f t="shared" si="51"/>
        <v>38</v>
      </c>
      <c r="O521" s="421"/>
    </row>
    <row r="522" spans="1:15" ht="15.75" hidden="1" customHeight="1" x14ac:dyDescent="0.25">
      <c r="A522" s="252" t="s">
        <v>282</v>
      </c>
      <c r="B522" s="833"/>
      <c r="C522" s="833"/>
      <c r="D522" s="833"/>
      <c r="E522" s="198">
        <v>221204000</v>
      </c>
      <c r="F522" s="198">
        <v>200724000</v>
      </c>
      <c r="G522" s="326" t="s">
        <v>463</v>
      </c>
      <c r="H522" s="4">
        <f t="shared" si="51"/>
        <v>38</v>
      </c>
      <c r="O522" s="421"/>
    </row>
    <row r="523" spans="1:15" ht="15.75" hidden="1" customHeight="1" x14ac:dyDescent="0.25">
      <c r="A523" s="255" t="s">
        <v>283</v>
      </c>
      <c r="B523" s="833"/>
      <c r="C523" s="833"/>
      <c r="D523" s="833"/>
      <c r="E523" s="319">
        <v>251204000</v>
      </c>
      <c r="F523" s="319">
        <v>200724000</v>
      </c>
      <c r="G523" s="326" t="s">
        <v>463</v>
      </c>
      <c r="H523" s="4">
        <f t="shared" si="51"/>
        <v>38</v>
      </c>
      <c r="O523" s="421"/>
    </row>
    <row r="524" spans="1:15" ht="15.75" hidden="1" customHeight="1" x14ac:dyDescent="0.25">
      <c r="A524" s="255" t="s">
        <v>284</v>
      </c>
      <c r="B524" s="833"/>
      <c r="C524" s="833"/>
      <c r="D524" s="833"/>
      <c r="E524" s="319">
        <v>206428767</v>
      </c>
      <c r="F524" s="319">
        <v>200724000</v>
      </c>
      <c r="G524" s="326" t="s">
        <v>463</v>
      </c>
      <c r="H524" s="4">
        <f t="shared" si="51"/>
        <v>38</v>
      </c>
      <c r="O524" s="421"/>
    </row>
    <row r="525" spans="1:15" ht="15.75" hidden="1" customHeight="1" x14ac:dyDescent="0.25">
      <c r="A525" s="261" t="s">
        <v>285</v>
      </c>
      <c r="B525" s="834"/>
      <c r="C525" s="834"/>
      <c r="D525" s="834"/>
      <c r="E525" s="325">
        <v>206428767</v>
      </c>
      <c r="F525" s="325">
        <v>206428767</v>
      </c>
      <c r="G525" s="327" t="s">
        <v>463</v>
      </c>
      <c r="H525" s="4">
        <f t="shared" si="51"/>
        <v>38</v>
      </c>
      <c r="O525" s="421"/>
    </row>
    <row r="526" spans="1:15" ht="15.75" hidden="1" customHeight="1" x14ac:dyDescent="0.25">
      <c r="A526" s="267"/>
      <c r="B526" s="268"/>
      <c r="C526" s="268"/>
      <c r="D526" s="315"/>
      <c r="E526" s="307"/>
      <c r="F526" s="307"/>
      <c r="G526" s="259"/>
      <c r="H526" s="4"/>
      <c r="O526" s="421"/>
    </row>
    <row r="527" spans="1:15" ht="15.75" hidden="1" customHeight="1" x14ac:dyDescent="0.25">
      <c r="A527" s="179"/>
      <c r="G527" s="328"/>
      <c r="O527" s="421"/>
    </row>
    <row r="528" spans="1:15" ht="15.75" hidden="1" customHeight="1" x14ac:dyDescent="0.3">
      <c r="A528" s="974" t="s">
        <v>473</v>
      </c>
      <c r="B528" s="716"/>
      <c r="C528" s="716"/>
      <c r="D528" s="716"/>
      <c r="E528" s="716"/>
      <c r="F528" s="716"/>
      <c r="G528" s="815"/>
      <c r="O528" s="421"/>
    </row>
    <row r="529" spans="1:15" ht="15.75" hidden="1" customHeight="1" x14ac:dyDescent="0.25">
      <c r="A529" s="243" t="s">
        <v>26</v>
      </c>
      <c r="B529" s="302" t="s">
        <v>323</v>
      </c>
      <c r="C529" s="302" t="s">
        <v>324</v>
      </c>
      <c r="D529" s="302" t="s">
        <v>430</v>
      </c>
      <c r="E529" s="302" t="s">
        <v>474</v>
      </c>
      <c r="F529" s="302" t="s">
        <v>475</v>
      </c>
      <c r="G529" s="303" t="s">
        <v>433</v>
      </c>
      <c r="J529" s="329" t="s">
        <v>476</v>
      </c>
      <c r="O529" s="421"/>
    </row>
    <row r="530" spans="1:15" ht="15.75" hidden="1" customHeight="1" x14ac:dyDescent="0.25">
      <c r="A530" s="239" t="s">
        <v>287</v>
      </c>
      <c r="B530" s="972" t="s">
        <v>336</v>
      </c>
      <c r="C530" s="984" t="s">
        <v>434</v>
      </c>
      <c r="D530" s="979" t="s">
        <v>435</v>
      </c>
      <c r="E530" s="214">
        <v>8723281000</v>
      </c>
      <c r="F530" s="214">
        <v>1023165000</v>
      </c>
      <c r="G530" s="306" t="s">
        <v>477</v>
      </c>
      <c r="H530" s="4">
        <f t="shared" ref="H530:H541" si="52">LEN(G530)</f>
        <v>62</v>
      </c>
      <c r="O530" s="421"/>
    </row>
    <row r="531" spans="1:15" ht="15.75" hidden="1" customHeight="1" x14ac:dyDescent="0.25">
      <c r="A531" s="239" t="s">
        <v>296</v>
      </c>
      <c r="B531" s="833"/>
      <c r="C531" s="833"/>
      <c r="D531" s="833"/>
      <c r="E531" s="214">
        <v>8723281000</v>
      </c>
      <c r="F531" s="214">
        <v>1023165000</v>
      </c>
      <c r="G531" s="306" t="s">
        <v>477</v>
      </c>
      <c r="H531" s="4">
        <f t="shared" si="52"/>
        <v>62</v>
      </c>
      <c r="O531" s="421"/>
    </row>
    <row r="532" spans="1:15" ht="15.75" hidden="1" customHeight="1" x14ac:dyDescent="0.25">
      <c r="A532" s="239" t="s">
        <v>305</v>
      </c>
      <c r="B532" s="833"/>
      <c r="C532" s="833"/>
      <c r="D532" s="833"/>
      <c r="E532" s="214">
        <v>8723281000</v>
      </c>
      <c r="F532" s="214">
        <v>1023165000</v>
      </c>
      <c r="G532" s="306" t="s">
        <v>477</v>
      </c>
      <c r="H532" s="4">
        <f t="shared" si="52"/>
        <v>62</v>
      </c>
      <c r="O532" s="421"/>
    </row>
    <row r="533" spans="1:15" ht="15.75" hidden="1" customHeight="1" x14ac:dyDescent="0.25">
      <c r="A533" s="239" t="s">
        <v>306</v>
      </c>
      <c r="B533" s="833"/>
      <c r="C533" s="833"/>
      <c r="D533" s="833"/>
      <c r="E533" s="214">
        <v>8723281000</v>
      </c>
      <c r="F533" s="214">
        <v>1023165000</v>
      </c>
      <c r="G533" s="306" t="s">
        <v>477</v>
      </c>
      <c r="H533" s="4">
        <f t="shared" si="52"/>
        <v>62</v>
      </c>
      <c r="O533" s="421"/>
    </row>
    <row r="534" spans="1:15" ht="15.75" hidden="1" customHeight="1" x14ac:dyDescent="0.25">
      <c r="A534" s="239" t="s">
        <v>308</v>
      </c>
      <c r="B534" s="833"/>
      <c r="C534" s="833"/>
      <c r="D534" s="833"/>
      <c r="E534" s="214">
        <v>8723281000</v>
      </c>
      <c r="F534" s="214">
        <v>1023165000</v>
      </c>
      <c r="G534" s="306" t="s">
        <v>477</v>
      </c>
      <c r="H534" s="4">
        <f t="shared" si="52"/>
        <v>62</v>
      </c>
      <c r="O534" s="421"/>
    </row>
    <row r="535" spans="1:15" ht="15.75" hidden="1" customHeight="1" x14ac:dyDescent="0.25">
      <c r="A535" s="239" t="s">
        <v>309</v>
      </c>
      <c r="B535" s="833"/>
      <c r="C535" s="833"/>
      <c r="D535" s="833"/>
      <c r="E535" s="214">
        <v>8961092887</v>
      </c>
      <c r="F535" s="214">
        <v>1053165000</v>
      </c>
      <c r="G535" s="306" t="s">
        <v>477</v>
      </c>
      <c r="H535" s="4">
        <f t="shared" si="52"/>
        <v>62</v>
      </c>
      <c r="O535" s="421"/>
    </row>
    <row r="536" spans="1:15" ht="15.75" hidden="1" customHeight="1" x14ac:dyDescent="0.25">
      <c r="A536" s="237" t="s">
        <v>275</v>
      </c>
      <c r="B536" s="833"/>
      <c r="C536" s="833"/>
      <c r="D536" s="833"/>
      <c r="E536" s="214">
        <v>8961092887</v>
      </c>
      <c r="F536" s="214">
        <v>1058251900</v>
      </c>
      <c r="G536" s="306" t="s">
        <v>477</v>
      </c>
      <c r="H536" s="4">
        <f t="shared" si="52"/>
        <v>62</v>
      </c>
      <c r="O536" s="421"/>
    </row>
    <row r="537" spans="1:15" ht="15.75" hidden="1" customHeight="1" x14ac:dyDescent="0.25">
      <c r="A537" s="239" t="s">
        <v>281</v>
      </c>
      <c r="B537" s="833"/>
      <c r="C537" s="833"/>
      <c r="D537" s="833"/>
      <c r="E537" s="214">
        <v>8948462887</v>
      </c>
      <c r="F537" s="214">
        <v>1058251900</v>
      </c>
      <c r="G537" s="306" t="s">
        <v>477</v>
      </c>
      <c r="H537" s="4">
        <f t="shared" si="52"/>
        <v>62</v>
      </c>
      <c r="O537" s="421"/>
    </row>
    <row r="538" spans="1:15" ht="15.75" hidden="1" customHeight="1" x14ac:dyDescent="0.25">
      <c r="A538" s="239" t="s">
        <v>282</v>
      </c>
      <c r="B538" s="833"/>
      <c r="C538" s="833"/>
      <c r="D538" s="833"/>
      <c r="E538" s="214">
        <v>8932432887</v>
      </c>
      <c r="F538" s="214">
        <v>1058251901</v>
      </c>
      <c r="G538" s="306" t="s">
        <v>477</v>
      </c>
      <c r="H538" s="4">
        <f t="shared" si="52"/>
        <v>62</v>
      </c>
      <c r="O538" s="421"/>
    </row>
    <row r="539" spans="1:15" ht="15.75" hidden="1" customHeight="1" x14ac:dyDescent="0.25">
      <c r="A539" s="239" t="s">
        <v>283</v>
      </c>
      <c r="B539" s="833"/>
      <c r="C539" s="833"/>
      <c r="D539" s="833"/>
      <c r="E539" s="214">
        <v>8978041287</v>
      </c>
      <c r="F539" s="214">
        <v>1058251900</v>
      </c>
      <c r="G539" s="306" t="s">
        <v>477</v>
      </c>
      <c r="H539" s="4">
        <f t="shared" si="52"/>
        <v>62</v>
      </c>
      <c r="O539" s="421"/>
    </row>
    <row r="540" spans="1:15" ht="15.75" hidden="1" customHeight="1" x14ac:dyDescent="0.25">
      <c r="A540" s="239" t="s">
        <v>284</v>
      </c>
      <c r="B540" s="833"/>
      <c r="C540" s="833"/>
      <c r="D540" s="833"/>
      <c r="E540" s="214">
        <v>8982847287</v>
      </c>
      <c r="F540" s="214">
        <v>6893238033</v>
      </c>
      <c r="G540" s="306" t="s">
        <v>478</v>
      </c>
      <c r="H540" s="4">
        <f t="shared" si="52"/>
        <v>69</v>
      </c>
      <c r="O540" s="421"/>
    </row>
    <row r="541" spans="1:15" ht="15.75" hidden="1" customHeight="1" x14ac:dyDescent="0.25">
      <c r="A541" s="240" t="s">
        <v>285</v>
      </c>
      <c r="B541" s="834"/>
      <c r="C541" s="834"/>
      <c r="D541" s="834"/>
      <c r="E541" s="215">
        <v>8982847287</v>
      </c>
      <c r="F541" s="215">
        <v>8455144600</v>
      </c>
      <c r="G541" s="330" t="s">
        <v>479</v>
      </c>
      <c r="H541" s="4">
        <f t="shared" si="52"/>
        <v>87</v>
      </c>
      <c r="O541" s="421"/>
    </row>
    <row r="542" spans="1:15" ht="15.75" hidden="1" customHeight="1" x14ac:dyDescent="0.25">
      <c r="A542" s="179"/>
      <c r="G542" s="328"/>
      <c r="O542" s="421"/>
    </row>
    <row r="543" spans="1:15" ht="15.75" hidden="1" customHeight="1" x14ac:dyDescent="0.25">
      <c r="A543" s="179"/>
      <c r="G543" s="328"/>
      <c r="O543" s="421"/>
    </row>
    <row r="544" spans="1:15" ht="15.75" hidden="1" customHeight="1" x14ac:dyDescent="0.25">
      <c r="A544" s="269" t="s">
        <v>26</v>
      </c>
      <c r="B544" s="321" t="s">
        <v>323</v>
      </c>
      <c r="C544" s="321" t="s">
        <v>324</v>
      </c>
      <c r="D544" s="321" t="s">
        <v>430</v>
      </c>
      <c r="E544" s="321" t="s">
        <v>474</v>
      </c>
      <c r="F544" s="321" t="s">
        <v>475</v>
      </c>
      <c r="G544" s="331" t="s">
        <v>433</v>
      </c>
      <c r="O544" s="421"/>
    </row>
    <row r="545" spans="1:15" ht="15.75" hidden="1" customHeight="1" x14ac:dyDescent="0.25">
      <c r="A545" s="239" t="s">
        <v>287</v>
      </c>
      <c r="B545" s="972" t="s">
        <v>343</v>
      </c>
      <c r="C545" s="972" t="s">
        <v>344</v>
      </c>
      <c r="D545" s="979" t="s">
        <v>440</v>
      </c>
      <c r="E545" s="214">
        <v>7818660000</v>
      </c>
      <c r="F545" s="214">
        <v>840161000</v>
      </c>
      <c r="G545" s="306" t="s">
        <v>477</v>
      </c>
      <c r="H545" s="4">
        <f t="shared" ref="H545:H556" si="53">LEN(G545)</f>
        <v>62</v>
      </c>
      <c r="O545" s="421"/>
    </row>
    <row r="546" spans="1:15" ht="15.75" hidden="1" customHeight="1" x14ac:dyDescent="0.25">
      <c r="A546" s="239" t="s">
        <v>296</v>
      </c>
      <c r="B546" s="833"/>
      <c r="C546" s="833"/>
      <c r="D546" s="833"/>
      <c r="E546" s="214">
        <v>7818660000</v>
      </c>
      <c r="F546" s="214">
        <v>840161000</v>
      </c>
      <c r="G546" s="306" t="s">
        <v>477</v>
      </c>
      <c r="H546" s="4">
        <f t="shared" si="53"/>
        <v>62</v>
      </c>
      <c r="O546" s="421"/>
    </row>
    <row r="547" spans="1:15" ht="15.75" hidden="1" customHeight="1" x14ac:dyDescent="0.25">
      <c r="A547" s="239" t="s">
        <v>305</v>
      </c>
      <c r="B547" s="833"/>
      <c r="C547" s="833"/>
      <c r="D547" s="833"/>
      <c r="E547" s="214">
        <v>7818660000</v>
      </c>
      <c r="F547" s="214">
        <v>840161000</v>
      </c>
      <c r="G547" s="306" t="s">
        <v>477</v>
      </c>
      <c r="H547" s="4">
        <f t="shared" si="53"/>
        <v>62</v>
      </c>
      <c r="O547" s="421"/>
    </row>
    <row r="548" spans="1:15" ht="15.75" hidden="1" customHeight="1" x14ac:dyDescent="0.25">
      <c r="A548" s="239" t="s">
        <v>306</v>
      </c>
      <c r="B548" s="833"/>
      <c r="C548" s="833"/>
      <c r="D548" s="833"/>
      <c r="E548" s="214">
        <v>7818660000</v>
      </c>
      <c r="F548" s="214">
        <v>1160759750</v>
      </c>
      <c r="G548" s="306" t="s">
        <v>480</v>
      </c>
      <c r="H548" s="4">
        <f t="shared" si="53"/>
        <v>94</v>
      </c>
      <c r="O548" s="421"/>
    </row>
    <row r="549" spans="1:15" ht="15.75" hidden="1" customHeight="1" x14ac:dyDescent="0.25">
      <c r="A549" s="239" t="s">
        <v>308</v>
      </c>
      <c r="B549" s="833"/>
      <c r="C549" s="833"/>
      <c r="D549" s="833"/>
      <c r="E549" s="214">
        <v>7818660000</v>
      </c>
      <c r="F549" s="214">
        <v>1160759750</v>
      </c>
      <c r="G549" s="306" t="s">
        <v>480</v>
      </c>
      <c r="H549" s="4">
        <f t="shared" si="53"/>
        <v>94</v>
      </c>
      <c r="O549" s="421"/>
    </row>
    <row r="550" spans="1:15" ht="15.75" hidden="1" customHeight="1" x14ac:dyDescent="0.25">
      <c r="A550" s="239" t="s">
        <v>309</v>
      </c>
      <c r="B550" s="833"/>
      <c r="C550" s="833"/>
      <c r="D550" s="833"/>
      <c r="E550" s="214">
        <v>7809322000</v>
      </c>
      <c r="F550" s="214">
        <v>1160759750</v>
      </c>
      <c r="G550" s="306" t="s">
        <v>480</v>
      </c>
      <c r="H550" s="4">
        <f t="shared" si="53"/>
        <v>94</v>
      </c>
      <c r="O550" s="421"/>
    </row>
    <row r="551" spans="1:15" ht="15.75" hidden="1" customHeight="1" x14ac:dyDescent="0.25">
      <c r="A551" s="237" t="s">
        <v>275</v>
      </c>
      <c r="B551" s="833"/>
      <c r="C551" s="833"/>
      <c r="D551" s="833"/>
      <c r="E551" s="214">
        <v>7809322000</v>
      </c>
      <c r="F551" s="214">
        <v>1160759750</v>
      </c>
      <c r="G551" s="306" t="s">
        <v>480</v>
      </c>
      <c r="H551" s="4">
        <f t="shared" si="53"/>
        <v>94</v>
      </c>
      <c r="O551" s="421"/>
    </row>
    <row r="552" spans="1:15" ht="15.75" hidden="1" customHeight="1" x14ac:dyDescent="0.25">
      <c r="A552" s="239" t="s">
        <v>281</v>
      </c>
      <c r="B552" s="833"/>
      <c r="C552" s="833"/>
      <c r="D552" s="833"/>
      <c r="E552" s="214">
        <v>7821952000</v>
      </c>
      <c r="F552" s="214">
        <v>1180873764</v>
      </c>
      <c r="G552" s="306" t="s">
        <v>480</v>
      </c>
      <c r="H552" s="4">
        <f t="shared" si="53"/>
        <v>94</v>
      </c>
      <c r="O552" s="421"/>
    </row>
    <row r="553" spans="1:15" ht="15.75" hidden="1" customHeight="1" x14ac:dyDescent="0.25">
      <c r="A553" s="239" t="s">
        <v>282</v>
      </c>
      <c r="B553" s="833"/>
      <c r="C553" s="833"/>
      <c r="D553" s="833"/>
      <c r="E553" s="214">
        <v>7837982000</v>
      </c>
      <c r="F553" s="214">
        <v>1196903701</v>
      </c>
      <c r="G553" s="306" t="s">
        <v>480</v>
      </c>
      <c r="H553" s="4">
        <f t="shared" si="53"/>
        <v>94</v>
      </c>
      <c r="O553" s="421"/>
    </row>
    <row r="554" spans="1:15" ht="15.75" hidden="1" customHeight="1" x14ac:dyDescent="0.25">
      <c r="A554" s="239" t="s">
        <v>283</v>
      </c>
      <c r="B554" s="833"/>
      <c r="C554" s="833"/>
      <c r="D554" s="833"/>
      <c r="E554" s="214">
        <v>7891967500</v>
      </c>
      <c r="F554" s="214">
        <v>1196903701</v>
      </c>
      <c r="G554" s="306" t="s">
        <v>480</v>
      </c>
      <c r="H554" s="4">
        <f t="shared" si="53"/>
        <v>94</v>
      </c>
      <c r="O554" s="421"/>
    </row>
    <row r="555" spans="1:15" ht="15.75" hidden="1" customHeight="1" x14ac:dyDescent="0.25">
      <c r="A555" s="239" t="s">
        <v>284</v>
      </c>
      <c r="B555" s="833"/>
      <c r="C555" s="833"/>
      <c r="D555" s="833"/>
      <c r="E555" s="214">
        <v>7881343527</v>
      </c>
      <c r="F555" s="214">
        <v>1212035101</v>
      </c>
      <c r="G555" s="306" t="s">
        <v>480</v>
      </c>
      <c r="H555" s="4">
        <f t="shared" si="53"/>
        <v>94</v>
      </c>
      <c r="O555" s="421"/>
    </row>
    <row r="556" spans="1:15" ht="15.75" hidden="1" customHeight="1" x14ac:dyDescent="0.25">
      <c r="A556" s="240" t="s">
        <v>285</v>
      </c>
      <c r="B556" s="834"/>
      <c r="C556" s="834"/>
      <c r="D556" s="834"/>
      <c r="E556" s="215">
        <v>7881343527</v>
      </c>
      <c r="F556" s="215">
        <v>7878840335</v>
      </c>
      <c r="G556" s="330" t="s">
        <v>481</v>
      </c>
      <c r="H556" s="4">
        <f t="shared" si="53"/>
        <v>148</v>
      </c>
      <c r="O556" s="421"/>
    </row>
    <row r="557" spans="1:15" ht="15.75" hidden="1" customHeight="1" x14ac:dyDescent="0.25">
      <c r="A557" s="179"/>
      <c r="G557" s="328"/>
      <c r="O557" s="421"/>
    </row>
    <row r="558" spans="1:15" ht="15.75" hidden="1" customHeight="1" x14ac:dyDescent="0.25">
      <c r="A558" s="179"/>
      <c r="G558" s="328"/>
      <c r="O558" s="421"/>
    </row>
    <row r="559" spans="1:15" ht="15.75" hidden="1" customHeight="1" x14ac:dyDescent="0.25">
      <c r="A559" s="269" t="s">
        <v>26</v>
      </c>
      <c r="B559" s="321" t="s">
        <v>323</v>
      </c>
      <c r="C559" s="321" t="s">
        <v>324</v>
      </c>
      <c r="D559" s="321" t="s">
        <v>430</v>
      </c>
      <c r="E559" s="321" t="s">
        <v>474</v>
      </c>
      <c r="F559" s="321" t="s">
        <v>475</v>
      </c>
      <c r="G559" s="331" t="s">
        <v>433</v>
      </c>
      <c r="O559" s="421"/>
    </row>
    <row r="560" spans="1:15" ht="15.75" hidden="1" customHeight="1" x14ac:dyDescent="0.25">
      <c r="A560" s="239" t="s">
        <v>287</v>
      </c>
      <c r="B560" s="972" t="s">
        <v>343</v>
      </c>
      <c r="C560" s="972" t="s">
        <v>344</v>
      </c>
      <c r="D560" s="979" t="s">
        <v>445</v>
      </c>
      <c r="E560" s="214">
        <v>9719572000</v>
      </c>
      <c r="F560" s="214">
        <v>1127853000</v>
      </c>
      <c r="G560" s="306" t="s">
        <v>477</v>
      </c>
      <c r="H560" s="4">
        <f t="shared" ref="H560:H571" si="54">LEN(G560)</f>
        <v>62</v>
      </c>
      <c r="O560" s="421"/>
    </row>
    <row r="561" spans="1:15" ht="15.75" hidden="1" customHeight="1" x14ac:dyDescent="0.25">
      <c r="A561" s="239" t="s">
        <v>296</v>
      </c>
      <c r="B561" s="833"/>
      <c r="C561" s="833"/>
      <c r="D561" s="833"/>
      <c r="E561" s="214">
        <v>9719572000</v>
      </c>
      <c r="F561" s="214">
        <v>1127853000</v>
      </c>
      <c r="G561" s="306" t="s">
        <v>477</v>
      </c>
      <c r="H561" s="4">
        <f t="shared" si="54"/>
        <v>62</v>
      </c>
      <c r="O561" s="421"/>
    </row>
    <row r="562" spans="1:15" ht="15.75" hidden="1" customHeight="1" x14ac:dyDescent="0.25">
      <c r="A562" s="239" t="s">
        <v>305</v>
      </c>
      <c r="B562" s="833"/>
      <c r="C562" s="833"/>
      <c r="D562" s="833"/>
      <c r="E562" s="214">
        <v>9719572000</v>
      </c>
      <c r="F562" s="214">
        <v>1127853000</v>
      </c>
      <c r="G562" s="306" t="s">
        <v>477</v>
      </c>
      <c r="H562" s="4">
        <f t="shared" si="54"/>
        <v>62</v>
      </c>
      <c r="O562" s="421"/>
    </row>
    <row r="563" spans="1:15" ht="15.75" hidden="1" customHeight="1" x14ac:dyDescent="0.25">
      <c r="A563" s="239" t="s">
        <v>306</v>
      </c>
      <c r="B563" s="833"/>
      <c r="C563" s="833"/>
      <c r="D563" s="833"/>
      <c r="E563" s="214">
        <v>9719572000</v>
      </c>
      <c r="F563" s="214">
        <v>1377514839</v>
      </c>
      <c r="G563" s="306" t="s">
        <v>482</v>
      </c>
      <c r="H563" s="4">
        <f t="shared" si="54"/>
        <v>133</v>
      </c>
      <c r="O563" s="421"/>
    </row>
    <row r="564" spans="1:15" ht="15.75" hidden="1" customHeight="1" x14ac:dyDescent="0.25">
      <c r="A564" s="239" t="s">
        <v>308</v>
      </c>
      <c r="B564" s="833"/>
      <c r="C564" s="833"/>
      <c r="D564" s="833"/>
      <c r="E564" s="332">
        <v>9769649079</v>
      </c>
      <c r="F564" s="333">
        <v>1440569539</v>
      </c>
      <c r="G564" s="306" t="s">
        <v>482</v>
      </c>
      <c r="H564" s="4">
        <f t="shared" si="54"/>
        <v>133</v>
      </c>
      <c r="O564" s="421"/>
    </row>
    <row r="565" spans="1:15" ht="15.75" hidden="1" customHeight="1" x14ac:dyDescent="0.25">
      <c r="A565" s="239" t="s">
        <v>309</v>
      </c>
      <c r="B565" s="833"/>
      <c r="C565" s="833"/>
      <c r="D565" s="833"/>
      <c r="E565" s="214">
        <v>9769649079</v>
      </c>
      <c r="F565" s="214">
        <v>1440569539</v>
      </c>
      <c r="G565" s="306" t="s">
        <v>482</v>
      </c>
      <c r="H565" s="4">
        <f t="shared" si="54"/>
        <v>133</v>
      </c>
      <c r="O565" s="421"/>
    </row>
    <row r="566" spans="1:15" ht="15.75" hidden="1" customHeight="1" x14ac:dyDescent="0.25">
      <c r="A566" s="237" t="s">
        <v>275</v>
      </c>
      <c r="B566" s="833"/>
      <c r="C566" s="833"/>
      <c r="D566" s="833"/>
      <c r="E566" s="214">
        <v>9769649079</v>
      </c>
      <c r="F566" s="214">
        <v>1495861272</v>
      </c>
      <c r="G566" s="306" t="s">
        <v>482</v>
      </c>
      <c r="H566" s="4">
        <f t="shared" si="54"/>
        <v>133</v>
      </c>
      <c r="O566" s="421"/>
    </row>
    <row r="567" spans="1:15" ht="15.75" hidden="1" customHeight="1" x14ac:dyDescent="0.25">
      <c r="A567" s="239" t="s">
        <v>281</v>
      </c>
      <c r="B567" s="833"/>
      <c r="C567" s="833"/>
      <c r="D567" s="833"/>
      <c r="E567" s="214">
        <v>9769649079</v>
      </c>
      <c r="F567" s="214">
        <v>1495861272</v>
      </c>
      <c r="G567" s="306" t="s">
        <v>482</v>
      </c>
      <c r="H567" s="4">
        <f t="shared" si="54"/>
        <v>133</v>
      </c>
      <c r="O567" s="421"/>
    </row>
    <row r="568" spans="1:15" ht="15.75" hidden="1" customHeight="1" x14ac:dyDescent="0.25">
      <c r="A568" s="239" t="s">
        <v>282</v>
      </c>
      <c r="B568" s="833"/>
      <c r="C568" s="833"/>
      <c r="D568" s="833"/>
      <c r="E568" s="214">
        <v>9769649079</v>
      </c>
      <c r="F568" s="214">
        <v>1495861272</v>
      </c>
      <c r="G568" s="306" t="s">
        <v>482</v>
      </c>
      <c r="H568" s="4">
        <f t="shared" si="54"/>
        <v>133</v>
      </c>
      <c r="O568" s="421"/>
    </row>
    <row r="569" spans="1:15" ht="15.75" hidden="1" customHeight="1" x14ac:dyDescent="0.25">
      <c r="A569" s="239" t="s">
        <v>283</v>
      </c>
      <c r="B569" s="833"/>
      <c r="C569" s="833"/>
      <c r="D569" s="833"/>
      <c r="E569" s="214">
        <v>9846277079</v>
      </c>
      <c r="F569" s="214">
        <v>1495861272</v>
      </c>
      <c r="G569" s="306" t="s">
        <v>482</v>
      </c>
      <c r="H569" s="4">
        <f t="shared" si="54"/>
        <v>133</v>
      </c>
      <c r="O569" s="421"/>
    </row>
    <row r="570" spans="1:15" ht="15.75" hidden="1" customHeight="1" x14ac:dyDescent="0.25">
      <c r="A570" s="239" t="s">
        <v>284</v>
      </c>
      <c r="B570" s="833"/>
      <c r="C570" s="833"/>
      <c r="D570" s="833"/>
      <c r="E570" s="214">
        <v>9863777937</v>
      </c>
      <c r="F570" s="214">
        <v>1539979172</v>
      </c>
      <c r="G570" s="306" t="s">
        <v>482</v>
      </c>
      <c r="H570" s="4">
        <f t="shared" si="54"/>
        <v>133</v>
      </c>
      <c r="O570" s="421"/>
    </row>
    <row r="571" spans="1:15" ht="15.75" hidden="1" customHeight="1" x14ac:dyDescent="0.25">
      <c r="A571" s="240" t="s">
        <v>285</v>
      </c>
      <c r="B571" s="834"/>
      <c r="C571" s="834"/>
      <c r="D571" s="834"/>
      <c r="E571" s="215">
        <v>9863777937</v>
      </c>
      <c r="F571" s="215">
        <v>9859785085</v>
      </c>
      <c r="G571" s="330" t="s">
        <v>483</v>
      </c>
      <c r="H571" s="4">
        <f t="shared" si="54"/>
        <v>180</v>
      </c>
      <c r="O571" s="421"/>
    </row>
    <row r="572" spans="1:15" ht="15.75" hidden="1" customHeight="1" x14ac:dyDescent="0.25">
      <c r="A572" s="179"/>
      <c r="G572" s="328"/>
      <c r="O572" s="421"/>
    </row>
    <row r="573" spans="1:15" ht="15.75" hidden="1" customHeight="1" x14ac:dyDescent="0.25">
      <c r="A573" s="179"/>
      <c r="G573" s="328"/>
      <c r="O573" s="421"/>
    </row>
    <row r="574" spans="1:15" ht="15.75" hidden="1" customHeight="1" x14ac:dyDescent="0.25">
      <c r="A574" s="269" t="s">
        <v>26</v>
      </c>
      <c r="B574" s="321" t="s">
        <v>323</v>
      </c>
      <c r="C574" s="321" t="s">
        <v>324</v>
      </c>
      <c r="D574" s="321" t="s">
        <v>430</v>
      </c>
      <c r="E574" s="321" t="s">
        <v>474</v>
      </c>
      <c r="F574" s="321" t="s">
        <v>475</v>
      </c>
      <c r="G574" s="331" t="s">
        <v>433</v>
      </c>
      <c r="K574" s="107"/>
      <c r="L574" s="107"/>
      <c r="O574" s="421"/>
    </row>
    <row r="575" spans="1:15" ht="15.75" hidden="1" customHeight="1" x14ac:dyDescent="0.25">
      <c r="A575" s="239" t="s">
        <v>287</v>
      </c>
      <c r="B575" s="972" t="s">
        <v>354</v>
      </c>
      <c r="C575" s="972" t="s">
        <v>355</v>
      </c>
      <c r="D575" s="979" t="s">
        <v>449</v>
      </c>
      <c r="E575" s="214">
        <v>409912000</v>
      </c>
      <c r="F575" s="214">
        <v>372045000</v>
      </c>
      <c r="G575" s="306" t="s">
        <v>477</v>
      </c>
      <c r="H575" s="4">
        <f t="shared" ref="H575:H586" si="55">LEN(G575)</f>
        <v>62</v>
      </c>
      <c r="O575" s="421"/>
    </row>
    <row r="576" spans="1:15" ht="15.75" hidden="1" customHeight="1" x14ac:dyDescent="0.25">
      <c r="A576" s="239" t="s">
        <v>296</v>
      </c>
      <c r="B576" s="833"/>
      <c r="C576" s="833"/>
      <c r="D576" s="833"/>
      <c r="E576" s="214">
        <v>409912000</v>
      </c>
      <c r="F576" s="214">
        <v>372045000</v>
      </c>
      <c r="G576" s="306" t="s">
        <v>477</v>
      </c>
      <c r="H576" s="4">
        <f t="shared" si="55"/>
        <v>62</v>
      </c>
      <c r="O576" s="421"/>
    </row>
    <row r="577" spans="1:15" ht="15.75" hidden="1" customHeight="1" x14ac:dyDescent="0.25">
      <c r="A577" s="239" t="s">
        <v>305</v>
      </c>
      <c r="B577" s="833"/>
      <c r="C577" s="833"/>
      <c r="D577" s="833"/>
      <c r="E577" s="214">
        <v>409912000</v>
      </c>
      <c r="F577" s="214">
        <v>372045000</v>
      </c>
      <c r="G577" s="306" t="s">
        <v>477</v>
      </c>
      <c r="H577" s="4">
        <f t="shared" si="55"/>
        <v>62</v>
      </c>
      <c r="L577" s="107"/>
      <c r="O577" s="421"/>
    </row>
    <row r="578" spans="1:15" ht="15.75" hidden="1" customHeight="1" x14ac:dyDescent="0.25">
      <c r="A578" s="239" t="s">
        <v>306</v>
      </c>
      <c r="B578" s="833"/>
      <c r="C578" s="833"/>
      <c r="D578" s="833"/>
      <c r="E578" s="214">
        <v>409912000</v>
      </c>
      <c r="F578" s="214">
        <v>372045000</v>
      </c>
      <c r="G578" s="306" t="s">
        <v>477</v>
      </c>
      <c r="H578" s="4">
        <f t="shared" si="55"/>
        <v>62</v>
      </c>
      <c r="L578" s="334"/>
      <c r="O578" s="421"/>
    </row>
    <row r="579" spans="1:15" ht="15.75" hidden="1" customHeight="1" x14ac:dyDescent="0.25">
      <c r="A579" s="239" t="s">
        <v>308</v>
      </c>
      <c r="B579" s="833"/>
      <c r="C579" s="833"/>
      <c r="D579" s="833"/>
      <c r="E579" s="335">
        <v>403248920</v>
      </c>
      <c r="F579" s="214">
        <v>372045000</v>
      </c>
      <c r="G579" s="306" t="s">
        <v>477</v>
      </c>
      <c r="H579" s="4">
        <f t="shared" si="55"/>
        <v>62</v>
      </c>
      <c r="O579" s="421"/>
    </row>
    <row r="580" spans="1:15" ht="15.75" hidden="1" customHeight="1" x14ac:dyDescent="0.25">
      <c r="A580" s="239" t="s">
        <v>309</v>
      </c>
      <c r="B580" s="833"/>
      <c r="C580" s="833"/>
      <c r="D580" s="833"/>
      <c r="E580" s="214">
        <v>403248921</v>
      </c>
      <c r="F580" s="214">
        <v>392045000</v>
      </c>
      <c r="G580" s="306" t="s">
        <v>477</v>
      </c>
      <c r="H580" s="4">
        <f t="shared" si="55"/>
        <v>62</v>
      </c>
      <c r="L580" s="336"/>
      <c r="O580" s="421"/>
    </row>
    <row r="581" spans="1:15" ht="15.75" hidden="1" customHeight="1" x14ac:dyDescent="0.25">
      <c r="A581" s="237" t="s">
        <v>275</v>
      </c>
      <c r="B581" s="833"/>
      <c r="C581" s="833"/>
      <c r="D581" s="833"/>
      <c r="E581" s="214">
        <v>403248921</v>
      </c>
      <c r="F581" s="214">
        <v>392045000</v>
      </c>
      <c r="G581" s="306" t="s">
        <v>477</v>
      </c>
      <c r="H581" s="4">
        <f t="shared" si="55"/>
        <v>62</v>
      </c>
      <c r="O581" s="421"/>
    </row>
    <row r="582" spans="1:15" ht="15.75" hidden="1" customHeight="1" x14ac:dyDescent="0.25">
      <c r="A582" s="239" t="s">
        <v>281</v>
      </c>
      <c r="B582" s="833"/>
      <c r="C582" s="833"/>
      <c r="D582" s="833"/>
      <c r="E582" s="214">
        <v>1203248921</v>
      </c>
      <c r="F582" s="214">
        <v>392045000</v>
      </c>
      <c r="G582" s="306" t="s">
        <v>477</v>
      </c>
      <c r="H582" s="4">
        <f t="shared" si="55"/>
        <v>62</v>
      </c>
      <c r="O582" s="421"/>
    </row>
    <row r="583" spans="1:15" ht="15.75" hidden="1" customHeight="1" x14ac:dyDescent="0.25">
      <c r="A583" s="239" t="s">
        <v>282</v>
      </c>
      <c r="B583" s="833"/>
      <c r="C583" s="833"/>
      <c r="D583" s="833"/>
      <c r="E583" s="214">
        <v>1203248921</v>
      </c>
      <c r="F583" s="214">
        <v>392045000</v>
      </c>
      <c r="G583" s="306" t="s">
        <v>477</v>
      </c>
      <c r="H583" s="4">
        <f t="shared" si="55"/>
        <v>62</v>
      </c>
      <c r="O583" s="421"/>
    </row>
    <row r="584" spans="1:15" ht="15.75" hidden="1" customHeight="1" x14ac:dyDescent="0.25">
      <c r="A584" s="239" t="s">
        <v>283</v>
      </c>
      <c r="B584" s="833"/>
      <c r="C584" s="833"/>
      <c r="D584" s="833"/>
      <c r="E584" s="214">
        <v>913027021</v>
      </c>
      <c r="F584" s="214">
        <v>450974000</v>
      </c>
      <c r="G584" s="306" t="s">
        <v>477</v>
      </c>
      <c r="H584" s="4">
        <f t="shared" si="55"/>
        <v>62</v>
      </c>
      <c r="O584" s="421"/>
    </row>
    <row r="585" spans="1:15" ht="15.75" hidden="1" customHeight="1" x14ac:dyDescent="0.25">
      <c r="A585" s="239" t="s">
        <v>284</v>
      </c>
      <c r="B585" s="833"/>
      <c r="C585" s="833"/>
      <c r="D585" s="833"/>
      <c r="E585" s="214">
        <v>901344136</v>
      </c>
      <c r="F585" s="214">
        <v>473591000</v>
      </c>
      <c r="G585" s="306" t="s">
        <v>477</v>
      </c>
      <c r="H585" s="4">
        <f t="shared" si="55"/>
        <v>62</v>
      </c>
      <c r="O585" s="421"/>
    </row>
    <row r="586" spans="1:15" ht="15.75" hidden="1" customHeight="1" x14ac:dyDescent="0.25">
      <c r="A586" s="240" t="s">
        <v>285</v>
      </c>
      <c r="B586" s="834"/>
      <c r="C586" s="834"/>
      <c r="D586" s="834"/>
      <c r="E586" s="215">
        <v>901344136</v>
      </c>
      <c r="F586" s="215">
        <v>883409396</v>
      </c>
      <c r="G586" s="330" t="s">
        <v>484</v>
      </c>
      <c r="H586" s="4">
        <f t="shared" si="55"/>
        <v>89</v>
      </c>
      <c r="O586" s="421"/>
    </row>
    <row r="587" spans="1:15" ht="15.75" hidden="1" customHeight="1" x14ac:dyDescent="0.25">
      <c r="B587" s="268"/>
      <c r="C587" s="268"/>
      <c r="D587" s="315"/>
      <c r="E587" s="107"/>
      <c r="F587" s="107"/>
      <c r="H587" s="4"/>
      <c r="O587" s="421"/>
    </row>
    <row r="588" spans="1:15" ht="15.75" customHeight="1" thickBot="1" x14ac:dyDescent="0.3">
      <c r="B588" s="268"/>
      <c r="C588" s="268"/>
      <c r="D588" s="315"/>
      <c r="E588" s="107"/>
      <c r="F588" s="107"/>
      <c r="H588" s="4"/>
      <c r="O588" s="421"/>
    </row>
    <row r="589" spans="1:15" ht="15.75" customHeight="1" x14ac:dyDescent="0.3">
      <c r="A589" s="974" t="s">
        <v>485</v>
      </c>
      <c r="B589" s="716"/>
      <c r="C589" s="716"/>
      <c r="D589" s="716"/>
      <c r="E589" s="716"/>
      <c r="F589" s="716"/>
      <c r="G589" s="815"/>
      <c r="H589" s="437"/>
      <c r="O589" s="421"/>
    </row>
    <row r="590" spans="1:15" ht="27.75" customHeight="1" x14ac:dyDescent="0.25">
      <c r="A590" s="243" t="s">
        <v>27</v>
      </c>
      <c r="B590" s="302" t="s">
        <v>323</v>
      </c>
      <c r="C590" s="302" t="s">
        <v>324</v>
      </c>
      <c r="D590" s="302" t="s">
        <v>430</v>
      </c>
      <c r="E590" s="302" t="s">
        <v>486</v>
      </c>
      <c r="F590" s="302" t="s">
        <v>487</v>
      </c>
      <c r="G590" s="303" t="s">
        <v>433</v>
      </c>
      <c r="H590" s="437"/>
      <c r="O590" s="421"/>
    </row>
    <row r="591" spans="1:15" ht="15.75" customHeight="1" x14ac:dyDescent="0.25">
      <c r="A591" s="405" t="s">
        <v>287</v>
      </c>
      <c r="B591" s="969" t="s">
        <v>336</v>
      </c>
      <c r="C591" s="975" t="s">
        <v>434</v>
      </c>
      <c r="D591" s="973" t="s">
        <v>435</v>
      </c>
      <c r="E591" s="403">
        <v>7317016000</v>
      </c>
      <c r="F591" s="403">
        <v>6599815016</v>
      </c>
      <c r="G591" s="429" t="s">
        <v>488</v>
      </c>
      <c r="H591" s="421">
        <f t="shared" ref="H591:H602" si="56">LEN(G591)</f>
        <v>83</v>
      </c>
      <c r="O591" s="4"/>
    </row>
    <row r="592" spans="1:15" ht="15.75" customHeight="1" x14ac:dyDescent="0.25">
      <c r="A592" s="405" t="s">
        <v>296</v>
      </c>
      <c r="B592" s="863"/>
      <c r="C592" s="863"/>
      <c r="D592" s="863"/>
      <c r="E592" s="403">
        <v>7323016000</v>
      </c>
      <c r="F592" s="403">
        <v>6998930016</v>
      </c>
      <c r="G592" s="430" t="s">
        <v>489</v>
      </c>
      <c r="H592" s="421">
        <f t="shared" si="56"/>
        <v>84</v>
      </c>
      <c r="O592" s="4"/>
    </row>
    <row r="593" spans="1:15" ht="15.75" customHeight="1" x14ac:dyDescent="0.25">
      <c r="A593" s="405" t="s">
        <v>305</v>
      </c>
      <c r="B593" s="863"/>
      <c r="C593" s="863"/>
      <c r="D593" s="863"/>
      <c r="E593" s="403">
        <v>7323016000</v>
      </c>
      <c r="F593" s="403">
        <v>7107970016</v>
      </c>
      <c r="G593" s="431" t="s">
        <v>489</v>
      </c>
      <c r="H593" s="421">
        <f t="shared" si="56"/>
        <v>84</v>
      </c>
      <c r="O593" s="4"/>
    </row>
    <row r="594" spans="1:15" ht="15.75" customHeight="1" x14ac:dyDescent="0.25">
      <c r="A594" s="405" t="s">
        <v>306</v>
      </c>
      <c r="B594" s="863"/>
      <c r="C594" s="863"/>
      <c r="D594" s="863"/>
      <c r="E594" s="403"/>
      <c r="F594" s="403"/>
      <c r="G594" s="429"/>
      <c r="H594" s="421">
        <f t="shared" si="56"/>
        <v>0</v>
      </c>
      <c r="O594" s="4"/>
    </row>
    <row r="595" spans="1:15" ht="15.75" customHeight="1" x14ac:dyDescent="0.25">
      <c r="A595" s="405" t="s">
        <v>308</v>
      </c>
      <c r="B595" s="863"/>
      <c r="C595" s="863"/>
      <c r="D595" s="863"/>
      <c r="E595" s="403"/>
      <c r="F595" s="403"/>
      <c r="G595" s="429"/>
      <c r="H595" s="421">
        <f t="shared" si="56"/>
        <v>0</v>
      </c>
      <c r="O595" s="4"/>
    </row>
    <row r="596" spans="1:15" ht="15.75" customHeight="1" x14ac:dyDescent="0.25">
      <c r="A596" s="405" t="s">
        <v>309</v>
      </c>
      <c r="B596" s="863"/>
      <c r="C596" s="863"/>
      <c r="D596" s="863"/>
      <c r="E596" s="403"/>
      <c r="F596" s="403"/>
      <c r="G596" s="429"/>
      <c r="H596" s="421">
        <f t="shared" si="56"/>
        <v>0</v>
      </c>
      <c r="O596" s="4"/>
    </row>
    <row r="597" spans="1:15" ht="15.75" customHeight="1" x14ac:dyDescent="0.25">
      <c r="A597" s="432" t="s">
        <v>275</v>
      </c>
      <c r="B597" s="863"/>
      <c r="C597" s="863"/>
      <c r="D597" s="863"/>
      <c r="E597" s="403"/>
      <c r="F597" s="403"/>
      <c r="G597" s="429"/>
      <c r="H597" s="421">
        <f t="shared" si="56"/>
        <v>0</v>
      </c>
      <c r="O597" s="4"/>
    </row>
    <row r="598" spans="1:15" ht="15.75" customHeight="1" x14ac:dyDescent="0.25">
      <c r="A598" s="405" t="s">
        <v>281</v>
      </c>
      <c r="B598" s="863"/>
      <c r="C598" s="863"/>
      <c r="D598" s="863"/>
      <c r="E598" s="403"/>
      <c r="F598" s="403"/>
      <c r="G598" s="429"/>
      <c r="H598" s="421">
        <f t="shared" si="56"/>
        <v>0</v>
      </c>
      <c r="O598" s="4"/>
    </row>
    <row r="599" spans="1:15" ht="15.75" customHeight="1" x14ac:dyDescent="0.25">
      <c r="A599" s="405" t="s">
        <v>282</v>
      </c>
      <c r="B599" s="863"/>
      <c r="C599" s="863"/>
      <c r="D599" s="863"/>
      <c r="E599" s="403"/>
      <c r="F599" s="403"/>
      <c r="G599" s="429"/>
      <c r="H599" s="421">
        <f t="shared" si="56"/>
        <v>0</v>
      </c>
      <c r="O599" s="4"/>
    </row>
    <row r="600" spans="1:15" ht="15.75" customHeight="1" x14ac:dyDescent="0.25">
      <c r="A600" s="405" t="s">
        <v>283</v>
      </c>
      <c r="B600" s="863"/>
      <c r="C600" s="863"/>
      <c r="D600" s="863"/>
      <c r="E600" s="403"/>
      <c r="F600" s="403"/>
      <c r="G600" s="429"/>
      <c r="H600" s="421">
        <f t="shared" si="56"/>
        <v>0</v>
      </c>
      <c r="O600" s="4"/>
    </row>
    <row r="601" spans="1:15" ht="15.75" customHeight="1" x14ac:dyDescent="0.25">
      <c r="A601" s="405" t="s">
        <v>284</v>
      </c>
      <c r="B601" s="863"/>
      <c r="C601" s="863"/>
      <c r="D601" s="863"/>
      <c r="E601" s="403"/>
      <c r="F601" s="403"/>
      <c r="G601" s="429"/>
      <c r="H601" s="421">
        <f t="shared" si="56"/>
        <v>0</v>
      </c>
      <c r="O601" s="4"/>
    </row>
    <row r="602" spans="1:15" ht="15.75" customHeight="1" x14ac:dyDescent="0.25">
      <c r="A602" s="414" t="s">
        <v>285</v>
      </c>
      <c r="B602" s="970"/>
      <c r="C602" s="970"/>
      <c r="D602" s="970"/>
      <c r="E602" s="433"/>
      <c r="F602" s="433"/>
      <c r="G602" s="434"/>
      <c r="H602" s="421">
        <f t="shared" si="56"/>
        <v>0</v>
      </c>
      <c r="O602" s="4"/>
    </row>
    <row r="603" spans="1:15" ht="15.75" customHeight="1" x14ac:dyDescent="0.25">
      <c r="A603" s="179"/>
      <c r="G603" s="328"/>
      <c r="H603" s="437"/>
      <c r="O603" s="4"/>
    </row>
    <row r="604" spans="1:15" ht="15.75" customHeight="1" x14ac:dyDescent="0.25">
      <c r="A604" s="179"/>
      <c r="G604" s="328"/>
      <c r="H604" s="437"/>
      <c r="O604" s="4"/>
    </row>
    <row r="605" spans="1:15" ht="29.25" customHeight="1" x14ac:dyDescent="0.25">
      <c r="A605" s="243" t="s">
        <v>27</v>
      </c>
      <c r="B605" s="321" t="s">
        <v>323</v>
      </c>
      <c r="C605" s="321" t="s">
        <v>324</v>
      </c>
      <c r="D605" s="321" t="s">
        <v>430</v>
      </c>
      <c r="E605" s="302" t="s">
        <v>486</v>
      </c>
      <c r="F605" s="302" t="s">
        <v>487</v>
      </c>
      <c r="G605" s="331" t="s">
        <v>433</v>
      </c>
      <c r="H605" s="437"/>
      <c r="O605" s="4"/>
    </row>
    <row r="606" spans="1:15" ht="15.75" customHeight="1" x14ac:dyDescent="0.25">
      <c r="A606" s="405" t="s">
        <v>287</v>
      </c>
      <c r="B606" s="969" t="s">
        <v>343</v>
      </c>
      <c r="C606" s="969" t="s">
        <v>344</v>
      </c>
      <c r="D606" s="973" t="s">
        <v>440</v>
      </c>
      <c r="E606" s="403">
        <v>15646731000</v>
      </c>
      <c r="F606" s="403">
        <v>11982335825</v>
      </c>
      <c r="G606" s="429" t="s">
        <v>490</v>
      </c>
      <c r="H606" s="421">
        <f t="shared" ref="H606:H617" si="57">LEN(G606)</f>
        <v>90</v>
      </c>
      <c r="O606" s="4"/>
    </row>
    <row r="607" spans="1:15" ht="15.75" customHeight="1" x14ac:dyDescent="0.25">
      <c r="A607" s="405" t="s">
        <v>296</v>
      </c>
      <c r="B607" s="863"/>
      <c r="C607" s="863"/>
      <c r="D607" s="863"/>
      <c r="E607" s="403">
        <v>16721499297</v>
      </c>
      <c r="F607" s="403">
        <v>12801858825</v>
      </c>
      <c r="G607" s="430" t="s">
        <v>490</v>
      </c>
      <c r="H607" s="421">
        <f t="shared" si="57"/>
        <v>90</v>
      </c>
      <c r="O607" s="4"/>
    </row>
    <row r="608" spans="1:15" ht="15.75" customHeight="1" x14ac:dyDescent="0.25">
      <c r="A608" s="405" t="s">
        <v>305</v>
      </c>
      <c r="B608" s="863"/>
      <c r="C608" s="863"/>
      <c r="D608" s="863"/>
      <c r="E608" s="403">
        <v>16721499297</v>
      </c>
      <c r="F608" s="403">
        <v>12956832825</v>
      </c>
      <c r="G608" s="431" t="s">
        <v>490</v>
      </c>
      <c r="H608" s="421">
        <f t="shared" si="57"/>
        <v>90</v>
      </c>
      <c r="O608" s="4"/>
    </row>
    <row r="609" spans="1:15" ht="15.75" customHeight="1" x14ac:dyDescent="0.25">
      <c r="A609" s="405" t="s">
        <v>306</v>
      </c>
      <c r="B609" s="863"/>
      <c r="C609" s="863"/>
      <c r="D609" s="863"/>
      <c r="E609" s="403"/>
      <c r="F609" s="403"/>
      <c r="G609" s="429"/>
      <c r="H609" s="421">
        <f t="shared" si="57"/>
        <v>0</v>
      </c>
      <c r="O609" s="4"/>
    </row>
    <row r="610" spans="1:15" ht="15.75" customHeight="1" x14ac:dyDescent="0.25">
      <c r="A610" s="405" t="s">
        <v>308</v>
      </c>
      <c r="B610" s="863"/>
      <c r="C610" s="863"/>
      <c r="D610" s="863"/>
      <c r="E610" s="403"/>
      <c r="F610" s="403"/>
      <c r="G610" s="429"/>
      <c r="H610" s="421">
        <f t="shared" si="57"/>
        <v>0</v>
      </c>
      <c r="O610" s="4"/>
    </row>
    <row r="611" spans="1:15" ht="15.75" customHeight="1" x14ac:dyDescent="0.25">
      <c r="A611" s="405" t="s">
        <v>309</v>
      </c>
      <c r="B611" s="863"/>
      <c r="C611" s="863"/>
      <c r="D611" s="863"/>
      <c r="E611" s="403"/>
      <c r="F611" s="403"/>
      <c r="G611" s="429"/>
      <c r="H611" s="421">
        <f t="shared" si="57"/>
        <v>0</v>
      </c>
      <c r="O611" s="4"/>
    </row>
    <row r="612" spans="1:15" ht="15.75" customHeight="1" x14ac:dyDescent="0.25">
      <c r="A612" s="432" t="s">
        <v>275</v>
      </c>
      <c r="B612" s="863"/>
      <c r="C612" s="863"/>
      <c r="D612" s="863"/>
      <c r="E612" s="403"/>
      <c r="F612" s="403"/>
      <c r="G612" s="429"/>
      <c r="H612" s="421">
        <f t="shared" si="57"/>
        <v>0</v>
      </c>
      <c r="O612" s="4"/>
    </row>
    <row r="613" spans="1:15" ht="15.75" customHeight="1" x14ac:dyDescent="0.25">
      <c r="A613" s="405" t="s">
        <v>281</v>
      </c>
      <c r="B613" s="863"/>
      <c r="C613" s="863"/>
      <c r="D613" s="863"/>
      <c r="E613" s="403"/>
      <c r="F613" s="403"/>
      <c r="G613" s="429"/>
      <c r="H613" s="421">
        <f t="shared" si="57"/>
        <v>0</v>
      </c>
      <c r="O613" s="4"/>
    </row>
    <row r="614" spans="1:15" ht="15.75" customHeight="1" x14ac:dyDescent="0.25">
      <c r="A614" s="405" t="s">
        <v>282</v>
      </c>
      <c r="B614" s="863"/>
      <c r="C614" s="863"/>
      <c r="D614" s="863"/>
      <c r="E614" s="403"/>
      <c r="F614" s="403"/>
      <c r="G614" s="429"/>
      <c r="H614" s="421">
        <f t="shared" si="57"/>
        <v>0</v>
      </c>
      <c r="O614" s="4"/>
    </row>
    <row r="615" spans="1:15" ht="15.75" customHeight="1" x14ac:dyDescent="0.25">
      <c r="A615" s="405" t="s">
        <v>283</v>
      </c>
      <c r="B615" s="863"/>
      <c r="C615" s="863"/>
      <c r="D615" s="863"/>
      <c r="E615" s="403"/>
      <c r="F615" s="403"/>
      <c r="G615" s="429"/>
      <c r="H615" s="421">
        <f t="shared" si="57"/>
        <v>0</v>
      </c>
      <c r="O615" s="4"/>
    </row>
    <row r="616" spans="1:15" ht="15.75" customHeight="1" x14ac:dyDescent="0.25">
      <c r="A616" s="405" t="s">
        <v>284</v>
      </c>
      <c r="B616" s="863"/>
      <c r="C616" s="863"/>
      <c r="D616" s="863"/>
      <c r="E616" s="403"/>
      <c r="F616" s="403"/>
      <c r="G616" s="429"/>
      <c r="H616" s="421">
        <f t="shared" si="57"/>
        <v>0</v>
      </c>
      <c r="O616" s="4"/>
    </row>
    <row r="617" spans="1:15" ht="15.75" customHeight="1" x14ac:dyDescent="0.25">
      <c r="A617" s="414" t="s">
        <v>285</v>
      </c>
      <c r="B617" s="970"/>
      <c r="C617" s="970"/>
      <c r="D617" s="970"/>
      <c r="E617" s="433"/>
      <c r="F617" s="433"/>
      <c r="G617" s="434"/>
      <c r="H617" s="421">
        <f t="shared" si="57"/>
        <v>0</v>
      </c>
      <c r="O617" s="4"/>
    </row>
    <row r="618" spans="1:15" ht="15.75" customHeight="1" x14ac:dyDescent="0.25">
      <c r="A618" s="179"/>
      <c r="G618" s="328"/>
      <c r="H618" s="437"/>
      <c r="O618" s="4"/>
    </row>
    <row r="619" spans="1:15" ht="15.75" customHeight="1" x14ac:dyDescent="0.25">
      <c r="A619" s="179"/>
      <c r="G619" s="328"/>
      <c r="H619" s="437"/>
      <c r="O619" s="4"/>
    </row>
    <row r="620" spans="1:15" ht="15.75" customHeight="1" x14ac:dyDescent="0.25">
      <c r="A620" s="243" t="s">
        <v>27</v>
      </c>
      <c r="B620" s="321" t="s">
        <v>323</v>
      </c>
      <c r="C620" s="321" t="s">
        <v>324</v>
      </c>
      <c r="D620" s="321" t="s">
        <v>430</v>
      </c>
      <c r="E620" s="302" t="s">
        <v>486</v>
      </c>
      <c r="F620" s="302" t="s">
        <v>487</v>
      </c>
      <c r="G620" s="331" t="s">
        <v>433</v>
      </c>
      <c r="H620" s="437"/>
      <c r="O620" s="4"/>
    </row>
    <row r="621" spans="1:15" ht="15.75" customHeight="1" x14ac:dyDescent="0.25">
      <c r="A621" s="405" t="s">
        <v>287</v>
      </c>
      <c r="B621" s="969" t="s">
        <v>343</v>
      </c>
      <c r="C621" s="969" t="s">
        <v>344</v>
      </c>
      <c r="D621" s="973" t="s">
        <v>445</v>
      </c>
      <c r="E621" s="403">
        <v>15803983000</v>
      </c>
      <c r="F621" s="403">
        <v>1127853000</v>
      </c>
      <c r="G621" s="429" t="s">
        <v>491</v>
      </c>
      <c r="H621" s="421">
        <f t="shared" ref="H621:H632" si="58">LEN(G621)</f>
        <v>92</v>
      </c>
      <c r="O621" s="4"/>
    </row>
    <row r="622" spans="1:15" ht="15.75" customHeight="1" x14ac:dyDescent="0.25">
      <c r="A622" s="405" t="s">
        <v>296</v>
      </c>
      <c r="B622" s="863"/>
      <c r="C622" s="863"/>
      <c r="D622" s="863"/>
      <c r="E622" s="403">
        <v>14723214703</v>
      </c>
      <c r="F622" s="403">
        <v>14142797703</v>
      </c>
      <c r="G622" s="430" t="s">
        <v>491</v>
      </c>
      <c r="H622" s="421">
        <f t="shared" si="58"/>
        <v>92</v>
      </c>
      <c r="O622" s="4"/>
    </row>
    <row r="623" spans="1:15" ht="15.75" customHeight="1" x14ac:dyDescent="0.25">
      <c r="A623" s="405" t="s">
        <v>305</v>
      </c>
      <c r="B623" s="863"/>
      <c r="C623" s="863"/>
      <c r="D623" s="863"/>
      <c r="E623" s="403">
        <v>14723214703</v>
      </c>
      <c r="F623" s="403">
        <v>14241725703</v>
      </c>
      <c r="G623" s="431" t="s">
        <v>491</v>
      </c>
      <c r="H623" s="421">
        <f t="shared" si="58"/>
        <v>92</v>
      </c>
      <c r="O623" s="4"/>
    </row>
    <row r="624" spans="1:15" ht="15.75" customHeight="1" x14ac:dyDescent="0.25">
      <c r="A624" s="405" t="s">
        <v>306</v>
      </c>
      <c r="B624" s="863"/>
      <c r="C624" s="863"/>
      <c r="D624" s="863"/>
      <c r="E624" s="403"/>
      <c r="F624" s="403"/>
      <c r="G624" s="429"/>
      <c r="H624" s="421">
        <f t="shared" si="58"/>
        <v>0</v>
      </c>
      <c r="O624" s="4"/>
    </row>
    <row r="625" spans="1:15" ht="15.75" customHeight="1" x14ac:dyDescent="0.25">
      <c r="A625" s="405" t="s">
        <v>308</v>
      </c>
      <c r="B625" s="863"/>
      <c r="C625" s="863"/>
      <c r="D625" s="863"/>
      <c r="E625" s="435"/>
      <c r="F625" s="436"/>
      <c r="G625" s="429"/>
      <c r="H625" s="421">
        <f t="shared" si="58"/>
        <v>0</v>
      </c>
      <c r="O625" s="4"/>
    </row>
    <row r="626" spans="1:15" ht="15.75" customHeight="1" x14ac:dyDescent="0.25">
      <c r="A626" s="405" t="s">
        <v>309</v>
      </c>
      <c r="B626" s="863"/>
      <c r="C626" s="863"/>
      <c r="D626" s="863"/>
      <c r="E626" s="403"/>
      <c r="F626" s="403"/>
      <c r="G626" s="429"/>
      <c r="H626" s="421">
        <f t="shared" si="58"/>
        <v>0</v>
      </c>
      <c r="O626" s="4"/>
    </row>
    <row r="627" spans="1:15" ht="15.75" customHeight="1" x14ac:dyDescent="0.25">
      <c r="A627" s="432" t="s">
        <v>275</v>
      </c>
      <c r="B627" s="863"/>
      <c r="C627" s="863"/>
      <c r="D627" s="863"/>
      <c r="E627" s="403"/>
      <c r="F627" s="403"/>
      <c r="G627" s="429"/>
      <c r="H627" s="421">
        <f t="shared" si="58"/>
        <v>0</v>
      </c>
      <c r="O627" s="4"/>
    </row>
    <row r="628" spans="1:15" ht="15.75" customHeight="1" x14ac:dyDescent="0.25">
      <c r="A628" s="405" t="s">
        <v>281</v>
      </c>
      <c r="B628" s="863"/>
      <c r="C628" s="863"/>
      <c r="D628" s="863"/>
      <c r="E628" s="403"/>
      <c r="F628" s="403"/>
      <c r="G628" s="429"/>
      <c r="H628" s="421">
        <f t="shared" si="58"/>
        <v>0</v>
      </c>
      <c r="O628" s="4"/>
    </row>
    <row r="629" spans="1:15" ht="15.75" customHeight="1" x14ac:dyDescent="0.25">
      <c r="A629" s="405" t="s">
        <v>282</v>
      </c>
      <c r="B629" s="863"/>
      <c r="C629" s="863"/>
      <c r="D629" s="863"/>
      <c r="E629" s="403"/>
      <c r="F629" s="403"/>
      <c r="G629" s="429"/>
      <c r="H629" s="421">
        <f t="shared" si="58"/>
        <v>0</v>
      </c>
      <c r="O629" s="4"/>
    </row>
    <row r="630" spans="1:15" ht="15.75" customHeight="1" x14ac:dyDescent="0.25">
      <c r="A630" s="405" t="s">
        <v>283</v>
      </c>
      <c r="B630" s="863"/>
      <c r="C630" s="863"/>
      <c r="D630" s="863"/>
      <c r="E630" s="403"/>
      <c r="F630" s="403"/>
      <c r="G630" s="429"/>
      <c r="H630" s="421">
        <f t="shared" si="58"/>
        <v>0</v>
      </c>
      <c r="O630" s="4"/>
    </row>
    <row r="631" spans="1:15" ht="15.75" customHeight="1" x14ac:dyDescent="0.25">
      <c r="A631" s="405" t="s">
        <v>284</v>
      </c>
      <c r="B631" s="863"/>
      <c r="C631" s="863"/>
      <c r="D631" s="863"/>
      <c r="E631" s="403"/>
      <c r="F631" s="403"/>
      <c r="G631" s="429"/>
      <c r="H631" s="421">
        <f t="shared" si="58"/>
        <v>0</v>
      </c>
      <c r="O631" s="4"/>
    </row>
    <row r="632" spans="1:15" ht="15.75" customHeight="1" x14ac:dyDescent="0.25">
      <c r="A632" s="414" t="s">
        <v>285</v>
      </c>
      <c r="B632" s="970"/>
      <c r="C632" s="970"/>
      <c r="D632" s="970"/>
      <c r="E632" s="433"/>
      <c r="F632" s="433"/>
      <c r="G632" s="434"/>
      <c r="H632" s="421">
        <f t="shared" si="58"/>
        <v>0</v>
      </c>
      <c r="O632" s="4"/>
    </row>
    <row r="633" spans="1:15" ht="15.75" customHeight="1" x14ac:dyDescent="0.25">
      <c r="A633" s="179"/>
      <c r="G633" s="328"/>
      <c r="H633" s="437"/>
      <c r="O633" s="4"/>
    </row>
    <row r="634" spans="1:15" ht="15.75" customHeight="1" x14ac:dyDescent="0.25">
      <c r="A634" s="179"/>
      <c r="G634" s="328"/>
      <c r="H634" s="437"/>
      <c r="O634" s="4"/>
    </row>
    <row r="635" spans="1:15" ht="37.5" customHeight="1" x14ac:dyDescent="0.25">
      <c r="A635" s="243" t="s">
        <v>27</v>
      </c>
      <c r="B635" s="321" t="s">
        <v>323</v>
      </c>
      <c r="C635" s="321" t="s">
        <v>324</v>
      </c>
      <c r="D635" s="321" t="s">
        <v>430</v>
      </c>
      <c r="E635" s="302" t="s">
        <v>486</v>
      </c>
      <c r="F635" s="302" t="s">
        <v>487</v>
      </c>
      <c r="G635" s="331" t="s">
        <v>433</v>
      </c>
      <c r="H635" s="437"/>
      <c r="O635" s="4"/>
    </row>
    <row r="636" spans="1:15" ht="15.75" customHeight="1" x14ac:dyDescent="0.25">
      <c r="A636" s="405" t="s">
        <v>287</v>
      </c>
      <c r="B636" s="969" t="s">
        <v>354</v>
      </c>
      <c r="C636" s="969" t="s">
        <v>355</v>
      </c>
      <c r="D636" s="973" t="s">
        <v>449</v>
      </c>
      <c r="E636" s="403">
        <v>708083000</v>
      </c>
      <c r="F636" s="403">
        <v>22681000</v>
      </c>
      <c r="G636" s="429" t="s">
        <v>477</v>
      </c>
      <c r="H636" s="421">
        <f t="shared" ref="H636:H647" si="59">LEN(G636)</f>
        <v>62</v>
      </c>
      <c r="O636" s="4"/>
    </row>
    <row r="637" spans="1:15" ht="15.75" customHeight="1" x14ac:dyDescent="0.25">
      <c r="A637" s="405" t="s">
        <v>296</v>
      </c>
      <c r="B637" s="863"/>
      <c r="C637" s="863"/>
      <c r="D637" s="863"/>
      <c r="E637" s="403">
        <v>708083000</v>
      </c>
      <c r="F637" s="403">
        <v>315501000</v>
      </c>
      <c r="G637" s="430" t="s">
        <v>477</v>
      </c>
      <c r="H637" s="421">
        <f t="shared" si="59"/>
        <v>62</v>
      </c>
      <c r="O637" s="4"/>
    </row>
    <row r="638" spans="1:15" ht="15.75" customHeight="1" x14ac:dyDescent="0.25">
      <c r="A638" s="405" t="s">
        <v>305</v>
      </c>
      <c r="B638" s="863"/>
      <c r="C638" s="863"/>
      <c r="D638" s="863"/>
      <c r="E638" s="403">
        <v>708083000</v>
      </c>
      <c r="F638" s="403">
        <v>555074000</v>
      </c>
      <c r="G638" s="431" t="s">
        <v>477</v>
      </c>
      <c r="H638" s="421">
        <f t="shared" si="59"/>
        <v>62</v>
      </c>
      <c r="O638" s="4"/>
    </row>
    <row r="639" spans="1:15" ht="15.75" customHeight="1" x14ac:dyDescent="0.25">
      <c r="A639" s="405" t="s">
        <v>306</v>
      </c>
      <c r="B639" s="863"/>
      <c r="C639" s="863"/>
      <c r="D639" s="863"/>
      <c r="E639" s="403"/>
      <c r="F639" s="403"/>
      <c r="G639" s="429"/>
      <c r="H639" s="421">
        <f t="shared" si="59"/>
        <v>0</v>
      </c>
      <c r="O639" s="4"/>
    </row>
    <row r="640" spans="1:15" ht="15.75" customHeight="1" x14ac:dyDescent="0.25">
      <c r="A640" s="405" t="s">
        <v>308</v>
      </c>
      <c r="B640" s="863"/>
      <c r="C640" s="863"/>
      <c r="D640" s="863"/>
      <c r="E640" s="438"/>
      <c r="F640" s="403"/>
      <c r="G640" s="429"/>
      <c r="H640" s="421">
        <f t="shared" si="59"/>
        <v>0</v>
      </c>
      <c r="O640" s="4"/>
    </row>
    <row r="641" spans="1:15" ht="15.75" customHeight="1" x14ac:dyDescent="0.25">
      <c r="A641" s="405" t="s">
        <v>309</v>
      </c>
      <c r="B641" s="863"/>
      <c r="C641" s="863"/>
      <c r="D641" s="863"/>
      <c r="E641" s="403"/>
      <c r="F641" s="403"/>
      <c r="G641" s="429"/>
      <c r="H641" s="421">
        <f t="shared" si="59"/>
        <v>0</v>
      </c>
      <c r="O641" s="4"/>
    </row>
    <row r="642" spans="1:15" ht="15.75" customHeight="1" x14ac:dyDescent="0.25">
      <c r="A642" s="432" t="s">
        <v>275</v>
      </c>
      <c r="B642" s="863"/>
      <c r="C642" s="863"/>
      <c r="D642" s="863"/>
      <c r="E642" s="403"/>
      <c r="F642" s="403"/>
      <c r="G642" s="429"/>
      <c r="H642" s="421">
        <f t="shared" si="59"/>
        <v>0</v>
      </c>
      <c r="O642" s="4"/>
    </row>
    <row r="643" spans="1:15" ht="15.75" customHeight="1" x14ac:dyDescent="0.25">
      <c r="A643" s="405" t="s">
        <v>281</v>
      </c>
      <c r="B643" s="863"/>
      <c r="C643" s="863"/>
      <c r="D643" s="863"/>
      <c r="E643" s="403"/>
      <c r="F643" s="403"/>
      <c r="G643" s="429"/>
      <c r="H643" s="421">
        <f t="shared" si="59"/>
        <v>0</v>
      </c>
      <c r="O643" s="4"/>
    </row>
    <row r="644" spans="1:15" ht="15.75" customHeight="1" x14ac:dyDescent="0.25">
      <c r="A644" s="405" t="s">
        <v>282</v>
      </c>
      <c r="B644" s="863"/>
      <c r="C644" s="863"/>
      <c r="D644" s="863"/>
      <c r="E644" s="403"/>
      <c r="F644" s="403"/>
      <c r="G644" s="429"/>
      <c r="H644" s="421">
        <f t="shared" si="59"/>
        <v>0</v>
      </c>
      <c r="O644" s="4"/>
    </row>
    <row r="645" spans="1:15" ht="15.75" customHeight="1" x14ac:dyDescent="0.25">
      <c r="A645" s="405" t="s">
        <v>283</v>
      </c>
      <c r="B645" s="863"/>
      <c r="C645" s="863"/>
      <c r="D645" s="863"/>
      <c r="E645" s="403"/>
      <c r="F645" s="403"/>
      <c r="G645" s="429"/>
      <c r="H645" s="421">
        <f t="shared" si="59"/>
        <v>0</v>
      </c>
      <c r="O645" s="4"/>
    </row>
    <row r="646" spans="1:15" ht="15.75" customHeight="1" x14ac:dyDescent="0.25">
      <c r="A646" s="405" t="s">
        <v>284</v>
      </c>
      <c r="B646" s="863"/>
      <c r="C646" s="863"/>
      <c r="D646" s="863"/>
      <c r="E646" s="403"/>
      <c r="F646" s="403"/>
      <c r="G646" s="429"/>
      <c r="H646" s="421">
        <f t="shared" si="59"/>
        <v>0</v>
      </c>
      <c r="O646" s="4"/>
    </row>
    <row r="647" spans="1:15" ht="15.75" customHeight="1" x14ac:dyDescent="0.25">
      <c r="A647" s="414" t="s">
        <v>285</v>
      </c>
      <c r="B647" s="970"/>
      <c r="C647" s="970"/>
      <c r="D647" s="970"/>
      <c r="E647" s="433"/>
      <c r="F647" s="433"/>
      <c r="G647" s="434"/>
      <c r="H647" s="421">
        <f t="shared" si="59"/>
        <v>0</v>
      </c>
      <c r="O647" s="4"/>
    </row>
    <row r="648" spans="1:15" ht="15.75" customHeight="1" x14ac:dyDescent="0.25">
      <c r="B648" s="268"/>
      <c r="C648" s="268"/>
      <c r="D648" s="315"/>
      <c r="E648" s="107"/>
      <c r="F648" s="107"/>
      <c r="H648" s="4"/>
      <c r="O648" s="4"/>
    </row>
    <row r="649" spans="1:15" ht="15.75" hidden="1" customHeight="1" x14ac:dyDescent="0.25">
      <c r="B649" s="268"/>
      <c r="C649" s="268"/>
      <c r="D649" s="315"/>
      <c r="E649" s="107"/>
      <c r="F649" s="107"/>
      <c r="H649" s="4"/>
      <c r="O649" s="4"/>
    </row>
    <row r="650" spans="1:15" ht="15.75" hidden="1" customHeight="1" x14ac:dyDescent="0.3">
      <c r="A650" s="974" t="s">
        <v>492</v>
      </c>
      <c r="B650" s="716"/>
      <c r="C650" s="716"/>
      <c r="D650" s="716"/>
      <c r="E650" s="716"/>
      <c r="F650" s="716"/>
      <c r="G650" s="815"/>
      <c r="O650" s="4"/>
    </row>
    <row r="651" spans="1:15" ht="15.75" hidden="1" customHeight="1" x14ac:dyDescent="0.25">
      <c r="A651" s="243" t="s">
        <v>28</v>
      </c>
      <c r="B651" s="302" t="s">
        <v>323</v>
      </c>
      <c r="C651" s="302" t="s">
        <v>324</v>
      </c>
      <c r="D651" s="302" t="s">
        <v>430</v>
      </c>
      <c r="E651" s="302" t="s">
        <v>493</v>
      </c>
      <c r="F651" s="302" t="s">
        <v>494</v>
      </c>
      <c r="G651" s="303" t="s">
        <v>433</v>
      </c>
      <c r="O651" s="4"/>
    </row>
    <row r="652" spans="1:15" ht="15.75" hidden="1" customHeight="1" x14ac:dyDescent="0.25">
      <c r="A652" s="239" t="s">
        <v>287</v>
      </c>
      <c r="B652" s="146"/>
      <c r="C652" s="146"/>
      <c r="D652" s="146"/>
      <c r="E652" s="146"/>
      <c r="F652" s="146"/>
      <c r="G652" s="246"/>
      <c r="O652" s="4"/>
    </row>
    <row r="653" spans="1:15" ht="15.75" hidden="1" customHeight="1" x14ac:dyDescent="0.25">
      <c r="A653" s="239" t="s">
        <v>296</v>
      </c>
      <c r="B653" s="146"/>
      <c r="C653" s="146"/>
      <c r="D653" s="146"/>
      <c r="E653" s="146"/>
      <c r="F653" s="146"/>
      <c r="G653" s="246"/>
      <c r="O653" s="4"/>
    </row>
    <row r="654" spans="1:15" ht="15.75" hidden="1" customHeight="1" x14ac:dyDescent="0.25">
      <c r="A654" s="239" t="s">
        <v>305</v>
      </c>
      <c r="B654" s="146"/>
      <c r="C654" s="146"/>
      <c r="D654" s="146"/>
      <c r="E654" s="146"/>
      <c r="F654" s="146"/>
      <c r="G654" s="246"/>
      <c r="O654" s="4"/>
    </row>
    <row r="655" spans="1:15" ht="15.75" hidden="1" customHeight="1" x14ac:dyDescent="0.25">
      <c r="A655" s="239" t="s">
        <v>306</v>
      </c>
      <c r="B655" s="146"/>
      <c r="C655" s="146"/>
      <c r="D655" s="146"/>
      <c r="E655" s="146"/>
      <c r="F655" s="146"/>
      <c r="G655" s="246"/>
      <c r="O655" s="4"/>
    </row>
    <row r="656" spans="1:15" ht="15.75" hidden="1" customHeight="1" x14ac:dyDescent="0.25">
      <c r="A656" s="239" t="s">
        <v>308</v>
      </c>
      <c r="B656" s="146"/>
      <c r="C656" s="146"/>
      <c r="D656" s="146"/>
      <c r="E656" s="146"/>
      <c r="F656" s="146"/>
      <c r="G656" s="246"/>
      <c r="O656" s="4"/>
    </row>
    <row r="657" spans="1:15" ht="15.75" hidden="1" customHeight="1" x14ac:dyDescent="0.25">
      <c r="A657" s="239" t="s">
        <v>309</v>
      </c>
      <c r="B657" s="146"/>
      <c r="C657" s="146"/>
      <c r="D657" s="146"/>
      <c r="E657" s="146"/>
      <c r="F657" s="146"/>
      <c r="G657" s="246"/>
      <c r="O657" s="4"/>
    </row>
    <row r="658" spans="1:15" ht="15.75" hidden="1" customHeight="1" x14ac:dyDescent="0.25">
      <c r="A658" s="237" t="s">
        <v>275</v>
      </c>
      <c r="B658" s="238"/>
      <c r="C658" s="238"/>
      <c r="D658" s="238"/>
      <c r="E658" s="238"/>
      <c r="F658" s="238"/>
      <c r="G658" s="306"/>
      <c r="O658" s="4"/>
    </row>
    <row r="659" spans="1:15" ht="15.75" hidden="1" customHeight="1" x14ac:dyDescent="0.25">
      <c r="A659" s="239" t="s">
        <v>281</v>
      </c>
      <c r="B659" s="146"/>
      <c r="C659" s="146"/>
      <c r="D659" s="146"/>
      <c r="E659" s="146"/>
      <c r="F659" s="146"/>
      <c r="G659" s="246"/>
      <c r="O659" s="4"/>
    </row>
    <row r="660" spans="1:15" ht="15.75" hidden="1" customHeight="1" x14ac:dyDescent="0.25">
      <c r="A660" s="239" t="s">
        <v>282</v>
      </c>
      <c r="B660" s="146"/>
      <c r="C660" s="146"/>
      <c r="D660" s="146"/>
      <c r="E660" s="146"/>
      <c r="F660" s="146"/>
      <c r="G660" s="246"/>
      <c r="O660" s="4"/>
    </row>
    <row r="661" spans="1:15" ht="15.75" hidden="1" customHeight="1" x14ac:dyDescent="0.25">
      <c r="A661" s="239" t="s">
        <v>283</v>
      </c>
      <c r="B661" s="146"/>
      <c r="C661" s="146"/>
      <c r="D661" s="146"/>
      <c r="E661" s="146"/>
      <c r="F661" s="146"/>
      <c r="G661" s="246"/>
      <c r="O661" s="4"/>
    </row>
    <row r="662" spans="1:15" ht="15.75" hidden="1" customHeight="1" x14ac:dyDescent="0.25">
      <c r="A662" s="239" t="s">
        <v>284</v>
      </c>
      <c r="B662" s="146"/>
      <c r="C662" s="146"/>
      <c r="D662" s="146"/>
      <c r="E662" s="146"/>
      <c r="F662" s="146"/>
      <c r="G662" s="246"/>
      <c r="O662" s="4"/>
    </row>
    <row r="663" spans="1:15" ht="15.75" hidden="1" customHeight="1" x14ac:dyDescent="0.25">
      <c r="A663" s="240" t="s">
        <v>285</v>
      </c>
      <c r="B663" s="147"/>
      <c r="C663" s="147"/>
      <c r="D663" s="147"/>
      <c r="E663" s="147"/>
      <c r="F663" s="147"/>
      <c r="G663" s="298"/>
      <c r="O663" s="4"/>
    </row>
    <row r="664" spans="1:15" ht="15.75" hidden="1" customHeight="1" x14ac:dyDescent="0.25">
      <c r="O664" s="4"/>
    </row>
    <row r="665" spans="1:15" ht="15.75" hidden="1" customHeight="1" x14ac:dyDescent="0.25">
      <c r="O665" s="4"/>
    </row>
    <row r="666" spans="1:15" ht="15.75" hidden="1" customHeight="1" x14ac:dyDescent="0.3">
      <c r="A666" s="982" t="s">
        <v>495</v>
      </c>
      <c r="B666" s="880"/>
      <c r="C666" s="880"/>
      <c r="D666" s="880"/>
      <c r="E666" s="880"/>
      <c r="F666" s="880"/>
      <c r="G666" s="880"/>
      <c r="H666" s="881"/>
      <c r="O666" s="4"/>
    </row>
    <row r="667" spans="1:15" ht="15.75" hidden="1" customHeight="1" x14ac:dyDescent="0.25">
      <c r="A667" s="269" t="s">
        <v>24</v>
      </c>
      <c r="B667" s="249" t="s">
        <v>496</v>
      </c>
      <c r="C667" s="337" t="s">
        <v>326</v>
      </c>
      <c r="D667" s="337" t="s">
        <v>327</v>
      </c>
      <c r="E667" s="337" t="s">
        <v>497</v>
      </c>
      <c r="F667" s="337" t="s">
        <v>498</v>
      </c>
      <c r="G667" s="337" t="s">
        <v>499</v>
      </c>
      <c r="H667" s="251" t="s">
        <v>433</v>
      </c>
      <c r="O667" s="4"/>
    </row>
    <row r="668" spans="1:15" ht="15.75" hidden="1" customHeight="1" x14ac:dyDescent="0.25">
      <c r="A668" s="252" t="s">
        <v>275</v>
      </c>
      <c r="B668" s="994" t="s">
        <v>500</v>
      </c>
      <c r="C668" s="972" t="s">
        <v>501</v>
      </c>
      <c r="D668" s="976">
        <v>33</v>
      </c>
      <c r="E668" s="338">
        <v>46</v>
      </c>
      <c r="F668" s="339"/>
      <c r="G668" s="339">
        <f t="shared" ref="G668:G673" si="60">F668/E668</f>
        <v>0</v>
      </c>
      <c r="H668" s="300"/>
      <c r="I668" s="4">
        <f t="shared" ref="I668:I673" si="61">LEN(H668)</f>
        <v>0</v>
      </c>
      <c r="O668" s="4"/>
    </row>
    <row r="669" spans="1:15" ht="15.75" hidden="1" customHeight="1" x14ac:dyDescent="0.25">
      <c r="A669" s="252" t="s">
        <v>281</v>
      </c>
      <c r="B669" s="833"/>
      <c r="C669" s="833"/>
      <c r="D669" s="833"/>
      <c r="E669" s="338">
        <v>46</v>
      </c>
      <c r="F669" s="339"/>
      <c r="G669" s="339">
        <f t="shared" si="60"/>
        <v>0</v>
      </c>
      <c r="H669" s="300"/>
      <c r="I669" s="4">
        <f t="shared" si="61"/>
        <v>0</v>
      </c>
      <c r="O669" s="4"/>
    </row>
    <row r="670" spans="1:15" ht="15.75" hidden="1" customHeight="1" x14ac:dyDescent="0.25">
      <c r="A670" s="252" t="s">
        <v>282</v>
      </c>
      <c r="B670" s="833"/>
      <c r="C670" s="833"/>
      <c r="D670" s="833"/>
      <c r="E670" s="338">
        <v>46</v>
      </c>
      <c r="F670" s="339"/>
      <c r="G670" s="339">
        <f t="shared" si="60"/>
        <v>0</v>
      </c>
      <c r="H670" s="300"/>
      <c r="I670" s="4">
        <f t="shared" si="61"/>
        <v>0</v>
      </c>
      <c r="O670" s="4"/>
    </row>
    <row r="671" spans="1:15" ht="15.75" hidden="1" customHeight="1" x14ac:dyDescent="0.25">
      <c r="A671" s="252" t="s">
        <v>283</v>
      </c>
      <c r="B671" s="833"/>
      <c r="C671" s="833"/>
      <c r="D671" s="833"/>
      <c r="E671" s="338">
        <v>46</v>
      </c>
      <c r="F671" s="339">
        <v>44.39</v>
      </c>
      <c r="G671" s="340">
        <f t="shared" si="60"/>
        <v>0.96499999999999997</v>
      </c>
      <c r="H671" s="300" t="s">
        <v>340</v>
      </c>
      <c r="I671" s="4">
        <f t="shared" si="61"/>
        <v>190</v>
      </c>
      <c r="O671" s="4"/>
    </row>
    <row r="672" spans="1:15" ht="15.75" hidden="1" customHeight="1" x14ac:dyDescent="0.25">
      <c r="A672" s="252" t="s">
        <v>284</v>
      </c>
      <c r="B672" s="833"/>
      <c r="C672" s="833"/>
      <c r="D672" s="833"/>
      <c r="E672" s="338">
        <v>46</v>
      </c>
      <c r="F672" s="339" t="e">
        <v>#REF!</v>
      </c>
      <c r="G672" s="340" t="e">
        <f t="shared" si="60"/>
        <v>#REF!</v>
      </c>
      <c r="H672" s="300" t="s">
        <v>341</v>
      </c>
      <c r="I672" s="4">
        <f t="shared" si="61"/>
        <v>199</v>
      </c>
      <c r="O672" s="4"/>
    </row>
    <row r="673" spans="1:15" ht="15.75" hidden="1" customHeight="1" x14ac:dyDescent="0.25">
      <c r="A673" s="261" t="s">
        <v>285</v>
      </c>
      <c r="B673" s="834"/>
      <c r="C673" s="834"/>
      <c r="D673" s="834"/>
      <c r="E673" s="341">
        <v>46</v>
      </c>
      <c r="F673" s="342">
        <v>45.92</v>
      </c>
      <c r="G673" s="343">
        <f t="shared" si="60"/>
        <v>0.99826086956521742</v>
      </c>
      <c r="H673" s="312" t="s">
        <v>342</v>
      </c>
      <c r="I673" s="4">
        <f t="shared" si="61"/>
        <v>193</v>
      </c>
      <c r="O673" s="4"/>
    </row>
    <row r="674" spans="1:15" ht="15.75" hidden="1" customHeight="1" x14ac:dyDescent="0.25">
      <c r="A674" s="267"/>
      <c r="B674" s="268"/>
      <c r="C674" s="344"/>
      <c r="D674" s="267"/>
      <c r="E674" s="267"/>
      <c r="F674" s="267"/>
      <c r="G674" s="267"/>
      <c r="H674" s="267"/>
      <c r="O674" s="4"/>
    </row>
    <row r="675" spans="1:15" ht="15.75" hidden="1" customHeight="1" x14ac:dyDescent="0.25">
      <c r="A675" s="267"/>
      <c r="B675" s="267"/>
      <c r="C675" s="267"/>
      <c r="D675" s="267"/>
      <c r="E675" s="267"/>
      <c r="F675" s="267"/>
      <c r="G675" s="267"/>
      <c r="H675" s="267"/>
      <c r="O675" s="4"/>
    </row>
    <row r="676" spans="1:15" ht="15.75" hidden="1" customHeight="1" x14ac:dyDescent="0.25">
      <c r="A676" s="134" t="s">
        <v>24</v>
      </c>
      <c r="B676" s="135" t="s">
        <v>496</v>
      </c>
      <c r="C676" s="345" t="s">
        <v>326</v>
      </c>
      <c r="D676" s="345" t="s">
        <v>327</v>
      </c>
      <c r="E676" s="345" t="s">
        <v>497</v>
      </c>
      <c r="F676" s="345" t="s">
        <v>498</v>
      </c>
      <c r="G676" s="345" t="s">
        <v>499</v>
      </c>
      <c r="H676" s="136" t="s">
        <v>433</v>
      </c>
      <c r="O676" s="4"/>
    </row>
    <row r="677" spans="1:15" ht="15.75" hidden="1" customHeight="1" x14ac:dyDescent="0.25">
      <c r="A677" s="346" t="s">
        <v>275</v>
      </c>
      <c r="B677" s="980" t="s">
        <v>502</v>
      </c>
      <c r="C677" s="981" t="s">
        <v>503</v>
      </c>
      <c r="D677" s="976">
        <v>34</v>
      </c>
      <c r="E677" s="347">
        <v>5</v>
      </c>
      <c r="F677" s="348"/>
      <c r="G677" s="348">
        <f t="shared" ref="G677:G682" si="62">F677/E677</f>
        <v>0</v>
      </c>
      <c r="H677" s="349"/>
      <c r="I677" s="4">
        <f t="shared" ref="I677:I682" si="63">LEN(H677)</f>
        <v>0</v>
      </c>
      <c r="O677" s="4"/>
    </row>
    <row r="678" spans="1:15" ht="15.75" hidden="1" customHeight="1" x14ac:dyDescent="0.25">
      <c r="A678" s="252" t="s">
        <v>281</v>
      </c>
      <c r="B678" s="833"/>
      <c r="C678" s="833"/>
      <c r="D678" s="833"/>
      <c r="E678" s="350">
        <v>5</v>
      </c>
      <c r="F678" s="339"/>
      <c r="G678" s="339">
        <f t="shared" si="62"/>
        <v>0</v>
      </c>
      <c r="H678" s="300"/>
      <c r="I678" s="4">
        <f t="shared" si="63"/>
        <v>0</v>
      </c>
      <c r="O678" s="4"/>
    </row>
    <row r="679" spans="1:15" ht="15.75" hidden="1" customHeight="1" x14ac:dyDescent="0.25">
      <c r="A679" s="252" t="s">
        <v>282</v>
      </c>
      <c r="B679" s="833"/>
      <c r="C679" s="833"/>
      <c r="D679" s="833"/>
      <c r="E679" s="350">
        <v>5</v>
      </c>
      <c r="F679" s="339"/>
      <c r="G679" s="339">
        <f t="shared" si="62"/>
        <v>0</v>
      </c>
      <c r="H679" s="300"/>
      <c r="I679" s="4">
        <f t="shared" si="63"/>
        <v>0</v>
      </c>
      <c r="O679" s="4"/>
    </row>
    <row r="680" spans="1:15" ht="15.75" hidden="1" customHeight="1" x14ac:dyDescent="0.25">
      <c r="A680" s="252" t="s">
        <v>283</v>
      </c>
      <c r="B680" s="833"/>
      <c r="C680" s="833"/>
      <c r="D680" s="833"/>
      <c r="E680" s="350">
        <v>5</v>
      </c>
      <c r="F680" s="339">
        <v>1.54</v>
      </c>
      <c r="G680" s="340">
        <f t="shared" si="62"/>
        <v>0.308</v>
      </c>
      <c r="H680" s="300" t="s">
        <v>347</v>
      </c>
      <c r="I680" s="4">
        <f t="shared" si="63"/>
        <v>200</v>
      </c>
      <c r="O680" s="4"/>
    </row>
    <row r="681" spans="1:15" ht="15.75" hidden="1" customHeight="1" x14ac:dyDescent="0.25">
      <c r="A681" s="252" t="s">
        <v>284</v>
      </c>
      <c r="B681" s="833"/>
      <c r="C681" s="833"/>
      <c r="D681" s="833"/>
      <c r="E681" s="350">
        <v>5</v>
      </c>
      <c r="F681" s="351" t="e">
        <v>#REF!</v>
      </c>
      <c r="G681" s="340" t="e">
        <f t="shared" si="62"/>
        <v>#REF!</v>
      </c>
      <c r="H681" s="300" t="s">
        <v>348</v>
      </c>
      <c r="I681" s="4">
        <f t="shared" si="63"/>
        <v>121</v>
      </c>
      <c r="O681" s="4"/>
    </row>
    <row r="682" spans="1:15" ht="15.75" hidden="1" customHeight="1" x14ac:dyDescent="0.25">
      <c r="A682" s="261" t="s">
        <v>285</v>
      </c>
      <c r="B682" s="834"/>
      <c r="C682" s="834"/>
      <c r="D682" s="834"/>
      <c r="E682" s="352">
        <v>5</v>
      </c>
      <c r="F682" s="342">
        <v>5.49</v>
      </c>
      <c r="G682" s="343">
        <f t="shared" si="62"/>
        <v>1.0980000000000001</v>
      </c>
      <c r="H682" s="312" t="s">
        <v>349</v>
      </c>
      <c r="I682" s="4">
        <f t="shared" si="63"/>
        <v>121</v>
      </c>
      <c r="O682" s="4"/>
    </row>
    <row r="683" spans="1:15" ht="15.75" hidden="1" customHeight="1" x14ac:dyDescent="0.25">
      <c r="A683" s="267"/>
      <c r="B683" s="267"/>
      <c r="C683" s="267"/>
      <c r="D683" s="267"/>
      <c r="E683" s="267"/>
      <c r="F683" s="267"/>
      <c r="G683" s="267"/>
      <c r="H683" s="267"/>
      <c r="O683" s="4"/>
    </row>
    <row r="684" spans="1:15" ht="15.75" hidden="1" customHeight="1" x14ac:dyDescent="0.25">
      <c r="A684" s="267"/>
      <c r="B684" s="267"/>
      <c r="C684" s="267"/>
      <c r="D684" s="267"/>
      <c r="E684" s="267"/>
      <c r="F684" s="267"/>
      <c r="G684" s="267"/>
      <c r="H684" s="267"/>
      <c r="O684" s="4"/>
    </row>
    <row r="685" spans="1:15" ht="15.75" hidden="1" customHeight="1" x14ac:dyDescent="0.25">
      <c r="A685" s="134" t="s">
        <v>24</v>
      </c>
      <c r="B685" s="135" t="s">
        <v>496</v>
      </c>
      <c r="C685" s="345" t="s">
        <v>326</v>
      </c>
      <c r="D685" s="345" t="s">
        <v>327</v>
      </c>
      <c r="E685" s="345" t="s">
        <v>497</v>
      </c>
      <c r="F685" s="345" t="s">
        <v>498</v>
      </c>
      <c r="G685" s="345" t="s">
        <v>499</v>
      </c>
      <c r="H685" s="136" t="s">
        <v>433</v>
      </c>
      <c r="O685" s="4"/>
    </row>
    <row r="686" spans="1:15" ht="15.75" hidden="1" customHeight="1" x14ac:dyDescent="0.25">
      <c r="A686" s="346" t="s">
        <v>275</v>
      </c>
      <c r="B686" s="980"/>
      <c r="C686" s="981" t="s">
        <v>503</v>
      </c>
      <c r="D686" s="988"/>
      <c r="E686" s="347">
        <v>54</v>
      </c>
      <c r="F686" s="348"/>
      <c r="G686" s="348">
        <f t="shared" ref="G686:G691" si="64">F686/E686</f>
        <v>0</v>
      </c>
      <c r="H686" s="349"/>
      <c r="I686" s="4">
        <f t="shared" ref="I686:I691" si="65">LEN(H686)</f>
        <v>0</v>
      </c>
      <c r="O686" s="4"/>
    </row>
    <row r="687" spans="1:15" ht="15.75" hidden="1" customHeight="1" x14ac:dyDescent="0.25">
      <c r="A687" s="252" t="s">
        <v>281</v>
      </c>
      <c r="B687" s="833"/>
      <c r="C687" s="833"/>
      <c r="D687" s="833"/>
      <c r="E687" s="350">
        <v>54</v>
      </c>
      <c r="F687" s="339"/>
      <c r="G687" s="339">
        <f t="shared" si="64"/>
        <v>0</v>
      </c>
      <c r="H687" s="300"/>
      <c r="I687" s="4">
        <f t="shared" si="65"/>
        <v>0</v>
      </c>
      <c r="O687" s="4"/>
    </row>
    <row r="688" spans="1:15" ht="15.75" hidden="1" customHeight="1" x14ac:dyDescent="0.25">
      <c r="A688" s="252" t="s">
        <v>282</v>
      </c>
      <c r="B688" s="833"/>
      <c r="C688" s="833"/>
      <c r="D688" s="833"/>
      <c r="E688" s="350">
        <v>54</v>
      </c>
      <c r="F688" s="339"/>
      <c r="G688" s="339">
        <f t="shared" si="64"/>
        <v>0</v>
      </c>
      <c r="H688" s="300"/>
      <c r="I688" s="4">
        <f t="shared" si="65"/>
        <v>0</v>
      </c>
      <c r="O688" s="4"/>
    </row>
    <row r="689" spans="1:15" ht="15.75" hidden="1" customHeight="1" x14ac:dyDescent="0.25">
      <c r="A689" s="252" t="s">
        <v>283</v>
      </c>
      <c r="B689" s="833"/>
      <c r="C689" s="833"/>
      <c r="D689" s="833"/>
      <c r="E689" s="350">
        <v>54</v>
      </c>
      <c r="F689" s="339">
        <v>4.24</v>
      </c>
      <c r="G689" s="340">
        <f t="shared" si="64"/>
        <v>7.8518518518518529E-2</v>
      </c>
      <c r="H689" s="300" t="s">
        <v>351</v>
      </c>
      <c r="I689" s="4">
        <f t="shared" si="65"/>
        <v>170</v>
      </c>
      <c r="O689" s="4"/>
    </row>
    <row r="690" spans="1:15" ht="15.75" hidden="1" customHeight="1" x14ac:dyDescent="0.25">
      <c r="A690" s="252" t="s">
        <v>284</v>
      </c>
      <c r="B690" s="833"/>
      <c r="C690" s="833"/>
      <c r="D690" s="833"/>
      <c r="E690" s="350">
        <v>54</v>
      </c>
      <c r="F690" s="351" t="e">
        <v>#REF!</v>
      </c>
      <c r="G690" s="340" t="e">
        <f t="shared" si="64"/>
        <v>#REF!</v>
      </c>
      <c r="H690" s="300" t="s">
        <v>352</v>
      </c>
      <c r="I690" s="4">
        <f t="shared" si="65"/>
        <v>200</v>
      </c>
      <c r="O690" s="4"/>
    </row>
    <row r="691" spans="1:15" ht="15.75" hidden="1" customHeight="1" x14ac:dyDescent="0.25">
      <c r="A691" s="261" t="s">
        <v>285</v>
      </c>
      <c r="B691" s="834"/>
      <c r="C691" s="834"/>
      <c r="D691" s="834"/>
      <c r="E691" s="353">
        <v>54</v>
      </c>
      <c r="F691" s="354" t="e">
        <v>#REF!</v>
      </c>
      <c r="G691" s="355" t="e">
        <f t="shared" si="64"/>
        <v>#REF!</v>
      </c>
      <c r="H691" s="312" t="s">
        <v>353</v>
      </c>
      <c r="I691" s="4">
        <f t="shared" si="65"/>
        <v>198</v>
      </c>
      <c r="O691" s="4"/>
    </row>
    <row r="692" spans="1:15" ht="15.75" hidden="1" customHeight="1" x14ac:dyDescent="0.25">
      <c r="A692" s="267"/>
      <c r="B692" s="267"/>
      <c r="C692" s="267"/>
      <c r="D692" s="267"/>
      <c r="E692" s="267"/>
      <c r="F692" s="267"/>
      <c r="G692" s="267"/>
      <c r="H692" s="267"/>
      <c r="O692" s="4"/>
    </row>
    <row r="693" spans="1:15" ht="15.75" hidden="1" customHeight="1" x14ac:dyDescent="0.25">
      <c r="A693" s="267"/>
      <c r="B693" s="267"/>
      <c r="C693" s="267"/>
      <c r="D693" s="267"/>
      <c r="E693" s="267"/>
      <c r="F693" s="267"/>
      <c r="G693" s="267"/>
      <c r="H693" s="267"/>
      <c r="O693" s="4"/>
    </row>
    <row r="694" spans="1:15" ht="15.75" hidden="1" customHeight="1" x14ac:dyDescent="0.25">
      <c r="A694" s="134" t="s">
        <v>24</v>
      </c>
      <c r="B694" s="135" t="s">
        <v>496</v>
      </c>
      <c r="C694" s="345" t="s">
        <v>326</v>
      </c>
      <c r="D694" s="345" t="s">
        <v>327</v>
      </c>
      <c r="E694" s="345" t="s">
        <v>497</v>
      </c>
      <c r="F694" s="345" t="s">
        <v>498</v>
      </c>
      <c r="G694" s="345" t="s">
        <v>499</v>
      </c>
      <c r="H694" s="136" t="s">
        <v>433</v>
      </c>
      <c r="O694" s="4"/>
    </row>
    <row r="695" spans="1:15" ht="15.75" hidden="1" customHeight="1" x14ac:dyDescent="0.25">
      <c r="A695" s="346" t="s">
        <v>275</v>
      </c>
      <c r="B695" s="980" t="s">
        <v>504</v>
      </c>
      <c r="C695" s="981" t="s">
        <v>505</v>
      </c>
      <c r="D695" s="989">
        <v>33</v>
      </c>
      <c r="E695" s="347">
        <v>0.27</v>
      </c>
      <c r="F695" s="348"/>
      <c r="G695" s="348">
        <f t="shared" ref="G695:G700" si="66">F695/E695</f>
        <v>0</v>
      </c>
      <c r="H695" s="349"/>
      <c r="I695" s="4">
        <f t="shared" ref="I695:I700" si="67">LEN(H695)</f>
        <v>0</v>
      </c>
      <c r="O695" s="4"/>
    </row>
    <row r="696" spans="1:15" ht="15.75" hidden="1" customHeight="1" x14ac:dyDescent="0.25">
      <c r="A696" s="252" t="s">
        <v>281</v>
      </c>
      <c r="B696" s="833"/>
      <c r="C696" s="833"/>
      <c r="D696" s="833"/>
      <c r="E696" s="350">
        <v>0.27</v>
      </c>
      <c r="F696" s="339"/>
      <c r="G696" s="339">
        <f t="shared" si="66"/>
        <v>0</v>
      </c>
      <c r="H696" s="300"/>
      <c r="I696" s="4">
        <f t="shared" si="67"/>
        <v>0</v>
      </c>
      <c r="O696" s="4"/>
    </row>
    <row r="697" spans="1:15" ht="15.75" hidden="1" customHeight="1" x14ac:dyDescent="0.25">
      <c r="A697" s="252" t="s">
        <v>282</v>
      </c>
      <c r="B697" s="833"/>
      <c r="C697" s="833"/>
      <c r="D697" s="833"/>
      <c r="E697" s="350">
        <v>0.27</v>
      </c>
      <c r="F697" s="339"/>
      <c r="G697" s="339">
        <f t="shared" si="66"/>
        <v>0</v>
      </c>
      <c r="H697" s="300"/>
      <c r="I697" s="4">
        <f t="shared" si="67"/>
        <v>0</v>
      </c>
      <c r="O697" s="4"/>
    </row>
    <row r="698" spans="1:15" ht="15.75" hidden="1" customHeight="1" x14ac:dyDescent="0.25">
      <c r="A698" s="252" t="s">
        <v>283</v>
      </c>
      <c r="B698" s="833"/>
      <c r="C698" s="833"/>
      <c r="D698" s="833"/>
      <c r="E698" s="350">
        <v>0.27</v>
      </c>
      <c r="F698" s="339">
        <v>0.14000000000000001</v>
      </c>
      <c r="G698" s="340">
        <f t="shared" si="66"/>
        <v>0.51851851851851849</v>
      </c>
      <c r="H698" s="300" t="s">
        <v>506</v>
      </c>
      <c r="I698" s="4">
        <f t="shared" si="67"/>
        <v>193</v>
      </c>
      <c r="O698" s="4"/>
    </row>
    <row r="699" spans="1:15" ht="15.75" hidden="1" customHeight="1" x14ac:dyDescent="0.25">
      <c r="A699" s="252" t="s">
        <v>284</v>
      </c>
      <c r="B699" s="833"/>
      <c r="C699" s="833"/>
      <c r="D699" s="833"/>
      <c r="E699" s="350">
        <v>0.27</v>
      </c>
      <c r="F699" s="351" t="e">
        <v>#REF!</v>
      </c>
      <c r="G699" s="340" t="e">
        <f t="shared" si="66"/>
        <v>#REF!</v>
      </c>
      <c r="H699" s="300" t="s">
        <v>358</v>
      </c>
      <c r="I699" s="4">
        <f t="shared" si="67"/>
        <v>154</v>
      </c>
      <c r="O699" s="4"/>
    </row>
    <row r="700" spans="1:15" ht="15.75" hidden="1" customHeight="1" x14ac:dyDescent="0.25">
      <c r="A700" s="261" t="s">
        <v>285</v>
      </c>
      <c r="B700" s="834"/>
      <c r="C700" s="834"/>
      <c r="D700" s="834"/>
      <c r="E700" s="352">
        <v>0.27</v>
      </c>
      <c r="F700" s="342">
        <v>0.26</v>
      </c>
      <c r="G700" s="343">
        <f t="shared" si="66"/>
        <v>0.96296296296296291</v>
      </c>
      <c r="H700" s="312" t="s">
        <v>507</v>
      </c>
      <c r="I700" s="4">
        <f t="shared" si="67"/>
        <v>148</v>
      </c>
      <c r="O700" s="4"/>
    </row>
    <row r="701" spans="1:15" ht="15.75" hidden="1" customHeight="1" x14ac:dyDescent="0.25">
      <c r="A701" s="267"/>
      <c r="B701" s="268"/>
      <c r="C701" s="268"/>
      <c r="D701" s="356"/>
      <c r="E701" s="344"/>
      <c r="F701" s="267"/>
      <c r="G701" s="357"/>
      <c r="H701" s="267"/>
      <c r="I701" s="4"/>
      <c r="O701" s="4"/>
    </row>
    <row r="702" spans="1:15" ht="15.75" hidden="1" customHeight="1" x14ac:dyDescent="0.25">
      <c r="A702" s="267"/>
      <c r="B702" s="268"/>
      <c r="C702" s="268"/>
      <c r="D702" s="356"/>
      <c r="E702" s="344"/>
      <c r="F702" s="267"/>
      <c r="G702" s="357"/>
      <c r="H702" s="267"/>
      <c r="I702" s="4"/>
      <c r="O702" s="4"/>
    </row>
    <row r="703" spans="1:15" ht="15.75" hidden="1" customHeight="1" x14ac:dyDescent="0.3">
      <c r="A703" s="982" t="s">
        <v>508</v>
      </c>
      <c r="B703" s="880"/>
      <c r="C703" s="880"/>
      <c r="D703" s="880"/>
      <c r="E703" s="880"/>
      <c r="F703" s="880"/>
      <c r="G703" s="880"/>
      <c r="H703" s="881"/>
      <c r="O703" s="4"/>
    </row>
    <row r="704" spans="1:15" ht="15.75" hidden="1" customHeight="1" x14ac:dyDescent="0.25">
      <c r="A704" s="243" t="s">
        <v>25</v>
      </c>
      <c r="B704" s="249" t="s">
        <v>496</v>
      </c>
      <c r="C704" s="337" t="s">
        <v>326</v>
      </c>
      <c r="D704" s="337" t="s">
        <v>361</v>
      </c>
      <c r="E704" s="337" t="s">
        <v>509</v>
      </c>
      <c r="F704" s="337" t="s">
        <v>510</v>
      </c>
      <c r="G704" s="337" t="s">
        <v>511</v>
      </c>
      <c r="H704" s="251" t="s">
        <v>433</v>
      </c>
      <c r="O704" s="4"/>
    </row>
    <row r="705" spans="1:15" ht="15.75" hidden="1" customHeight="1" x14ac:dyDescent="0.25">
      <c r="A705" s="304" t="s">
        <v>287</v>
      </c>
      <c r="B705" s="972" t="s">
        <v>500</v>
      </c>
      <c r="C705" s="972" t="s">
        <v>501</v>
      </c>
      <c r="D705" s="976">
        <v>33</v>
      </c>
      <c r="E705" s="338">
        <v>56</v>
      </c>
      <c r="F705" s="339">
        <v>46.28</v>
      </c>
      <c r="G705" s="358">
        <f t="shared" ref="G705:G716" si="68">F705/E705</f>
        <v>0.8264285714285714</v>
      </c>
      <c r="H705" s="300" t="s">
        <v>512</v>
      </c>
      <c r="I705" s="4">
        <f t="shared" ref="I705:I716" si="69">LEN(H705)</f>
        <v>253</v>
      </c>
      <c r="O705" s="4"/>
    </row>
    <row r="706" spans="1:15" ht="15.75" hidden="1" customHeight="1" x14ac:dyDescent="0.25">
      <c r="A706" s="304" t="s">
        <v>296</v>
      </c>
      <c r="B706" s="833"/>
      <c r="C706" s="833"/>
      <c r="D706" s="833"/>
      <c r="E706" s="338">
        <v>56</v>
      </c>
      <c r="F706" s="339">
        <v>46.64</v>
      </c>
      <c r="G706" s="358">
        <f t="shared" si="68"/>
        <v>0.83285714285714285</v>
      </c>
      <c r="H706" s="300" t="s">
        <v>513</v>
      </c>
      <c r="I706" s="4">
        <f t="shared" si="69"/>
        <v>253</v>
      </c>
      <c r="O706" s="4"/>
    </row>
    <row r="707" spans="1:15" ht="15.75" hidden="1" customHeight="1" x14ac:dyDescent="0.25">
      <c r="A707" s="304" t="s">
        <v>305</v>
      </c>
      <c r="B707" s="833"/>
      <c r="C707" s="833"/>
      <c r="D707" s="833"/>
      <c r="E707" s="338">
        <v>56</v>
      </c>
      <c r="F707" s="339">
        <v>47.02</v>
      </c>
      <c r="G707" s="358">
        <f t="shared" si="68"/>
        <v>0.83964285714285725</v>
      </c>
      <c r="H707" s="300" t="s">
        <v>514</v>
      </c>
      <c r="I707" s="4">
        <f t="shared" si="69"/>
        <v>253</v>
      </c>
      <c r="O707" s="4"/>
    </row>
    <row r="708" spans="1:15" ht="15.75" hidden="1" customHeight="1" x14ac:dyDescent="0.25">
      <c r="A708" s="304" t="s">
        <v>306</v>
      </c>
      <c r="B708" s="833"/>
      <c r="C708" s="833"/>
      <c r="D708" s="833"/>
      <c r="E708" s="338">
        <v>56</v>
      </c>
      <c r="F708" s="351">
        <v>47.1</v>
      </c>
      <c r="G708" s="358">
        <f t="shared" si="68"/>
        <v>0.84107142857142858</v>
      </c>
      <c r="H708" s="300" t="s">
        <v>515</v>
      </c>
      <c r="I708" s="4">
        <f t="shared" si="69"/>
        <v>255</v>
      </c>
      <c r="O708" s="4"/>
    </row>
    <row r="709" spans="1:15" ht="15.75" hidden="1" customHeight="1" x14ac:dyDescent="0.25">
      <c r="A709" s="304" t="s">
        <v>308</v>
      </c>
      <c r="B709" s="833"/>
      <c r="C709" s="833"/>
      <c r="D709" s="833"/>
      <c r="E709" s="338">
        <v>56</v>
      </c>
      <c r="F709" s="339">
        <v>47.56</v>
      </c>
      <c r="G709" s="358">
        <f t="shared" si="68"/>
        <v>0.84928571428571431</v>
      </c>
      <c r="H709" s="300" t="s">
        <v>516</v>
      </c>
      <c r="I709" s="4">
        <f t="shared" si="69"/>
        <v>252</v>
      </c>
      <c r="J709" s="33"/>
      <c r="O709" s="4"/>
    </row>
    <row r="710" spans="1:15" ht="15.75" hidden="1" customHeight="1" x14ac:dyDescent="0.25">
      <c r="A710" s="304" t="s">
        <v>309</v>
      </c>
      <c r="B710" s="833"/>
      <c r="C710" s="833"/>
      <c r="D710" s="833"/>
      <c r="E710" s="338">
        <v>56</v>
      </c>
      <c r="F710" s="339">
        <v>47.81</v>
      </c>
      <c r="G710" s="358">
        <f t="shared" si="68"/>
        <v>0.85375000000000001</v>
      </c>
      <c r="H710" s="300" t="s">
        <v>517</v>
      </c>
      <c r="I710" s="4">
        <f t="shared" si="69"/>
        <v>253</v>
      </c>
      <c r="O710" s="4"/>
    </row>
    <row r="711" spans="1:15" ht="15.75" hidden="1" customHeight="1" x14ac:dyDescent="0.25">
      <c r="A711" s="304" t="s">
        <v>275</v>
      </c>
      <c r="B711" s="833"/>
      <c r="C711" s="833"/>
      <c r="D711" s="833"/>
      <c r="E711" s="338">
        <v>56</v>
      </c>
      <c r="F711" s="339">
        <v>48.74</v>
      </c>
      <c r="G711" s="358">
        <f t="shared" si="68"/>
        <v>0.87035714285714294</v>
      </c>
      <c r="H711" s="300" t="s">
        <v>518</v>
      </c>
      <c r="I711" s="4">
        <f t="shared" si="69"/>
        <v>253</v>
      </c>
      <c r="O711" s="4"/>
    </row>
    <row r="712" spans="1:15" ht="15.75" hidden="1" customHeight="1" x14ac:dyDescent="0.25">
      <c r="A712" s="252" t="s">
        <v>281</v>
      </c>
      <c r="B712" s="833"/>
      <c r="C712" s="833"/>
      <c r="D712" s="833"/>
      <c r="E712" s="338">
        <v>56</v>
      </c>
      <c r="F712" s="339">
        <v>49.19</v>
      </c>
      <c r="G712" s="358">
        <f t="shared" si="68"/>
        <v>0.87839285714285709</v>
      </c>
      <c r="H712" s="300" t="s">
        <v>519</v>
      </c>
      <c r="I712" s="4">
        <f t="shared" si="69"/>
        <v>254</v>
      </c>
      <c r="O712" s="4"/>
    </row>
    <row r="713" spans="1:15" ht="15.75" hidden="1" customHeight="1" x14ac:dyDescent="0.25">
      <c r="A713" s="252" t="s">
        <v>282</v>
      </c>
      <c r="B713" s="833"/>
      <c r="C713" s="833"/>
      <c r="D713" s="833"/>
      <c r="E713" s="338">
        <v>56</v>
      </c>
      <c r="F713" s="339">
        <v>49.95</v>
      </c>
      <c r="G713" s="358">
        <f t="shared" si="68"/>
        <v>0.89196428571428577</v>
      </c>
      <c r="H713" s="300" t="s">
        <v>520</v>
      </c>
      <c r="I713" s="4">
        <f t="shared" si="69"/>
        <v>258</v>
      </c>
      <c r="O713" s="4"/>
    </row>
    <row r="714" spans="1:15" ht="15.75" hidden="1" customHeight="1" x14ac:dyDescent="0.25">
      <c r="A714" s="252" t="s">
        <v>283</v>
      </c>
      <c r="B714" s="833"/>
      <c r="C714" s="833"/>
      <c r="D714" s="833"/>
      <c r="E714" s="338">
        <v>56</v>
      </c>
      <c r="F714" s="339">
        <v>50.86</v>
      </c>
      <c r="G714" s="358">
        <f t="shared" si="68"/>
        <v>0.90821428571428575</v>
      </c>
      <c r="H714" s="300" t="s">
        <v>521</v>
      </c>
      <c r="I714" s="4">
        <f t="shared" si="69"/>
        <v>255</v>
      </c>
      <c r="O714" s="4"/>
    </row>
    <row r="715" spans="1:15" ht="15.75" hidden="1" customHeight="1" x14ac:dyDescent="0.25">
      <c r="A715" s="252" t="s">
        <v>284</v>
      </c>
      <c r="B715" s="833"/>
      <c r="C715" s="833"/>
      <c r="D715" s="833"/>
      <c r="E715" s="338">
        <v>56</v>
      </c>
      <c r="F715" s="339">
        <v>51.66</v>
      </c>
      <c r="G715" s="358">
        <f t="shared" si="68"/>
        <v>0.92249999999999999</v>
      </c>
      <c r="H715" s="300" t="s">
        <v>522</v>
      </c>
      <c r="I715" s="4">
        <f t="shared" si="69"/>
        <v>257</v>
      </c>
      <c r="O715" s="4"/>
    </row>
    <row r="716" spans="1:15" ht="15.75" hidden="1" customHeight="1" x14ac:dyDescent="0.25">
      <c r="A716" s="261" t="s">
        <v>285</v>
      </c>
      <c r="B716" s="834"/>
      <c r="C716" s="834"/>
      <c r="D716" s="834"/>
      <c r="E716" s="341">
        <v>56</v>
      </c>
      <c r="F716" s="342">
        <v>52.19</v>
      </c>
      <c r="G716" s="359">
        <f t="shared" si="68"/>
        <v>0.93196428571428569</v>
      </c>
      <c r="H716" s="299" t="s">
        <v>523</v>
      </c>
      <c r="I716" s="4">
        <f t="shared" si="69"/>
        <v>258</v>
      </c>
      <c r="O716" s="4"/>
    </row>
    <row r="717" spans="1:15" ht="15.75" hidden="1" customHeight="1" x14ac:dyDescent="0.25">
      <c r="A717" s="267"/>
      <c r="B717" s="268"/>
      <c r="C717" s="344"/>
      <c r="D717" s="267"/>
      <c r="E717" s="267"/>
      <c r="F717" s="267"/>
      <c r="G717" s="267"/>
      <c r="H717" s="267"/>
      <c r="O717" s="4"/>
    </row>
    <row r="718" spans="1:15" ht="15.75" hidden="1" customHeight="1" x14ac:dyDescent="0.25">
      <c r="A718" s="267"/>
      <c r="B718" s="267"/>
      <c r="C718" s="267"/>
      <c r="D718" s="267"/>
      <c r="E718" s="267"/>
      <c r="F718" s="267"/>
      <c r="G718" s="267"/>
      <c r="H718" s="267"/>
      <c r="O718" s="4"/>
    </row>
    <row r="719" spans="1:15" ht="15.75" hidden="1" customHeight="1" x14ac:dyDescent="0.25">
      <c r="A719" s="269" t="s">
        <v>25</v>
      </c>
      <c r="B719" s="249" t="s">
        <v>496</v>
      </c>
      <c r="C719" s="337" t="s">
        <v>326</v>
      </c>
      <c r="D719" s="337" t="s">
        <v>361</v>
      </c>
      <c r="E719" s="337" t="s">
        <v>509</v>
      </c>
      <c r="F719" s="337" t="s">
        <v>510</v>
      </c>
      <c r="G719" s="337" t="s">
        <v>511</v>
      </c>
      <c r="H719" s="251" t="s">
        <v>433</v>
      </c>
      <c r="O719" s="4"/>
    </row>
    <row r="720" spans="1:15" ht="15.75" hidden="1" customHeight="1" x14ac:dyDescent="0.25">
      <c r="A720" s="252" t="s">
        <v>287</v>
      </c>
      <c r="B720" s="972" t="s">
        <v>502</v>
      </c>
      <c r="C720" s="972" t="s">
        <v>503</v>
      </c>
      <c r="D720" s="976">
        <v>34</v>
      </c>
      <c r="E720" s="350">
        <v>50</v>
      </c>
      <c r="F720" s="339">
        <v>0.12</v>
      </c>
      <c r="G720" s="358">
        <f t="shared" ref="G720:G731" si="70">F720/E720</f>
        <v>2.3999999999999998E-3</v>
      </c>
      <c r="H720" s="300" t="s">
        <v>524</v>
      </c>
      <c r="I720" s="4">
        <f t="shared" ref="I720:I731" si="71">LEN(H720)</f>
        <v>229</v>
      </c>
      <c r="O720" s="4"/>
    </row>
    <row r="721" spans="1:15" ht="15.75" hidden="1" customHeight="1" x14ac:dyDescent="0.25">
      <c r="A721" s="252" t="s">
        <v>296</v>
      </c>
      <c r="B721" s="833"/>
      <c r="C721" s="833"/>
      <c r="D721" s="833"/>
      <c r="E721" s="350">
        <v>50</v>
      </c>
      <c r="F721" s="339">
        <v>0.12</v>
      </c>
      <c r="G721" s="358">
        <f t="shared" si="70"/>
        <v>2.3999999999999998E-3</v>
      </c>
      <c r="H721" s="300" t="s">
        <v>524</v>
      </c>
      <c r="I721" s="4">
        <f t="shared" si="71"/>
        <v>229</v>
      </c>
      <c r="O721" s="4"/>
    </row>
    <row r="722" spans="1:15" ht="15.75" hidden="1" customHeight="1" x14ac:dyDescent="0.25">
      <c r="A722" s="252" t="s">
        <v>305</v>
      </c>
      <c r="B722" s="833"/>
      <c r="C722" s="833"/>
      <c r="D722" s="833"/>
      <c r="E722" s="350">
        <v>50</v>
      </c>
      <c r="F722" s="339">
        <v>0.12</v>
      </c>
      <c r="G722" s="358">
        <f t="shared" si="70"/>
        <v>2.3999999999999998E-3</v>
      </c>
      <c r="H722" s="300" t="s">
        <v>524</v>
      </c>
      <c r="I722" s="4">
        <f t="shared" si="71"/>
        <v>229</v>
      </c>
      <c r="O722" s="4"/>
    </row>
    <row r="723" spans="1:15" ht="15.75" hidden="1" customHeight="1" x14ac:dyDescent="0.25">
      <c r="A723" s="252" t="s">
        <v>306</v>
      </c>
      <c r="B723" s="833"/>
      <c r="C723" s="833"/>
      <c r="D723" s="833"/>
      <c r="E723" s="350">
        <v>50</v>
      </c>
      <c r="F723" s="339">
        <v>0.12</v>
      </c>
      <c r="G723" s="358">
        <f t="shared" si="70"/>
        <v>2.3999999999999998E-3</v>
      </c>
      <c r="H723" s="300" t="s">
        <v>524</v>
      </c>
      <c r="I723" s="4">
        <f t="shared" si="71"/>
        <v>229</v>
      </c>
      <c r="O723" s="4"/>
    </row>
    <row r="724" spans="1:15" ht="15.75" hidden="1" customHeight="1" x14ac:dyDescent="0.25">
      <c r="A724" s="252" t="s">
        <v>308</v>
      </c>
      <c r="B724" s="833"/>
      <c r="C724" s="833"/>
      <c r="D724" s="833"/>
      <c r="E724" s="350">
        <v>50</v>
      </c>
      <c r="F724" s="339">
        <v>0.12</v>
      </c>
      <c r="G724" s="358">
        <f t="shared" si="70"/>
        <v>2.3999999999999998E-3</v>
      </c>
      <c r="H724" s="300" t="s">
        <v>524</v>
      </c>
      <c r="I724" s="4">
        <f t="shared" si="71"/>
        <v>229</v>
      </c>
      <c r="O724" s="4"/>
    </row>
    <row r="725" spans="1:15" ht="15.75" hidden="1" customHeight="1" x14ac:dyDescent="0.25">
      <c r="A725" s="252" t="s">
        <v>309</v>
      </c>
      <c r="B725" s="833"/>
      <c r="C725" s="833"/>
      <c r="D725" s="833"/>
      <c r="E725" s="350">
        <v>50</v>
      </c>
      <c r="F725" s="351">
        <v>1.1000000000000001</v>
      </c>
      <c r="G725" s="358">
        <f t="shared" si="70"/>
        <v>2.2000000000000002E-2</v>
      </c>
      <c r="H725" s="360" t="s">
        <v>525</v>
      </c>
      <c r="I725" s="4">
        <f t="shared" si="71"/>
        <v>164</v>
      </c>
      <c r="O725" s="4"/>
    </row>
    <row r="726" spans="1:15" ht="15.75" hidden="1" customHeight="1" x14ac:dyDescent="0.25">
      <c r="A726" s="252" t="s">
        <v>275</v>
      </c>
      <c r="B726" s="833"/>
      <c r="C726" s="833"/>
      <c r="D726" s="833"/>
      <c r="E726" s="350">
        <v>50</v>
      </c>
      <c r="F726" s="351">
        <v>1.1000000000000001</v>
      </c>
      <c r="G726" s="358">
        <f t="shared" si="70"/>
        <v>2.2000000000000002E-2</v>
      </c>
      <c r="H726" s="360" t="s">
        <v>526</v>
      </c>
      <c r="I726" s="4">
        <f t="shared" si="71"/>
        <v>164</v>
      </c>
      <c r="O726" s="4"/>
    </row>
    <row r="727" spans="1:15" ht="15.75" hidden="1" customHeight="1" x14ac:dyDescent="0.25">
      <c r="A727" s="252" t="s">
        <v>281</v>
      </c>
      <c r="B727" s="833"/>
      <c r="C727" s="833"/>
      <c r="D727" s="833"/>
      <c r="E727" s="350">
        <v>50</v>
      </c>
      <c r="F727" s="339">
        <v>1.73</v>
      </c>
      <c r="G727" s="358">
        <f t="shared" si="70"/>
        <v>3.4599999999999999E-2</v>
      </c>
      <c r="H727" s="360" t="s">
        <v>525</v>
      </c>
      <c r="I727" s="4">
        <f t="shared" si="71"/>
        <v>164</v>
      </c>
      <c r="J727" s="246"/>
      <c r="O727" s="4"/>
    </row>
    <row r="728" spans="1:15" ht="15.75" hidden="1" customHeight="1" x14ac:dyDescent="0.25">
      <c r="A728" s="252" t="s">
        <v>282</v>
      </c>
      <c r="B728" s="833"/>
      <c r="C728" s="833"/>
      <c r="D728" s="833"/>
      <c r="E728" s="350">
        <v>50</v>
      </c>
      <c r="F728" s="339">
        <v>2.2400000000000002</v>
      </c>
      <c r="G728" s="358">
        <f t="shared" si="70"/>
        <v>4.4800000000000006E-2</v>
      </c>
      <c r="H728" s="360" t="s">
        <v>527</v>
      </c>
      <c r="I728" s="4">
        <f t="shared" si="71"/>
        <v>164</v>
      </c>
      <c r="O728" s="4"/>
    </row>
    <row r="729" spans="1:15" ht="15.75" hidden="1" customHeight="1" x14ac:dyDescent="0.25">
      <c r="A729" s="252" t="s">
        <v>283</v>
      </c>
      <c r="B729" s="833"/>
      <c r="C729" s="833"/>
      <c r="D729" s="833"/>
      <c r="E729" s="350">
        <v>50</v>
      </c>
      <c r="F729" s="339">
        <v>6.29</v>
      </c>
      <c r="G729" s="358">
        <f t="shared" si="70"/>
        <v>0.1258</v>
      </c>
      <c r="H729" s="360" t="s">
        <v>528</v>
      </c>
      <c r="I729" s="4">
        <f t="shared" si="71"/>
        <v>164</v>
      </c>
      <c r="O729" s="4"/>
    </row>
    <row r="730" spans="1:15" ht="15.75" hidden="1" customHeight="1" x14ac:dyDescent="0.25">
      <c r="A730" s="252" t="s">
        <v>284</v>
      </c>
      <c r="B730" s="833"/>
      <c r="C730" s="833"/>
      <c r="D730" s="833"/>
      <c r="E730" s="350">
        <v>50</v>
      </c>
      <c r="F730" s="339">
        <v>11.06</v>
      </c>
      <c r="G730" s="358">
        <f t="shared" si="70"/>
        <v>0.22120000000000001</v>
      </c>
      <c r="H730" s="360" t="s">
        <v>529</v>
      </c>
      <c r="I730" s="4">
        <f t="shared" si="71"/>
        <v>165</v>
      </c>
      <c r="O730" s="4"/>
    </row>
    <row r="731" spans="1:15" ht="15.75" hidden="1" customHeight="1" x14ac:dyDescent="0.25">
      <c r="A731" s="261" t="s">
        <v>285</v>
      </c>
      <c r="B731" s="834"/>
      <c r="C731" s="834"/>
      <c r="D731" s="834"/>
      <c r="E731" s="352">
        <v>50</v>
      </c>
      <c r="F731" s="342">
        <v>14.19</v>
      </c>
      <c r="G731" s="359">
        <f t="shared" si="70"/>
        <v>0.2838</v>
      </c>
      <c r="H731" s="361" t="s">
        <v>530</v>
      </c>
      <c r="I731" s="4">
        <f t="shared" si="71"/>
        <v>165</v>
      </c>
      <c r="O731" s="4"/>
    </row>
    <row r="732" spans="1:15" ht="15.75" hidden="1" customHeight="1" x14ac:dyDescent="0.25">
      <c r="A732" s="267"/>
      <c r="B732" s="267"/>
      <c r="C732" s="267"/>
      <c r="D732" s="267"/>
      <c r="E732" s="267"/>
      <c r="F732" s="267"/>
      <c r="G732" s="267"/>
      <c r="H732" s="267"/>
      <c r="O732" s="4"/>
    </row>
    <row r="733" spans="1:15" ht="15.75" hidden="1" customHeight="1" x14ac:dyDescent="0.25">
      <c r="A733" s="267"/>
      <c r="B733" s="267"/>
      <c r="C733" s="267"/>
      <c r="D733" s="267"/>
      <c r="E733" s="267"/>
      <c r="F733" s="267"/>
      <c r="G733" s="267"/>
      <c r="H733" s="267"/>
      <c r="O733" s="4"/>
    </row>
    <row r="734" spans="1:15" ht="15.75" hidden="1" customHeight="1" x14ac:dyDescent="0.25">
      <c r="A734" s="269" t="s">
        <v>25</v>
      </c>
      <c r="B734" s="249" t="s">
        <v>496</v>
      </c>
      <c r="C734" s="337" t="s">
        <v>326</v>
      </c>
      <c r="D734" s="337" t="s">
        <v>361</v>
      </c>
      <c r="E734" s="337" t="s">
        <v>509</v>
      </c>
      <c r="F734" s="337" t="s">
        <v>510</v>
      </c>
      <c r="G734" s="337" t="s">
        <v>511</v>
      </c>
      <c r="H734" s="251" t="s">
        <v>433</v>
      </c>
      <c r="O734" s="4"/>
    </row>
    <row r="735" spans="1:15" ht="15.75" hidden="1" customHeight="1" x14ac:dyDescent="0.25">
      <c r="A735" s="252" t="s">
        <v>287</v>
      </c>
      <c r="B735" s="972"/>
      <c r="C735" s="972" t="s">
        <v>503</v>
      </c>
      <c r="D735" s="978"/>
      <c r="E735" s="350">
        <v>590</v>
      </c>
      <c r="F735" s="339">
        <v>1.48</v>
      </c>
      <c r="G735" s="358">
        <f t="shared" ref="G735:G746" si="72">F735/E735</f>
        <v>2.5084745762711863E-3</v>
      </c>
      <c r="H735" s="300" t="s">
        <v>389</v>
      </c>
      <c r="I735" s="4">
        <f t="shared" ref="I735:I746" si="73">LEN(H735)</f>
        <v>184</v>
      </c>
      <c r="O735" s="4"/>
    </row>
    <row r="736" spans="1:15" ht="15.75" hidden="1" customHeight="1" x14ac:dyDescent="0.25">
      <c r="A736" s="252" t="s">
        <v>296</v>
      </c>
      <c r="B736" s="833"/>
      <c r="C736" s="833"/>
      <c r="D736" s="833"/>
      <c r="E736" s="350">
        <v>590</v>
      </c>
      <c r="F736" s="339">
        <v>1.48</v>
      </c>
      <c r="G736" s="358">
        <f t="shared" si="72"/>
        <v>2.5084745762711863E-3</v>
      </c>
      <c r="H736" s="300" t="s">
        <v>389</v>
      </c>
      <c r="I736" s="4">
        <f t="shared" si="73"/>
        <v>184</v>
      </c>
      <c r="O736" s="4"/>
    </row>
    <row r="737" spans="1:15" ht="15.75" hidden="1" customHeight="1" x14ac:dyDescent="0.25">
      <c r="A737" s="252" t="s">
        <v>305</v>
      </c>
      <c r="B737" s="833"/>
      <c r="C737" s="833"/>
      <c r="D737" s="833"/>
      <c r="E737" s="350">
        <v>590</v>
      </c>
      <c r="F737" s="339">
        <v>1.48</v>
      </c>
      <c r="G737" s="358">
        <f t="shared" si="72"/>
        <v>2.5084745762711863E-3</v>
      </c>
      <c r="H737" s="300" t="s">
        <v>389</v>
      </c>
      <c r="I737" s="4">
        <f t="shared" si="73"/>
        <v>184</v>
      </c>
      <c r="O737" s="4"/>
    </row>
    <row r="738" spans="1:15" ht="15.75" hidden="1" customHeight="1" x14ac:dyDescent="0.25">
      <c r="A738" s="252" t="s">
        <v>306</v>
      </c>
      <c r="B738" s="833"/>
      <c r="C738" s="833"/>
      <c r="D738" s="833"/>
      <c r="E738" s="350">
        <v>590</v>
      </c>
      <c r="F738" s="339">
        <v>2.86</v>
      </c>
      <c r="G738" s="358">
        <f t="shared" si="72"/>
        <v>4.8474576271186438E-3</v>
      </c>
      <c r="H738" s="246" t="s">
        <v>390</v>
      </c>
      <c r="I738" s="4">
        <f t="shared" si="73"/>
        <v>174</v>
      </c>
      <c r="O738" s="4"/>
    </row>
    <row r="739" spans="1:15" ht="15.75" hidden="1" customHeight="1" x14ac:dyDescent="0.25">
      <c r="A739" s="252" t="s">
        <v>308</v>
      </c>
      <c r="B739" s="833"/>
      <c r="C739" s="833"/>
      <c r="D739" s="833"/>
      <c r="E739" s="350">
        <v>590</v>
      </c>
      <c r="F739" s="339">
        <v>8.7100000000000009</v>
      </c>
      <c r="G739" s="358">
        <f t="shared" si="72"/>
        <v>1.4762711864406782E-2</v>
      </c>
      <c r="H739" s="246" t="s">
        <v>391</v>
      </c>
      <c r="I739" s="4">
        <f t="shared" si="73"/>
        <v>230</v>
      </c>
      <c r="O739" s="4"/>
    </row>
    <row r="740" spans="1:15" ht="15.75" hidden="1" customHeight="1" x14ac:dyDescent="0.25">
      <c r="A740" s="252" t="s">
        <v>309</v>
      </c>
      <c r="B740" s="833"/>
      <c r="C740" s="833"/>
      <c r="D740" s="833"/>
      <c r="E740" s="350">
        <v>590</v>
      </c>
      <c r="F740" s="339">
        <v>10.01</v>
      </c>
      <c r="G740" s="358">
        <f t="shared" si="72"/>
        <v>1.6966101694915255E-2</v>
      </c>
      <c r="H740" s="246" t="s">
        <v>392</v>
      </c>
      <c r="I740" s="4">
        <f t="shared" si="73"/>
        <v>231</v>
      </c>
      <c r="O740" s="4"/>
    </row>
    <row r="741" spans="1:15" ht="15.75" hidden="1" customHeight="1" x14ac:dyDescent="0.25">
      <c r="A741" s="252" t="s">
        <v>275</v>
      </c>
      <c r="B741" s="833"/>
      <c r="C741" s="833"/>
      <c r="D741" s="833"/>
      <c r="E741" s="350">
        <v>590</v>
      </c>
      <c r="F741" s="339">
        <v>29.73</v>
      </c>
      <c r="G741" s="358">
        <f t="shared" si="72"/>
        <v>5.0389830508474578E-2</v>
      </c>
      <c r="H741" s="246" t="s">
        <v>393</v>
      </c>
      <c r="I741" s="4">
        <f t="shared" si="73"/>
        <v>231</v>
      </c>
      <c r="O741" s="4"/>
    </row>
    <row r="742" spans="1:15" ht="15.75" hidden="1" customHeight="1" x14ac:dyDescent="0.25">
      <c r="A742" s="252" t="s">
        <v>281</v>
      </c>
      <c r="B742" s="833"/>
      <c r="C742" s="833"/>
      <c r="D742" s="833"/>
      <c r="E742" s="350">
        <v>590</v>
      </c>
      <c r="F742" s="339">
        <v>35.479999999999997</v>
      </c>
      <c r="G742" s="358">
        <f t="shared" si="72"/>
        <v>6.0135593220338977E-2</v>
      </c>
      <c r="H742" s="246" t="s">
        <v>531</v>
      </c>
      <c r="I742" s="4">
        <f t="shared" si="73"/>
        <v>186</v>
      </c>
      <c r="O742" s="4"/>
    </row>
    <row r="743" spans="1:15" ht="15.75" hidden="1" customHeight="1" x14ac:dyDescent="0.25">
      <c r="A743" s="252" t="s">
        <v>282</v>
      </c>
      <c r="B743" s="833"/>
      <c r="C743" s="833"/>
      <c r="D743" s="833"/>
      <c r="E743" s="350">
        <v>590</v>
      </c>
      <c r="F743" s="339">
        <v>40.72</v>
      </c>
      <c r="G743" s="358">
        <f t="shared" si="72"/>
        <v>6.9016949152542376E-2</v>
      </c>
      <c r="H743" s="246" t="s">
        <v>395</v>
      </c>
      <c r="I743" s="4">
        <f t="shared" si="73"/>
        <v>186</v>
      </c>
      <c r="O743" s="4"/>
    </row>
    <row r="744" spans="1:15" ht="15.75" hidden="1" customHeight="1" x14ac:dyDescent="0.25">
      <c r="A744" s="252" t="s">
        <v>283</v>
      </c>
      <c r="B744" s="833"/>
      <c r="C744" s="833"/>
      <c r="D744" s="833"/>
      <c r="E744" s="350">
        <v>590</v>
      </c>
      <c r="F744" s="339">
        <v>55.02</v>
      </c>
      <c r="G744" s="358">
        <f t="shared" si="72"/>
        <v>9.3254237288135602E-2</v>
      </c>
      <c r="H744" s="246" t="s">
        <v>396</v>
      </c>
      <c r="I744" s="4">
        <f t="shared" si="73"/>
        <v>186</v>
      </c>
      <c r="O744" s="4"/>
    </row>
    <row r="745" spans="1:15" ht="15.75" hidden="1" customHeight="1" x14ac:dyDescent="0.25">
      <c r="A745" s="252" t="s">
        <v>284</v>
      </c>
      <c r="B745" s="833"/>
      <c r="C745" s="833"/>
      <c r="D745" s="833"/>
      <c r="E745" s="350">
        <v>590</v>
      </c>
      <c r="F745" s="351">
        <v>57.14</v>
      </c>
      <c r="G745" s="358">
        <f t="shared" si="72"/>
        <v>9.6847457627118647E-2</v>
      </c>
      <c r="H745" s="246" t="s">
        <v>397</v>
      </c>
      <c r="I745" s="4">
        <f t="shared" si="73"/>
        <v>186</v>
      </c>
      <c r="O745" s="4"/>
    </row>
    <row r="746" spans="1:15" ht="15.75" hidden="1" customHeight="1" x14ac:dyDescent="0.25">
      <c r="A746" s="261" t="s">
        <v>285</v>
      </c>
      <c r="B746" s="834"/>
      <c r="C746" s="834"/>
      <c r="D746" s="834"/>
      <c r="E746" s="352">
        <v>590</v>
      </c>
      <c r="F746" s="342">
        <v>60.56</v>
      </c>
      <c r="G746" s="359">
        <f t="shared" si="72"/>
        <v>0.10264406779661017</v>
      </c>
      <c r="H746" s="287" t="s">
        <v>532</v>
      </c>
      <c r="I746" s="4">
        <f t="shared" si="73"/>
        <v>187</v>
      </c>
      <c r="O746" s="4"/>
    </row>
    <row r="747" spans="1:15" ht="15.75" hidden="1" customHeight="1" x14ac:dyDescent="0.25">
      <c r="A747" s="267"/>
      <c r="B747" s="267"/>
      <c r="C747" s="267"/>
      <c r="D747" s="267"/>
      <c r="E747" s="267"/>
      <c r="F747" s="267"/>
      <c r="G747" s="267"/>
      <c r="H747" s="267"/>
      <c r="O747" s="4"/>
    </row>
    <row r="748" spans="1:15" ht="15.75" hidden="1" customHeight="1" x14ac:dyDescent="0.25">
      <c r="A748" s="267"/>
      <c r="B748" s="267"/>
      <c r="C748" s="267"/>
      <c r="D748" s="267"/>
      <c r="E748" s="267"/>
      <c r="F748" s="267"/>
      <c r="G748" s="267"/>
      <c r="H748" s="267"/>
      <c r="O748" s="4"/>
    </row>
    <row r="749" spans="1:15" ht="15.75" hidden="1" customHeight="1" x14ac:dyDescent="0.25">
      <c r="A749" s="269" t="s">
        <v>25</v>
      </c>
      <c r="B749" s="249" t="s">
        <v>496</v>
      </c>
      <c r="C749" s="337" t="s">
        <v>326</v>
      </c>
      <c r="D749" s="337" t="s">
        <v>361</v>
      </c>
      <c r="E749" s="337" t="s">
        <v>509</v>
      </c>
      <c r="F749" s="337" t="s">
        <v>510</v>
      </c>
      <c r="G749" s="337" t="s">
        <v>511</v>
      </c>
      <c r="H749" s="251" t="s">
        <v>433</v>
      </c>
      <c r="O749" s="4"/>
    </row>
    <row r="750" spans="1:15" ht="15.75" hidden="1" customHeight="1" x14ac:dyDescent="0.25">
      <c r="A750" s="252" t="s">
        <v>287</v>
      </c>
      <c r="B750" s="972" t="s">
        <v>504</v>
      </c>
      <c r="C750" s="972" t="s">
        <v>505</v>
      </c>
      <c r="D750" s="976">
        <v>33</v>
      </c>
      <c r="E750" s="350">
        <v>0.73</v>
      </c>
      <c r="F750" s="339">
        <v>0.05</v>
      </c>
      <c r="G750" s="358">
        <f t="shared" ref="G750:G761" si="74">F750/E750</f>
        <v>6.8493150684931517E-2</v>
      </c>
      <c r="H750" s="300" t="s">
        <v>399</v>
      </c>
      <c r="I750" s="4">
        <f t="shared" ref="I750:I761" si="75">LEN(H750)</f>
        <v>149</v>
      </c>
      <c r="O750" s="4"/>
    </row>
    <row r="751" spans="1:15" ht="15.75" hidden="1" customHeight="1" x14ac:dyDescent="0.25">
      <c r="A751" s="252" t="s">
        <v>296</v>
      </c>
      <c r="B751" s="833"/>
      <c r="C751" s="833"/>
      <c r="D751" s="833"/>
      <c r="E751" s="350">
        <v>0.73</v>
      </c>
      <c r="F751" s="351">
        <v>0.1</v>
      </c>
      <c r="G751" s="358">
        <f t="shared" si="74"/>
        <v>0.13698630136986303</v>
      </c>
      <c r="H751" s="300" t="s">
        <v>400</v>
      </c>
      <c r="I751" s="4">
        <f t="shared" si="75"/>
        <v>183</v>
      </c>
      <c r="O751" s="4"/>
    </row>
    <row r="752" spans="1:15" ht="15.75" hidden="1" customHeight="1" x14ac:dyDescent="0.25">
      <c r="A752" s="252" t="s">
        <v>305</v>
      </c>
      <c r="B752" s="833"/>
      <c r="C752" s="833"/>
      <c r="D752" s="833"/>
      <c r="E752" s="350">
        <v>0.73</v>
      </c>
      <c r="F752" s="339">
        <v>0.14000000000000001</v>
      </c>
      <c r="G752" s="358">
        <f t="shared" si="74"/>
        <v>0.19178082191780824</v>
      </c>
      <c r="H752" s="300" t="s">
        <v>533</v>
      </c>
      <c r="I752" s="4">
        <f t="shared" si="75"/>
        <v>170</v>
      </c>
      <c r="O752" s="4"/>
    </row>
    <row r="753" spans="1:15" ht="15.75" hidden="1" customHeight="1" x14ac:dyDescent="0.25">
      <c r="A753" s="252" t="s">
        <v>306</v>
      </c>
      <c r="B753" s="833"/>
      <c r="C753" s="833"/>
      <c r="D753" s="833"/>
      <c r="E753" s="350">
        <v>0.73</v>
      </c>
      <c r="F753" s="351">
        <v>0.2</v>
      </c>
      <c r="G753" s="358">
        <f t="shared" si="74"/>
        <v>0.27397260273972607</v>
      </c>
      <c r="H753" s="300" t="s">
        <v>533</v>
      </c>
      <c r="I753" s="4">
        <f t="shared" si="75"/>
        <v>170</v>
      </c>
      <c r="O753" s="4"/>
    </row>
    <row r="754" spans="1:15" ht="15.75" hidden="1" customHeight="1" x14ac:dyDescent="0.25">
      <c r="A754" s="252" t="s">
        <v>308</v>
      </c>
      <c r="B754" s="833"/>
      <c r="C754" s="833"/>
      <c r="D754" s="833"/>
      <c r="E754" s="350">
        <v>0.73</v>
      </c>
      <c r="F754" s="339">
        <v>0.26</v>
      </c>
      <c r="G754" s="358">
        <f t="shared" si="74"/>
        <v>0.35616438356164387</v>
      </c>
      <c r="H754" s="300" t="s">
        <v>533</v>
      </c>
      <c r="I754" s="4">
        <f t="shared" si="75"/>
        <v>170</v>
      </c>
      <c r="O754" s="4"/>
    </row>
    <row r="755" spans="1:15" ht="15.75" hidden="1" customHeight="1" x14ac:dyDescent="0.25">
      <c r="A755" s="252" t="s">
        <v>309</v>
      </c>
      <c r="B755" s="833"/>
      <c r="C755" s="833"/>
      <c r="D755" s="833"/>
      <c r="E755" s="350">
        <v>0.73</v>
      </c>
      <c r="F755" s="339">
        <v>0.33</v>
      </c>
      <c r="G755" s="358">
        <f t="shared" si="74"/>
        <v>0.45205479452054798</v>
      </c>
      <c r="H755" s="246" t="s">
        <v>404</v>
      </c>
      <c r="I755" s="4">
        <f t="shared" si="75"/>
        <v>229</v>
      </c>
      <c r="O755" s="4"/>
    </row>
    <row r="756" spans="1:15" ht="15.75" hidden="1" customHeight="1" x14ac:dyDescent="0.25">
      <c r="A756" s="252" t="s">
        <v>275</v>
      </c>
      <c r="B756" s="833"/>
      <c r="C756" s="833"/>
      <c r="D756" s="833"/>
      <c r="E756" s="350">
        <v>0.73</v>
      </c>
      <c r="F756" s="339">
        <v>0.39</v>
      </c>
      <c r="G756" s="358">
        <f t="shared" si="74"/>
        <v>0.53424657534246578</v>
      </c>
      <c r="H756" s="246" t="s">
        <v>534</v>
      </c>
      <c r="I756" s="4">
        <f t="shared" si="75"/>
        <v>229</v>
      </c>
      <c r="O756" s="4"/>
    </row>
    <row r="757" spans="1:15" ht="15.75" hidden="1" customHeight="1" x14ac:dyDescent="0.25">
      <c r="A757" s="252" t="s">
        <v>281</v>
      </c>
      <c r="B757" s="833"/>
      <c r="C757" s="833"/>
      <c r="D757" s="833"/>
      <c r="E757" s="350">
        <v>0.73</v>
      </c>
      <c r="F757" s="339">
        <v>0.46</v>
      </c>
      <c r="G757" s="358">
        <f t="shared" si="74"/>
        <v>0.63013698630136994</v>
      </c>
      <c r="H757" s="246" t="s">
        <v>406</v>
      </c>
      <c r="I757" s="4">
        <f t="shared" si="75"/>
        <v>229</v>
      </c>
      <c r="O757" s="4"/>
    </row>
    <row r="758" spans="1:15" ht="15.75" hidden="1" customHeight="1" x14ac:dyDescent="0.25">
      <c r="A758" s="252" t="s">
        <v>282</v>
      </c>
      <c r="B758" s="833"/>
      <c r="C758" s="833"/>
      <c r="D758" s="833"/>
      <c r="E758" s="350">
        <v>0.73</v>
      </c>
      <c r="F758" s="339">
        <v>0.53</v>
      </c>
      <c r="G758" s="358">
        <f t="shared" si="74"/>
        <v>0.72602739726027399</v>
      </c>
      <c r="H758" s="246" t="s">
        <v>407</v>
      </c>
      <c r="I758" s="4">
        <f t="shared" si="75"/>
        <v>229</v>
      </c>
      <c r="O758" s="4"/>
    </row>
    <row r="759" spans="1:15" ht="15.75" hidden="1" customHeight="1" x14ac:dyDescent="0.25">
      <c r="A759" s="252" t="s">
        <v>283</v>
      </c>
      <c r="B759" s="833"/>
      <c r="C759" s="833"/>
      <c r="D759" s="833"/>
      <c r="E759" s="350">
        <v>0.73</v>
      </c>
      <c r="F759" s="351">
        <v>0.6</v>
      </c>
      <c r="G759" s="358">
        <f t="shared" si="74"/>
        <v>0.82191780821917804</v>
      </c>
      <c r="H759" s="246" t="s">
        <v>408</v>
      </c>
      <c r="I759" s="4">
        <f t="shared" si="75"/>
        <v>229</v>
      </c>
      <c r="O759" s="4"/>
    </row>
    <row r="760" spans="1:15" ht="15.75" hidden="1" customHeight="1" x14ac:dyDescent="0.25">
      <c r="A760" s="252" t="s">
        <v>284</v>
      </c>
      <c r="B760" s="833"/>
      <c r="C760" s="833"/>
      <c r="D760" s="833"/>
      <c r="E760" s="350">
        <v>0.73</v>
      </c>
      <c r="F760" s="351">
        <v>0.67</v>
      </c>
      <c r="G760" s="358">
        <f t="shared" si="74"/>
        <v>0.91780821917808231</v>
      </c>
      <c r="H760" s="246" t="s">
        <v>409</v>
      </c>
      <c r="I760" s="4">
        <f t="shared" si="75"/>
        <v>229</v>
      </c>
      <c r="O760" s="4"/>
    </row>
    <row r="761" spans="1:15" ht="15.75" hidden="1" customHeight="1" x14ac:dyDescent="0.25">
      <c r="A761" s="261" t="s">
        <v>285</v>
      </c>
      <c r="B761" s="834"/>
      <c r="C761" s="834"/>
      <c r="D761" s="834"/>
      <c r="E761" s="352">
        <v>0.73</v>
      </c>
      <c r="F761" s="342">
        <v>0.73</v>
      </c>
      <c r="G761" s="359">
        <f t="shared" si="74"/>
        <v>1</v>
      </c>
      <c r="H761" s="266" t="s">
        <v>535</v>
      </c>
      <c r="I761" s="4">
        <f t="shared" si="75"/>
        <v>197</v>
      </c>
      <c r="O761" s="4"/>
    </row>
    <row r="762" spans="1:15" ht="15.75" hidden="1" customHeight="1" x14ac:dyDescent="0.25">
      <c r="A762" s="267"/>
      <c r="B762" s="268"/>
      <c r="C762" s="268"/>
      <c r="D762" s="356"/>
      <c r="E762" s="344"/>
      <c r="F762" s="267"/>
      <c r="G762" s="357"/>
      <c r="H762" s="267"/>
      <c r="I762" s="4"/>
      <c r="O762" s="4"/>
    </row>
    <row r="763" spans="1:15" ht="15.75" hidden="1" customHeight="1" x14ac:dyDescent="0.25">
      <c r="O763" s="4"/>
    </row>
    <row r="764" spans="1:15" ht="15.75" hidden="1" customHeight="1" x14ac:dyDescent="0.3">
      <c r="A764" s="982" t="s">
        <v>536</v>
      </c>
      <c r="B764" s="880"/>
      <c r="C764" s="880"/>
      <c r="D764" s="880"/>
      <c r="E764" s="880"/>
      <c r="F764" s="880"/>
      <c r="G764" s="880"/>
      <c r="H764" s="881"/>
      <c r="O764" s="4"/>
    </row>
    <row r="765" spans="1:15" ht="15.75" hidden="1" customHeight="1" x14ac:dyDescent="0.25">
      <c r="A765" s="269" t="s">
        <v>26</v>
      </c>
      <c r="B765" s="249" t="s">
        <v>496</v>
      </c>
      <c r="C765" s="337" t="s">
        <v>326</v>
      </c>
      <c r="D765" s="337" t="s">
        <v>425</v>
      </c>
      <c r="E765" s="337" t="s">
        <v>537</v>
      </c>
      <c r="F765" s="337" t="s">
        <v>538</v>
      </c>
      <c r="G765" s="337" t="s">
        <v>539</v>
      </c>
      <c r="H765" s="251" t="s">
        <v>433</v>
      </c>
      <c r="O765" s="4"/>
    </row>
    <row r="766" spans="1:15" ht="15.75" hidden="1" customHeight="1" x14ac:dyDescent="0.25">
      <c r="A766" s="239" t="s">
        <v>287</v>
      </c>
      <c r="B766" s="972" t="s">
        <v>500</v>
      </c>
      <c r="C766" s="972" t="s">
        <v>501</v>
      </c>
      <c r="D766" s="976">
        <v>33</v>
      </c>
      <c r="E766" s="362">
        <v>64</v>
      </c>
      <c r="F766" s="363">
        <v>0.52190000000000003</v>
      </c>
      <c r="G766" s="364">
        <f t="shared" ref="G766:G777" si="76">F766/E766</f>
        <v>8.1546875000000005E-3</v>
      </c>
      <c r="H766" s="294" t="s">
        <v>416</v>
      </c>
      <c r="I766" s="4">
        <f t="shared" ref="I766:I777" si="77">LEN(H766)</f>
        <v>200</v>
      </c>
      <c r="O766" s="4"/>
    </row>
    <row r="767" spans="1:15" ht="15.75" hidden="1" customHeight="1" x14ac:dyDescent="0.25">
      <c r="A767" s="239" t="s">
        <v>296</v>
      </c>
      <c r="B767" s="833"/>
      <c r="C767" s="833"/>
      <c r="D767" s="833"/>
      <c r="E767" s="338">
        <v>64</v>
      </c>
      <c r="F767" s="293">
        <v>0.52590000000000003</v>
      </c>
      <c r="G767" s="365">
        <f t="shared" si="76"/>
        <v>8.2171875000000005E-3</v>
      </c>
      <c r="H767" s="300" t="s">
        <v>540</v>
      </c>
      <c r="I767" s="4">
        <f t="shared" si="77"/>
        <v>254</v>
      </c>
      <c r="O767" s="4"/>
    </row>
    <row r="768" spans="1:15" ht="15.75" hidden="1" customHeight="1" x14ac:dyDescent="0.25">
      <c r="A768" s="239" t="s">
        <v>305</v>
      </c>
      <c r="B768" s="833"/>
      <c r="C768" s="833"/>
      <c r="D768" s="833"/>
      <c r="E768" s="366">
        <v>64</v>
      </c>
      <c r="F768" s="293">
        <v>0.53180000000000005</v>
      </c>
      <c r="G768" s="365">
        <f t="shared" si="76"/>
        <v>8.3093750000000008E-3</v>
      </c>
      <c r="H768" s="300" t="s">
        <v>541</v>
      </c>
      <c r="I768" s="4">
        <f t="shared" si="77"/>
        <v>253</v>
      </c>
      <c r="O768" s="4"/>
    </row>
    <row r="769" spans="1:15" ht="15.75" hidden="1" customHeight="1" x14ac:dyDescent="0.25">
      <c r="A769" s="239" t="s">
        <v>306</v>
      </c>
      <c r="B769" s="833"/>
      <c r="C769" s="833"/>
      <c r="D769" s="833"/>
      <c r="E769" s="338">
        <v>64</v>
      </c>
      <c r="F769" s="293">
        <v>0.53849999999999998</v>
      </c>
      <c r="G769" s="365">
        <f t="shared" si="76"/>
        <v>8.4140624999999997E-3</v>
      </c>
      <c r="H769" s="300" t="s">
        <v>542</v>
      </c>
      <c r="I769" s="4">
        <f t="shared" si="77"/>
        <v>253</v>
      </c>
      <c r="O769" s="4"/>
    </row>
    <row r="770" spans="1:15" ht="15.75" hidden="1" customHeight="1" x14ac:dyDescent="0.25">
      <c r="A770" s="239" t="s">
        <v>308</v>
      </c>
      <c r="B770" s="833"/>
      <c r="C770" s="833"/>
      <c r="D770" s="833"/>
      <c r="E770" s="338">
        <v>64</v>
      </c>
      <c r="F770" s="293">
        <v>0.54500000000000004</v>
      </c>
      <c r="G770" s="293">
        <f t="shared" si="76"/>
        <v>8.5156250000000006E-3</v>
      </c>
      <c r="H770" s="300" t="s">
        <v>543</v>
      </c>
      <c r="I770" s="4">
        <f t="shared" si="77"/>
        <v>253</v>
      </c>
      <c r="O770" s="4"/>
    </row>
    <row r="771" spans="1:15" ht="15.75" hidden="1" customHeight="1" x14ac:dyDescent="0.25">
      <c r="A771" s="239" t="s">
        <v>309</v>
      </c>
      <c r="B771" s="833"/>
      <c r="C771" s="833"/>
      <c r="D771" s="833"/>
      <c r="E771" s="338">
        <v>64</v>
      </c>
      <c r="F771" s="293">
        <v>0.55449999999999999</v>
      </c>
      <c r="G771" s="293">
        <f t="shared" si="76"/>
        <v>8.6640624999999999E-3</v>
      </c>
      <c r="H771" s="300" t="s">
        <v>544</v>
      </c>
      <c r="I771" s="4">
        <f t="shared" si="77"/>
        <v>253</v>
      </c>
      <c r="O771" s="4"/>
    </row>
    <row r="772" spans="1:15" ht="15.75" hidden="1" customHeight="1" x14ac:dyDescent="0.25">
      <c r="A772" s="239" t="s">
        <v>275</v>
      </c>
      <c r="B772" s="833"/>
      <c r="C772" s="833"/>
      <c r="D772" s="833"/>
      <c r="E772" s="338">
        <v>64</v>
      </c>
      <c r="F772" s="293">
        <v>0.56730000000000003</v>
      </c>
      <c r="G772" s="293">
        <f t="shared" si="76"/>
        <v>8.8640625000000004E-3</v>
      </c>
      <c r="H772" s="300" t="s">
        <v>544</v>
      </c>
      <c r="I772" s="4">
        <f t="shared" si="77"/>
        <v>253</v>
      </c>
      <c r="O772" s="4"/>
    </row>
    <row r="773" spans="1:15" ht="15.75" hidden="1" customHeight="1" x14ac:dyDescent="0.25">
      <c r="A773" s="239" t="s">
        <v>281</v>
      </c>
      <c r="B773" s="833"/>
      <c r="C773" s="833"/>
      <c r="D773" s="833"/>
      <c r="E773" s="338">
        <v>64</v>
      </c>
      <c r="F773" s="293">
        <v>0.57850000000000001</v>
      </c>
      <c r="G773" s="293">
        <f t="shared" si="76"/>
        <v>9.0390625000000002E-3</v>
      </c>
      <c r="H773" s="300" t="s">
        <v>545</v>
      </c>
      <c r="I773" s="4">
        <f t="shared" si="77"/>
        <v>254</v>
      </c>
      <c r="O773" s="4"/>
    </row>
    <row r="774" spans="1:15" ht="15.75" hidden="1" customHeight="1" x14ac:dyDescent="0.25">
      <c r="A774" s="239" t="s">
        <v>282</v>
      </c>
      <c r="B774" s="833"/>
      <c r="C774" s="833"/>
      <c r="D774" s="833"/>
      <c r="E774" s="338">
        <v>64</v>
      </c>
      <c r="F774" s="293">
        <v>0.59060000000000001</v>
      </c>
      <c r="G774" s="293">
        <f t="shared" si="76"/>
        <v>9.2281250000000002E-3</v>
      </c>
      <c r="H774" s="300" t="s">
        <v>546</v>
      </c>
      <c r="I774" s="4">
        <f t="shared" si="77"/>
        <v>245</v>
      </c>
      <c r="O774" s="4"/>
    </row>
    <row r="775" spans="1:15" ht="15.75" hidden="1" customHeight="1" x14ac:dyDescent="0.25">
      <c r="A775" s="239" t="s">
        <v>283</v>
      </c>
      <c r="B775" s="833"/>
      <c r="C775" s="833"/>
      <c r="D775" s="833"/>
      <c r="E775" s="338">
        <v>64</v>
      </c>
      <c r="F775" s="293">
        <v>0.60240000000000005</v>
      </c>
      <c r="G775" s="293">
        <f t="shared" si="76"/>
        <v>9.4125000000000007E-3</v>
      </c>
      <c r="H775" s="300" t="s">
        <v>547</v>
      </c>
      <c r="I775" s="4">
        <f t="shared" si="77"/>
        <v>241</v>
      </c>
      <c r="O775" s="4"/>
    </row>
    <row r="776" spans="1:15" ht="15.75" hidden="1" customHeight="1" x14ac:dyDescent="0.25">
      <c r="A776" s="239" t="s">
        <v>284</v>
      </c>
      <c r="B776" s="833"/>
      <c r="C776" s="833"/>
      <c r="D776" s="833"/>
      <c r="E776" s="338">
        <v>64</v>
      </c>
      <c r="F776" s="293">
        <v>0.61329999999999996</v>
      </c>
      <c r="G776" s="293">
        <f t="shared" si="76"/>
        <v>9.5828124999999993E-3</v>
      </c>
      <c r="H776" s="300" t="s">
        <v>548</v>
      </c>
      <c r="I776" s="4">
        <f t="shared" si="77"/>
        <v>242</v>
      </c>
      <c r="O776" s="4"/>
    </row>
    <row r="777" spans="1:15" ht="15.75" hidden="1" customHeight="1" x14ac:dyDescent="0.25">
      <c r="A777" s="240" t="s">
        <v>285</v>
      </c>
      <c r="B777" s="834"/>
      <c r="C777" s="834"/>
      <c r="D777" s="834"/>
      <c r="E777" s="367">
        <v>64</v>
      </c>
      <c r="F777" s="296">
        <v>0.62609999999999999</v>
      </c>
      <c r="G777" s="296">
        <f t="shared" si="76"/>
        <v>9.7828124999999998E-3</v>
      </c>
      <c r="H777" s="301" t="s">
        <v>549</v>
      </c>
      <c r="I777" s="4">
        <f t="shared" si="77"/>
        <v>242</v>
      </c>
      <c r="O777" s="4"/>
    </row>
    <row r="778" spans="1:15" ht="15.75" hidden="1" customHeight="1" x14ac:dyDescent="0.25">
      <c r="O778" s="4"/>
    </row>
    <row r="779" spans="1:15" ht="15.75" hidden="1" customHeight="1" x14ac:dyDescent="0.25">
      <c r="O779" s="4"/>
    </row>
    <row r="780" spans="1:15" ht="15.75" hidden="1" customHeight="1" x14ac:dyDescent="0.25">
      <c r="A780" s="269" t="s">
        <v>26</v>
      </c>
      <c r="B780" s="249" t="s">
        <v>496</v>
      </c>
      <c r="C780" s="337" t="s">
        <v>326</v>
      </c>
      <c r="D780" s="337" t="s">
        <v>425</v>
      </c>
      <c r="E780" s="337" t="s">
        <v>537</v>
      </c>
      <c r="F780" s="337" t="s">
        <v>538</v>
      </c>
      <c r="G780" s="337" t="s">
        <v>539</v>
      </c>
      <c r="H780" s="251" t="s">
        <v>433</v>
      </c>
      <c r="O780" s="4"/>
    </row>
    <row r="781" spans="1:15" ht="15.75" hidden="1" customHeight="1" x14ac:dyDescent="0.25">
      <c r="A781" s="239" t="s">
        <v>287</v>
      </c>
      <c r="B781" s="972" t="s">
        <v>502</v>
      </c>
      <c r="C781" s="972" t="s">
        <v>503</v>
      </c>
      <c r="D781" s="976">
        <v>34</v>
      </c>
      <c r="E781" s="350">
        <v>150</v>
      </c>
      <c r="F781" s="288">
        <v>0</v>
      </c>
      <c r="G781" s="293">
        <v>0</v>
      </c>
      <c r="H781" s="246" t="s">
        <v>550</v>
      </c>
      <c r="I781" s="4">
        <f t="shared" ref="I781:I792" si="78">LEN(H781)</f>
        <v>168</v>
      </c>
      <c r="O781" s="4"/>
    </row>
    <row r="782" spans="1:15" ht="15.75" hidden="1" customHeight="1" x14ac:dyDescent="0.25">
      <c r="A782" s="239" t="s">
        <v>296</v>
      </c>
      <c r="B782" s="833"/>
      <c r="C782" s="833"/>
      <c r="D782" s="833"/>
      <c r="E782" s="350">
        <v>150</v>
      </c>
      <c r="F782" s="288">
        <v>0</v>
      </c>
      <c r="G782" s="293">
        <v>0</v>
      </c>
      <c r="H782" s="246" t="s">
        <v>551</v>
      </c>
      <c r="I782" s="4">
        <f t="shared" si="78"/>
        <v>161</v>
      </c>
      <c r="O782" s="4"/>
    </row>
    <row r="783" spans="1:15" ht="15.75" hidden="1" customHeight="1" x14ac:dyDescent="0.25">
      <c r="A783" s="239" t="s">
        <v>305</v>
      </c>
      <c r="B783" s="833"/>
      <c r="C783" s="833"/>
      <c r="D783" s="833"/>
      <c r="E783" s="350">
        <v>150</v>
      </c>
      <c r="F783" s="288">
        <v>3.2</v>
      </c>
      <c r="G783" s="293">
        <f t="shared" ref="G783:G792" si="79">F783/E783</f>
        <v>2.1333333333333336E-2</v>
      </c>
      <c r="H783" s="246" t="s">
        <v>552</v>
      </c>
      <c r="I783" s="4">
        <f t="shared" si="78"/>
        <v>95</v>
      </c>
      <c r="O783" s="4"/>
    </row>
    <row r="784" spans="1:15" ht="15.75" hidden="1" customHeight="1" x14ac:dyDescent="0.25">
      <c r="A784" s="239" t="s">
        <v>306</v>
      </c>
      <c r="B784" s="833"/>
      <c r="C784" s="833"/>
      <c r="D784" s="833"/>
      <c r="E784" s="350">
        <v>150</v>
      </c>
      <c r="F784" s="288">
        <v>3.3</v>
      </c>
      <c r="G784" s="293">
        <f t="shared" si="79"/>
        <v>2.1999999999999999E-2</v>
      </c>
      <c r="H784" s="246" t="s">
        <v>553</v>
      </c>
      <c r="I784" s="4">
        <f t="shared" si="78"/>
        <v>95</v>
      </c>
      <c r="O784" s="4"/>
    </row>
    <row r="785" spans="1:15" ht="15.75" hidden="1" customHeight="1" x14ac:dyDescent="0.25">
      <c r="A785" s="239" t="s">
        <v>308</v>
      </c>
      <c r="B785" s="833"/>
      <c r="C785" s="833"/>
      <c r="D785" s="833"/>
      <c r="E785" s="350">
        <v>150</v>
      </c>
      <c r="F785" s="254">
        <v>4.2699999999999996</v>
      </c>
      <c r="G785" s="293">
        <f t="shared" si="79"/>
        <v>2.8466666666666664E-2</v>
      </c>
      <c r="H785" s="246" t="s">
        <v>554</v>
      </c>
      <c r="I785" s="4">
        <f t="shared" si="78"/>
        <v>94</v>
      </c>
      <c r="O785" s="4"/>
    </row>
    <row r="786" spans="1:15" ht="15.75" hidden="1" customHeight="1" x14ac:dyDescent="0.25">
      <c r="A786" s="239" t="s">
        <v>309</v>
      </c>
      <c r="B786" s="833"/>
      <c r="C786" s="833"/>
      <c r="D786" s="833"/>
      <c r="E786" s="350">
        <v>150</v>
      </c>
      <c r="F786" s="254">
        <v>4.3600000000000003</v>
      </c>
      <c r="G786" s="293">
        <f t="shared" si="79"/>
        <v>2.9066666666666668E-2</v>
      </c>
      <c r="H786" s="246" t="s">
        <v>555</v>
      </c>
      <c r="I786" s="4">
        <f t="shared" si="78"/>
        <v>95</v>
      </c>
      <c r="O786" s="4"/>
    </row>
    <row r="787" spans="1:15" ht="15.75" hidden="1" customHeight="1" x14ac:dyDescent="0.25">
      <c r="A787" s="239" t="s">
        <v>275</v>
      </c>
      <c r="B787" s="833"/>
      <c r="C787" s="833"/>
      <c r="D787" s="833"/>
      <c r="E787" s="350">
        <v>150</v>
      </c>
      <c r="F787" s="254">
        <v>16.89</v>
      </c>
      <c r="G787" s="293">
        <f t="shared" si="79"/>
        <v>0.11260000000000001</v>
      </c>
      <c r="H787" s="246" t="s">
        <v>556</v>
      </c>
      <c r="I787" s="4">
        <f t="shared" si="78"/>
        <v>96</v>
      </c>
      <c r="O787" s="4"/>
    </row>
    <row r="788" spans="1:15" ht="15.75" hidden="1" customHeight="1" x14ac:dyDescent="0.25">
      <c r="A788" s="239" t="s">
        <v>281</v>
      </c>
      <c r="B788" s="833"/>
      <c r="C788" s="833"/>
      <c r="D788" s="833"/>
      <c r="E788" s="350">
        <v>150</v>
      </c>
      <c r="F788" s="254">
        <v>17.02</v>
      </c>
      <c r="G788" s="293">
        <f t="shared" si="79"/>
        <v>0.11346666666666666</v>
      </c>
      <c r="H788" s="246" t="s">
        <v>557</v>
      </c>
      <c r="I788" s="4">
        <f t="shared" si="78"/>
        <v>97</v>
      </c>
      <c r="O788" s="4"/>
    </row>
    <row r="789" spans="1:15" ht="15.75" hidden="1" customHeight="1" x14ac:dyDescent="0.25">
      <c r="A789" s="239" t="s">
        <v>282</v>
      </c>
      <c r="B789" s="833"/>
      <c r="C789" s="833"/>
      <c r="D789" s="833"/>
      <c r="E789" s="350">
        <v>150</v>
      </c>
      <c r="F789" s="254">
        <v>24.46</v>
      </c>
      <c r="G789" s="293">
        <f t="shared" si="79"/>
        <v>0.16306666666666667</v>
      </c>
      <c r="H789" s="246" t="s">
        <v>558</v>
      </c>
      <c r="I789" s="4">
        <f t="shared" si="78"/>
        <v>100</v>
      </c>
      <c r="O789" s="4"/>
    </row>
    <row r="790" spans="1:15" ht="15.75" hidden="1" customHeight="1" x14ac:dyDescent="0.25">
      <c r="A790" s="239" t="s">
        <v>283</v>
      </c>
      <c r="B790" s="833"/>
      <c r="C790" s="833"/>
      <c r="D790" s="833"/>
      <c r="E790" s="350">
        <v>150</v>
      </c>
      <c r="F790" s="254">
        <v>27.18</v>
      </c>
      <c r="G790" s="293">
        <f t="shared" si="79"/>
        <v>0.1812</v>
      </c>
      <c r="H790" s="246" t="s">
        <v>559</v>
      </c>
      <c r="I790" s="4">
        <f t="shared" si="78"/>
        <v>98</v>
      </c>
      <c r="O790" s="4"/>
    </row>
    <row r="791" spans="1:15" ht="15.75" hidden="1" customHeight="1" x14ac:dyDescent="0.25">
      <c r="A791" s="239" t="s">
        <v>284</v>
      </c>
      <c r="B791" s="833"/>
      <c r="C791" s="833"/>
      <c r="D791" s="833"/>
      <c r="E791" s="350">
        <v>150</v>
      </c>
      <c r="F791" s="254">
        <v>28.15</v>
      </c>
      <c r="G791" s="293">
        <f t="shared" si="79"/>
        <v>0.18766666666666665</v>
      </c>
      <c r="H791" s="246" t="s">
        <v>560</v>
      </c>
      <c r="I791" s="4">
        <f t="shared" si="78"/>
        <v>100</v>
      </c>
      <c r="O791" s="4"/>
    </row>
    <row r="792" spans="1:15" ht="15.75" hidden="1" customHeight="1" x14ac:dyDescent="0.25">
      <c r="A792" s="240" t="s">
        <v>285</v>
      </c>
      <c r="B792" s="834"/>
      <c r="C792" s="834"/>
      <c r="D792" s="834"/>
      <c r="E792" s="353">
        <v>150</v>
      </c>
      <c r="F792" s="281">
        <v>30.66</v>
      </c>
      <c r="G792" s="296">
        <f t="shared" si="79"/>
        <v>0.2044</v>
      </c>
      <c r="H792" s="298" t="s">
        <v>561</v>
      </c>
      <c r="I792" s="4">
        <f t="shared" si="78"/>
        <v>100</v>
      </c>
      <c r="O792" s="4"/>
    </row>
    <row r="793" spans="1:15" ht="15.75" hidden="1" customHeight="1" x14ac:dyDescent="0.25">
      <c r="O793" s="4"/>
    </row>
    <row r="794" spans="1:15" ht="15.75" hidden="1" customHeight="1" x14ac:dyDescent="0.25">
      <c r="O794" s="4"/>
    </row>
    <row r="795" spans="1:15" ht="15.75" hidden="1" customHeight="1" x14ac:dyDescent="0.25">
      <c r="A795" s="269" t="s">
        <v>26</v>
      </c>
      <c r="B795" s="249" t="s">
        <v>496</v>
      </c>
      <c r="C795" s="337" t="s">
        <v>326</v>
      </c>
      <c r="D795" s="337" t="s">
        <v>425</v>
      </c>
      <c r="E795" s="337" t="s">
        <v>537</v>
      </c>
      <c r="F795" s="337" t="s">
        <v>538</v>
      </c>
      <c r="G795" s="337" t="s">
        <v>539</v>
      </c>
      <c r="H795" s="251" t="s">
        <v>433</v>
      </c>
      <c r="O795" s="4"/>
    </row>
    <row r="796" spans="1:15" ht="15.75" hidden="1" customHeight="1" x14ac:dyDescent="0.25">
      <c r="A796" s="239" t="s">
        <v>287</v>
      </c>
      <c r="B796" s="972"/>
      <c r="C796" s="972" t="s">
        <v>503</v>
      </c>
      <c r="D796" s="978"/>
      <c r="E796" s="350">
        <v>590</v>
      </c>
      <c r="F796" s="288">
        <v>0</v>
      </c>
      <c r="G796" s="293">
        <v>0</v>
      </c>
      <c r="H796" s="246" t="s">
        <v>562</v>
      </c>
      <c r="I796" s="4">
        <f t="shared" ref="I796:I807" si="80">LEN(H796)</f>
        <v>181</v>
      </c>
      <c r="O796" s="4"/>
    </row>
    <row r="797" spans="1:15" ht="15.75" hidden="1" customHeight="1" x14ac:dyDescent="0.25">
      <c r="A797" s="239" t="s">
        <v>296</v>
      </c>
      <c r="B797" s="833"/>
      <c r="C797" s="833"/>
      <c r="D797" s="833"/>
      <c r="E797" s="350">
        <v>590</v>
      </c>
      <c r="F797" s="288">
        <v>0</v>
      </c>
      <c r="G797" s="293">
        <v>0</v>
      </c>
      <c r="H797" s="246" t="s">
        <v>563</v>
      </c>
      <c r="I797" s="4">
        <f t="shared" si="80"/>
        <v>183</v>
      </c>
      <c r="O797" s="4"/>
    </row>
    <row r="798" spans="1:15" ht="15.75" hidden="1" customHeight="1" x14ac:dyDescent="0.25">
      <c r="A798" s="239" t="s">
        <v>305</v>
      </c>
      <c r="B798" s="833"/>
      <c r="C798" s="833"/>
      <c r="D798" s="833"/>
      <c r="E798" s="350">
        <v>590</v>
      </c>
      <c r="F798" s="254">
        <v>7.12</v>
      </c>
      <c r="G798" s="293">
        <f t="shared" ref="G798:G807" si="81">F798/E798</f>
        <v>1.2067796610169492E-2</v>
      </c>
      <c r="H798" s="246" t="s">
        <v>564</v>
      </c>
      <c r="I798" s="4">
        <f t="shared" si="80"/>
        <v>79</v>
      </c>
      <c r="O798" s="4"/>
    </row>
    <row r="799" spans="1:15" ht="15.75" hidden="1" customHeight="1" x14ac:dyDescent="0.25">
      <c r="A799" s="239" t="s">
        <v>306</v>
      </c>
      <c r="B799" s="833"/>
      <c r="C799" s="833"/>
      <c r="D799" s="833"/>
      <c r="E799" s="350">
        <v>590</v>
      </c>
      <c r="F799" s="254">
        <v>7.12</v>
      </c>
      <c r="G799" s="293">
        <f t="shared" si="81"/>
        <v>1.2067796610169492E-2</v>
      </c>
      <c r="H799" s="246" t="s">
        <v>565</v>
      </c>
      <c r="I799" s="4">
        <f t="shared" si="80"/>
        <v>79</v>
      </c>
      <c r="O799" s="4"/>
    </row>
    <row r="800" spans="1:15" ht="15.75" hidden="1" customHeight="1" x14ac:dyDescent="0.25">
      <c r="A800" s="239" t="s">
        <v>308</v>
      </c>
      <c r="B800" s="833"/>
      <c r="C800" s="833"/>
      <c r="D800" s="833"/>
      <c r="E800" s="350">
        <v>590</v>
      </c>
      <c r="F800" s="254">
        <v>17.55</v>
      </c>
      <c r="G800" s="293">
        <f t="shared" si="81"/>
        <v>2.974576271186441E-2</v>
      </c>
      <c r="H800" s="246" t="s">
        <v>566</v>
      </c>
      <c r="I800" s="4">
        <f t="shared" si="80"/>
        <v>79</v>
      </c>
      <c r="O800" s="4"/>
    </row>
    <row r="801" spans="1:15" ht="15.75" hidden="1" customHeight="1" x14ac:dyDescent="0.25">
      <c r="A801" s="239" t="s">
        <v>309</v>
      </c>
      <c r="B801" s="833"/>
      <c r="C801" s="833"/>
      <c r="D801" s="833"/>
      <c r="E801" s="350">
        <v>590</v>
      </c>
      <c r="F801" s="254">
        <v>24.52</v>
      </c>
      <c r="G801" s="293">
        <f t="shared" si="81"/>
        <v>4.1559322033898304E-2</v>
      </c>
      <c r="H801" s="246" t="s">
        <v>567</v>
      </c>
      <c r="I801" s="4">
        <f t="shared" si="80"/>
        <v>80</v>
      </c>
      <c r="O801" s="4"/>
    </row>
    <row r="802" spans="1:15" ht="15.75" hidden="1" customHeight="1" x14ac:dyDescent="0.25">
      <c r="A802" s="239" t="s">
        <v>275</v>
      </c>
      <c r="B802" s="833"/>
      <c r="C802" s="833"/>
      <c r="D802" s="833"/>
      <c r="E802" s="350">
        <v>590</v>
      </c>
      <c r="F802" s="254">
        <v>27.66</v>
      </c>
      <c r="G802" s="293">
        <f t="shared" si="81"/>
        <v>4.688135593220339E-2</v>
      </c>
      <c r="H802" s="246" t="s">
        <v>568</v>
      </c>
      <c r="I802" s="4">
        <f t="shared" si="80"/>
        <v>80</v>
      </c>
      <c r="O802" s="4"/>
    </row>
    <row r="803" spans="1:15" ht="15.75" hidden="1" customHeight="1" x14ac:dyDescent="0.25">
      <c r="A803" s="239" t="s">
        <v>281</v>
      </c>
      <c r="B803" s="833"/>
      <c r="C803" s="833"/>
      <c r="D803" s="833"/>
      <c r="E803" s="350">
        <v>590</v>
      </c>
      <c r="F803" s="254">
        <v>35.159999999999997</v>
      </c>
      <c r="G803" s="293">
        <f t="shared" si="81"/>
        <v>5.9593220338983045E-2</v>
      </c>
      <c r="H803" s="246" t="s">
        <v>569</v>
      </c>
      <c r="I803" s="4">
        <f t="shared" si="80"/>
        <v>81</v>
      </c>
      <c r="O803" s="4"/>
    </row>
    <row r="804" spans="1:15" ht="15.75" hidden="1" customHeight="1" x14ac:dyDescent="0.25">
      <c r="A804" s="239" t="s">
        <v>282</v>
      </c>
      <c r="B804" s="833"/>
      <c r="C804" s="833"/>
      <c r="D804" s="833"/>
      <c r="E804" s="350">
        <v>590</v>
      </c>
      <c r="F804" s="254">
        <v>35.159999999999997</v>
      </c>
      <c r="G804" s="293">
        <f t="shared" si="81"/>
        <v>5.9593220338983045E-2</v>
      </c>
      <c r="H804" s="246" t="s">
        <v>570</v>
      </c>
      <c r="I804" s="4">
        <f t="shared" si="80"/>
        <v>85</v>
      </c>
      <c r="O804" s="4"/>
    </row>
    <row r="805" spans="1:15" ht="15.75" hidden="1" customHeight="1" x14ac:dyDescent="0.25">
      <c r="A805" s="239" t="s">
        <v>283</v>
      </c>
      <c r="B805" s="833"/>
      <c r="C805" s="833"/>
      <c r="D805" s="833"/>
      <c r="E805" s="350">
        <v>590</v>
      </c>
      <c r="F805" s="254">
        <v>68.36</v>
      </c>
      <c r="G805" s="293">
        <f t="shared" si="81"/>
        <v>0.11586440677966102</v>
      </c>
      <c r="H805" s="246" t="s">
        <v>571</v>
      </c>
      <c r="I805" s="4">
        <f t="shared" si="80"/>
        <v>82</v>
      </c>
      <c r="O805" s="4"/>
    </row>
    <row r="806" spans="1:15" ht="15.75" hidden="1" customHeight="1" x14ac:dyDescent="0.25">
      <c r="A806" s="239" t="s">
        <v>284</v>
      </c>
      <c r="B806" s="833"/>
      <c r="C806" s="833"/>
      <c r="D806" s="833"/>
      <c r="E806" s="350">
        <v>590</v>
      </c>
      <c r="F806" s="254">
        <v>71.39</v>
      </c>
      <c r="G806" s="293">
        <f t="shared" si="81"/>
        <v>0.121</v>
      </c>
      <c r="H806" s="246" t="s">
        <v>572</v>
      </c>
      <c r="I806" s="4">
        <f t="shared" si="80"/>
        <v>84</v>
      </c>
      <c r="O806" s="4"/>
    </row>
    <row r="807" spans="1:15" ht="15.75" hidden="1" customHeight="1" x14ac:dyDescent="0.25">
      <c r="A807" s="240" t="s">
        <v>285</v>
      </c>
      <c r="B807" s="834"/>
      <c r="C807" s="834"/>
      <c r="D807" s="834"/>
      <c r="E807" s="353">
        <v>590</v>
      </c>
      <c r="F807" s="281">
        <v>75.73</v>
      </c>
      <c r="G807" s="296">
        <f t="shared" si="81"/>
        <v>0.12835593220338984</v>
      </c>
      <c r="H807" s="298" t="s">
        <v>573</v>
      </c>
      <c r="I807" s="4">
        <f t="shared" si="80"/>
        <v>84</v>
      </c>
      <c r="O807" s="4"/>
    </row>
    <row r="808" spans="1:15" ht="15.75" hidden="1" customHeight="1" x14ac:dyDescent="0.25">
      <c r="O808" s="4"/>
    </row>
    <row r="809" spans="1:15" ht="15.75" hidden="1" customHeight="1" x14ac:dyDescent="0.25">
      <c r="O809" s="4"/>
    </row>
    <row r="810" spans="1:15" ht="15.75" hidden="1" customHeight="1" x14ac:dyDescent="0.25">
      <c r="A810" s="269" t="s">
        <v>26</v>
      </c>
      <c r="B810" s="249" t="s">
        <v>496</v>
      </c>
      <c r="C810" s="337" t="s">
        <v>326</v>
      </c>
      <c r="D810" s="337" t="s">
        <v>425</v>
      </c>
      <c r="E810" s="337" t="s">
        <v>537</v>
      </c>
      <c r="F810" s="337" t="s">
        <v>538</v>
      </c>
      <c r="G810" s="337" t="s">
        <v>539</v>
      </c>
      <c r="H810" s="251" t="s">
        <v>433</v>
      </c>
      <c r="O810" s="4"/>
    </row>
    <row r="811" spans="1:15" ht="15.75" hidden="1" customHeight="1" x14ac:dyDescent="0.25">
      <c r="A811" s="239" t="s">
        <v>287</v>
      </c>
      <c r="B811" s="972" t="s">
        <v>504</v>
      </c>
      <c r="C811" s="972" t="s">
        <v>505</v>
      </c>
      <c r="D811" s="976">
        <v>33</v>
      </c>
      <c r="E811" s="350">
        <v>1</v>
      </c>
      <c r="F811" s="288">
        <v>0</v>
      </c>
      <c r="G811" s="358">
        <f t="shared" ref="G811:G822" si="82">F811/E811</f>
        <v>0</v>
      </c>
      <c r="H811" s="246" t="s">
        <v>574</v>
      </c>
      <c r="I811" s="4">
        <f t="shared" ref="I811:I822" si="83">LEN(H811)</f>
        <v>197</v>
      </c>
      <c r="O811" s="4"/>
    </row>
    <row r="812" spans="1:15" ht="15.75" hidden="1" customHeight="1" x14ac:dyDescent="0.25">
      <c r="A812" s="239" t="s">
        <v>296</v>
      </c>
      <c r="B812" s="833"/>
      <c r="C812" s="833"/>
      <c r="D812" s="833"/>
      <c r="E812" s="350">
        <v>1</v>
      </c>
      <c r="F812" s="288">
        <v>0.09</v>
      </c>
      <c r="G812" s="358">
        <f t="shared" si="82"/>
        <v>0.09</v>
      </c>
      <c r="H812" s="300" t="s">
        <v>400</v>
      </c>
      <c r="I812" s="4">
        <f t="shared" si="83"/>
        <v>183</v>
      </c>
      <c r="O812" s="4"/>
    </row>
    <row r="813" spans="1:15" ht="15.75" hidden="1" customHeight="1" x14ac:dyDescent="0.25">
      <c r="A813" s="239" t="s">
        <v>305</v>
      </c>
      <c r="B813" s="833"/>
      <c r="C813" s="833"/>
      <c r="D813" s="833"/>
      <c r="E813" s="350">
        <v>1</v>
      </c>
      <c r="F813" s="288">
        <v>0.18</v>
      </c>
      <c r="G813" s="358">
        <f t="shared" si="82"/>
        <v>0.18</v>
      </c>
      <c r="H813" s="300" t="s">
        <v>400</v>
      </c>
      <c r="I813" s="4">
        <f t="shared" si="83"/>
        <v>183</v>
      </c>
      <c r="O813" s="4"/>
    </row>
    <row r="814" spans="1:15" ht="15.75" hidden="1" customHeight="1" x14ac:dyDescent="0.25">
      <c r="A814" s="239" t="s">
        <v>306</v>
      </c>
      <c r="B814" s="833"/>
      <c r="C814" s="833"/>
      <c r="D814" s="833"/>
      <c r="E814" s="350">
        <v>1</v>
      </c>
      <c r="F814" s="254">
        <v>0.27</v>
      </c>
      <c r="G814" s="358">
        <f t="shared" si="82"/>
        <v>0.27</v>
      </c>
      <c r="H814" s="300" t="s">
        <v>400</v>
      </c>
      <c r="I814" s="4">
        <f t="shared" si="83"/>
        <v>183</v>
      </c>
      <c r="O814" s="4"/>
    </row>
    <row r="815" spans="1:15" ht="15.75" hidden="1" customHeight="1" x14ac:dyDescent="0.25">
      <c r="A815" s="239" t="s">
        <v>308</v>
      </c>
      <c r="B815" s="833"/>
      <c r="C815" s="833"/>
      <c r="D815" s="833"/>
      <c r="E815" s="350">
        <v>1</v>
      </c>
      <c r="F815" s="254">
        <v>0.36</v>
      </c>
      <c r="G815" s="368">
        <f t="shared" si="82"/>
        <v>0.36</v>
      </c>
      <c r="H815" s="300" t="s">
        <v>400</v>
      </c>
      <c r="I815" s="4">
        <f t="shared" si="83"/>
        <v>183</v>
      </c>
      <c r="O815" s="4"/>
    </row>
    <row r="816" spans="1:15" ht="15.75" hidden="1" customHeight="1" x14ac:dyDescent="0.25">
      <c r="A816" s="239" t="s">
        <v>309</v>
      </c>
      <c r="B816" s="833"/>
      <c r="C816" s="833"/>
      <c r="D816" s="833"/>
      <c r="E816" s="350">
        <v>1</v>
      </c>
      <c r="F816" s="254">
        <v>0.45</v>
      </c>
      <c r="G816" s="368">
        <f t="shared" si="82"/>
        <v>0.45</v>
      </c>
      <c r="H816" s="300" t="s">
        <v>400</v>
      </c>
      <c r="I816" s="4">
        <f t="shared" si="83"/>
        <v>183</v>
      </c>
      <c r="O816" s="4"/>
    </row>
    <row r="817" spans="1:15" ht="15.75" hidden="1" customHeight="1" x14ac:dyDescent="0.25">
      <c r="A817" s="239" t="s">
        <v>275</v>
      </c>
      <c r="B817" s="833"/>
      <c r="C817" s="833"/>
      <c r="D817" s="833"/>
      <c r="E817" s="350">
        <v>1</v>
      </c>
      <c r="F817" s="254">
        <v>0.54</v>
      </c>
      <c r="G817" s="368">
        <f t="shared" si="82"/>
        <v>0.54</v>
      </c>
      <c r="H817" s="300" t="s">
        <v>400</v>
      </c>
      <c r="I817" s="4">
        <f t="shared" si="83"/>
        <v>183</v>
      </c>
      <c r="O817" s="4"/>
    </row>
    <row r="818" spans="1:15" ht="15.75" hidden="1" customHeight="1" x14ac:dyDescent="0.25">
      <c r="A818" s="239" t="s">
        <v>281</v>
      </c>
      <c r="B818" s="833"/>
      <c r="C818" s="833"/>
      <c r="D818" s="833"/>
      <c r="E818" s="350">
        <v>1</v>
      </c>
      <c r="F818" s="254">
        <v>0.63</v>
      </c>
      <c r="G818" s="368">
        <f t="shared" si="82"/>
        <v>0.63</v>
      </c>
      <c r="H818" s="300" t="s">
        <v>400</v>
      </c>
      <c r="I818" s="4">
        <f t="shared" si="83"/>
        <v>183</v>
      </c>
      <c r="O818" s="4"/>
    </row>
    <row r="819" spans="1:15" ht="15.75" hidden="1" customHeight="1" x14ac:dyDescent="0.25">
      <c r="A819" s="239" t="s">
        <v>282</v>
      </c>
      <c r="B819" s="833"/>
      <c r="C819" s="833"/>
      <c r="D819" s="833"/>
      <c r="E819" s="350">
        <v>1</v>
      </c>
      <c r="F819" s="254">
        <v>0.72</v>
      </c>
      <c r="G819" s="368">
        <f t="shared" si="82"/>
        <v>0.72</v>
      </c>
      <c r="H819" s="300" t="s">
        <v>400</v>
      </c>
      <c r="I819" s="4">
        <f t="shared" si="83"/>
        <v>183</v>
      </c>
      <c r="O819" s="4"/>
    </row>
    <row r="820" spans="1:15" ht="15.75" hidden="1" customHeight="1" x14ac:dyDescent="0.25">
      <c r="A820" s="239" t="s">
        <v>283</v>
      </c>
      <c r="B820" s="833"/>
      <c r="C820" s="833"/>
      <c r="D820" s="833"/>
      <c r="E820" s="350">
        <v>1</v>
      </c>
      <c r="F820" s="254">
        <v>0.81</v>
      </c>
      <c r="G820" s="368">
        <f t="shared" si="82"/>
        <v>0.81</v>
      </c>
      <c r="H820" s="300" t="s">
        <v>400</v>
      </c>
      <c r="I820" s="4">
        <f t="shared" si="83"/>
        <v>183</v>
      </c>
      <c r="O820" s="4"/>
    </row>
    <row r="821" spans="1:15" ht="15.75" hidden="1" customHeight="1" x14ac:dyDescent="0.25">
      <c r="A821" s="239" t="s">
        <v>284</v>
      </c>
      <c r="B821" s="833"/>
      <c r="C821" s="833"/>
      <c r="D821" s="833"/>
      <c r="E821" s="350">
        <v>1</v>
      </c>
      <c r="F821" s="288">
        <v>0.9</v>
      </c>
      <c r="G821" s="368">
        <f t="shared" si="82"/>
        <v>0.9</v>
      </c>
      <c r="H821" s="300" t="s">
        <v>400</v>
      </c>
      <c r="I821" s="4">
        <f t="shared" si="83"/>
        <v>183</v>
      </c>
      <c r="O821" s="4"/>
    </row>
    <row r="822" spans="1:15" ht="15.75" hidden="1" customHeight="1" x14ac:dyDescent="0.25">
      <c r="A822" s="240" t="s">
        <v>285</v>
      </c>
      <c r="B822" s="834"/>
      <c r="C822" s="834"/>
      <c r="D822" s="834"/>
      <c r="E822" s="353">
        <v>1</v>
      </c>
      <c r="F822" s="295">
        <v>1</v>
      </c>
      <c r="G822" s="369">
        <f t="shared" si="82"/>
        <v>1</v>
      </c>
      <c r="H822" s="301" t="s">
        <v>400</v>
      </c>
      <c r="I822" s="4">
        <f t="shared" si="83"/>
        <v>183</v>
      </c>
      <c r="O822" s="4"/>
    </row>
    <row r="823" spans="1:15" ht="15.75" hidden="1" customHeight="1" x14ac:dyDescent="0.25">
      <c r="O823" s="4"/>
    </row>
    <row r="824" spans="1:15" ht="15.75" customHeight="1" thickBot="1" x14ac:dyDescent="0.3">
      <c r="O824" s="4"/>
    </row>
    <row r="825" spans="1:15" ht="20.25" customHeight="1" thickBot="1" x14ac:dyDescent="0.35">
      <c r="A825" s="982" t="s">
        <v>575</v>
      </c>
      <c r="B825" s="880"/>
      <c r="C825" s="880"/>
      <c r="D825" s="880"/>
      <c r="E825" s="880"/>
      <c r="F825" s="880"/>
      <c r="G825" s="880"/>
      <c r="H825" s="881"/>
      <c r="O825" s="4"/>
    </row>
    <row r="826" spans="1:15" ht="31.5" customHeight="1" x14ac:dyDescent="0.25">
      <c r="A826" s="243" t="s">
        <v>27</v>
      </c>
      <c r="B826" s="249" t="s">
        <v>496</v>
      </c>
      <c r="C826" s="337" t="s">
        <v>326</v>
      </c>
      <c r="D826" s="244" t="s">
        <v>412</v>
      </c>
      <c r="E826" s="337" t="s">
        <v>576</v>
      </c>
      <c r="F826" s="337" t="s">
        <v>577</v>
      </c>
      <c r="G826" s="337" t="s">
        <v>578</v>
      </c>
      <c r="H826" s="251" t="s">
        <v>433</v>
      </c>
      <c r="O826" s="4"/>
    </row>
    <row r="827" spans="1:15" ht="15.75" customHeight="1" x14ac:dyDescent="0.25">
      <c r="A827" s="405" t="s">
        <v>287</v>
      </c>
      <c r="B827" s="969" t="s">
        <v>500</v>
      </c>
      <c r="C827" s="969" t="s">
        <v>501</v>
      </c>
      <c r="D827" s="983">
        <v>33</v>
      </c>
      <c r="E827" s="439">
        <v>0.74</v>
      </c>
      <c r="F827" s="440">
        <v>0.62609999999999999</v>
      </c>
      <c r="G827" s="441">
        <f t="shared" ref="G827:G838" si="84">F827/E827</f>
        <v>0.84608108108108104</v>
      </c>
      <c r="H827" s="410" t="s">
        <v>416</v>
      </c>
      <c r="I827" s="421">
        <f t="shared" ref="I827:I838" si="85">LEN(H827)</f>
        <v>200</v>
      </c>
      <c r="O827" s="4"/>
    </row>
    <row r="828" spans="1:15" ht="15.75" customHeight="1" x14ac:dyDescent="0.25">
      <c r="A828" s="405" t="s">
        <v>296</v>
      </c>
      <c r="B828" s="863"/>
      <c r="C828" s="863"/>
      <c r="D828" s="863"/>
      <c r="E828" s="439">
        <v>0.74</v>
      </c>
      <c r="F828" s="408">
        <v>0.62809999999999999</v>
      </c>
      <c r="G828" s="442">
        <f t="shared" si="84"/>
        <v>0.84878378378378383</v>
      </c>
      <c r="H828" s="426" t="s">
        <v>579</v>
      </c>
      <c r="I828" s="421">
        <f t="shared" si="85"/>
        <v>254</v>
      </c>
      <c r="O828" s="4"/>
    </row>
    <row r="829" spans="1:15" ht="15.75" customHeight="1" x14ac:dyDescent="0.25">
      <c r="A829" s="405" t="s">
        <v>305</v>
      </c>
      <c r="B829" s="863"/>
      <c r="C829" s="863"/>
      <c r="D829" s="863"/>
      <c r="E829" s="439">
        <v>0.74</v>
      </c>
      <c r="F829" s="408">
        <v>0.6321</v>
      </c>
      <c r="G829" s="442">
        <f t="shared" si="84"/>
        <v>0.85418918918918918</v>
      </c>
      <c r="H829" s="427" t="s">
        <v>605</v>
      </c>
      <c r="I829" s="421">
        <f t="shared" si="85"/>
        <v>254</v>
      </c>
      <c r="O829" s="4"/>
    </row>
    <row r="830" spans="1:15" ht="15.75" customHeight="1" x14ac:dyDescent="0.25">
      <c r="A830" s="405" t="s">
        <v>306</v>
      </c>
      <c r="B830" s="863"/>
      <c r="C830" s="863"/>
      <c r="D830" s="863"/>
      <c r="E830" s="439">
        <v>0.74</v>
      </c>
      <c r="F830" s="408"/>
      <c r="G830" s="442">
        <f t="shared" si="84"/>
        <v>0</v>
      </c>
      <c r="H830" s="426"/>
      <c r="I830" s="421">
        <f t="shared" si="85"/>
        <v>0</v>
      </c>
      <c r="O830" s="4"/>
    </row>
    <row r="831" spans="1:15" ht="15.75" customHeight="1" x14ac:dyDescent="0.25">
      <c r="A831" s="405" t="s">
        <v>308</v>
      </c>
      <c r="B831" s="863"/>
      <c r="C831" s="863"/>
      <c r="D831" s="863"/>
      <c r="E831" s="439">
        <v>0.74</v>
      </c>
      <c r="F831" s="408"/>
      <c r="G831" s="408">
        <f t="shared" si="84"/>
        <v>0</v>
      </c>
      <c r="H831" s="426"/>
      <c r="I831" s="421">
        <f t="shared" si="85"/>
        <v>0</v>
      </c>
      <c r="O831" s="4"/>
    </row>
    <row r="832" spans="1:15" ht="15.75" customHeight="1" x14ac:dyDescent="0.25">
      <c r="A832" s="405" t="s">
        <v>309</v>
      </c>
      <c r="B832" s="863"/>
      <c r="C832" s="863"/>
      <c r="D832" s="863"/>
      <c r="E832" s="439">
        <v>0.74</v>
      </c>
      <c r="F832" s="408"/>
      <c r="G832" s="408">
        <f t="shared" si="84"/>
        <v>0</v>
      </c>
      <c r="H832" s="426"/>
      <c r="I832" s="421">
        <f t="shared" si="85"/>
        <v>0</v>
      </c>
      <c r="O832" s="4"/>
    </row>
    <row r="833" spans="1:15" ht="15.75" customHeight="1" x14ac:dyDescent="0.25">
      <c r="A833" s="405" t="s">
        <v>275</v>
      </c>
      <c r="B833" s="863"/>
      <c r="C833" s="863"/>
      <c r="D833" s="863"/>
      <c r="E833" s="439">
        <v>0.74</v>
      </c>
      <c r="F833" s="408"/>
      <c r="G833" s="408">
        <f t="shared" si="84"/>
        <v>0</v>
      </c>
      <c r="H833" s="426"/>
      <c r="I833" s="421">
        <f t="shared" si="85"/>
        <v>0</v>
      </c>
      <c r="O833" s="4"/>
    </row>
    <row r="834" spans="1:15" ht="15.75" customHeight="1" x14ac:dyDescent="0.25">
      <c r="A834" s="405" t="s">
        <v>281</v>
      </c>
      <c r="B834" s="863"/>
      <c r="C834" s="863"/>
      <c r="D834" s="863"/>
      <c r="E834" s="439">
        <v>0.74</v>
      </c>
      <c r="F834" s="408"/>
      <c r="G834" s="408">
        <f t="shared" si="84"/>
        <v>0</v>
      </c>
      <c r="H834" s="426"/>
      <c r="I834" s="421">
        <f t="shared" si="85"/>
        <v>0</v>
      </c>
      <c r="O834" s="4"/>
    </row>
    <row r="835" spans="1:15" ht="15.75" customHeight="1" x14ac:dyDescent="0.25">
      <c r="A835" s="405" t="s">
        <v>282</v>
      </c>
      <c r="B835" s="863"/>
      <c r="C835" s="863"/>
      <c r="D835" s="863"/>
      <c r="E835" s="439">
        <v>0.74</v>
      </c>
      <c r="F835" s="408"/>
      <c r="G835" s="408">
        <f t="shared" si="84"/>
        <v>0</v>
      </c>
      <c r="H835" s="426"/>
      <c r="I835" s="421">
        <f t="shared" si="85"/>
        <v>0</v>
      </c>
      <c r="O835" s="4"/>
    </row>
    <row r="836" spans="1:15" ht="15.75" customHeight="1" x14ac:dyDescent="0.25">
      <c r="A836" s="405" t="s">
        <v>283</v>
      </c>
      <c r="B836" s="863"/>
      <c r="C836" s="863"/>
      <c r="D836" s="863"/>
      <c r="E836" s="439">
        <v>0.74</v>
      </c>
      <c r="F836" s="408"/>
      <c r="G836" s="408">
        <f t="shared" si="84"/>
        <v>0</v>
      </c>
      <c r="H836" s="426"/>
      <c r="I836" s="421">
        <f t="shared" si="85"/>
        <v>0</v>
      </c>
      <c r="O836" s="4"/>
    </row>
    <row r="837" spans="1:15" ht="15.75" customHeight="1" x14ac:dyDescent="0.25">
      <c r="A837" s="405" t="s">
        <v>284</v>
      </c>
      <c r="B837" s="863"/>
      <c r="C837" s="863"/>
      <c r="D837" s="863"/>
      <c r="E837" s="439">
        <v>0.74</v>
      </c>
      <c r="F837" s="408"/>
      <c r="G837" s="408">
        <f t="shared" si="84"/>
        <v>0</v>
      </c>
      <c r="H837" s="426"/>
      <c r="I837" s="421">
        <f t="shared" si="85"/>
        <v>0</v>
      </c>
      <c r="O837" s="4"/>
    </row>
    <row r="838" spans="1:15" ht="15.75" customHeight="1" x14ac:dyDescent="0.25">
      <c r="A838" s="414" t="s">
        <v>285</v>
      </c>
      <c r="B838" s="970"/>
      <c r="C838" s="970"/>
      <c r="D838" s="970"/>
      <c r="E838" s="443">
        <v>0.74</v>
      </c>
      <c r="F838" s="417"/>
      <c r="G838" s="417">
        <f t="shared" si="84"/>
        <v>0</v>
      </c>
      <c r="H838" s="428"/>
      <c r="I838" s="421">
        <f t="shared" si="85"/>
        <v>0</v>
      </c>
      <c r="O838" s="4"/>
    </row>
    <row r="839" spans="1:15" ht="15.75" customHeight="1" x14ac:dyDescent="0.25">
      <c r="I839" s="437"/>
      <c r="O839" s="4"/>
    </row>
    <row r="840" spans="1:15" ht="15.75" customHeight="1" x14ac:dyDescent="0.25">
      <c r="I840" s="437"/>
      <c r="O840" s="4"/>
    </row>
    <row r="841" spans="1:15" ht="35.25" customHeight="1" x14ac:dyDescent="0.25">
      <c r="A841" s="269" t="s">
        <v>27</v>
      </c>
      <c r="B841" s="249" t="s">
        <v>496</v>
      </c>
      <c r="C841" s="337" t="s">
        <v>326</v>
      </c>
      <c r="D841" s="249" t="s">
        <v>412</v>
      </c>
      <c r="E841" s="337" t="s">
        <v>576</v>
      </c>
      <c r="F841" s="337" t="s">
        <v>577</v>
      </c>
      <c r="G841" s="337" t="s">
        <v>578</v>
      </c>
      <c r="H841" s="251" t="s">
        <v>433</v>
      </c>
      <c r="I841" s="437"/>
      <c r="O841" s="4"/>
    </row>
    <row r="842" spans="1:15" ht="15.75" customHeight="1" x14ac:dyDescent="0.25">
      <c r="A842" s="405" t="s">
        <v>287</v>
      </c>
      <c r="B842" s="969" t="s">
        <v>502</v>
      </c>
      <c r="C842" s="969" t="s">
        <v>503</v>
      </c>
      <c r="D842" s="983">
        <v>34</v>
      </c>
      <c r="E842" s="444">
        <v>135</v>
      </c>
      <c r="F842" s="413">
        <v>0</v>
      </c>
      <c r="G842" s="408">
        <v>0</v>
      </c>
      <c r="H842" s="411" t="s">
        <v>418</v>
      </c>
      <c r="I842" s="421">
        <f t="shared" ref="I842:I853" si="86">LEN(H842)</f>
        <v>168</v>
      </c>
      <c r="O842" s="4"/>
    </row>
    <row r="843" spans="1:15" ht="15.75" customHeight="1" x14ac:dyDescent="0.25">
      <c r="A843" s="405" t="s">
        <v>296</v>
      </c>
      <c r="B843" s="863"/>
      <c r="C843" s="863"/>
      <c r="D843" s="863"/>
      <c r="E843" s="444">
        <v>135</v>
      </c>
      <c r="F843" s="413">
        <v>0</v>
      </c>
      <c r="G843" s="408">
        <v>0</v>
      </c>
      <c r="H843" s="411" t="s">
        <v>419</v>
      </c>
      <c r="I843" s="421">
        <f t="shared" si="86"/>
        <v>200</v>
      </c>
      <c r="O843" s="4"/>
    </row>
    <row r="844" spans="1:15" ht="15.75" customHeight="1" x14ac:dyDescent="0.25">
      <c r="A844" s="405" t="s">
        <v>305</v>
      </c>
      <c r="B844" s="863"/>
      <c r="C844" s="863"/>
      <c r="D844" s="863"/>
      <c r="E844" s="444">
        <v>135</v>
      </c>
      <c r="F844" s="413">
        <v>3.4000000000000002E-2</v>
      </c>
      <c r="G844" s="408">
        <f t="shared" ref="G844:G853" si="87">F844/E844</f>
        <v>2.5185185185185185E-4</v>
      </c>
      <c r="H844" s="412" t="s">
        <v>611</v>
      </c>
      <c r="I844" s="421">
        <f t="shared" si="86"/>
        <v>144</v>
      </c>
      <c r="O844" s="4"/>
    </row>
    <row r="845" spans="1:15" ht="15.75" customHeight="1" x14ac:dyDescent="0.25">
      <c r="A845" s="405" t="s">
        <v>306</v>
      </c>
      <c r="B845" s="863"/>
      <c r="C845" s="863"/>
      <c r="D845" s="863"/>
      <c r="E845" s="444">
        <v>135</v>
      </c>
      <c r="F845" s="413"/>
      <c r="G845" s="408">
        <f t="shared" si="87"/>
        <v>0</v>
      </c>
      <c r="H845" s="411"/>
      <c r="I845" s="421">
        <f t="shared" si="86"/>
        <v>0</v>
      </c>
      <c r="O845" s="4"/>
    </row>
    <row r="846" spans="1:15" ht="15.75" customHeight="1" x14ac:dyDescent="0.25">
      <c r="A846" s="405" t="s">
        <v>308</v>
      </c>
      <c r="B846" s="863"/>
      <c r="C846" s="863"/>
      <c r="D846" s="863"/>
      <c r="E846" s="444">
        <v>135</v>
      </c>
      <c r="F846" s="407"/>
      <c r="G846" s="408">
        <f t="shared" si="87"/>
        <v>0</v>
      </c>
      <c r="H846" s="411"/>
      <c r="I846" s="421">
        <f t="shared" si="86"/>
        <v>0</v>
      </c>
      <c r="O846" s="4"/>
    </row>
    <row r="847" spans="1:15" ht="15.75" customHeight="1" x14ac:dyDescent="0.25">
      <c r="A847" s="405" t="s">
        <v>309</v>
      </c>
      <c r="B847" s="863"/>
      <c r="C847" s="863"/>
      <c r="D847" s="863"/>
      <c r="E847" s="444">
        <v>135</v>
      </c>
      <c r="F847" s="407"/>
      <c r="G847" s="408">
        <f t="shared" si="87"/>
        <v>0</v>
      </c>
      <c r="H847" s="411"/>
      <c r="I847" s="421">
        <f t="shared" si="86"/>
        <v>0</v>
      </c>
      <c r="O847" s="4"/>
    </row>
    <row r="848" spans="1:15" ht="15.75" customHeight="1" x14ac:dyDescent="0.25">
      <c r="A848" s="405" t="s">
        <v>275</v>
      </c>
      <c r="B848" s="863"/>
      <c r="C848" s="863"/>
      <c r="D848" s="863"/>
      <c r="E848" s="444">
        <v>135</v>
      </c>
      <c r="F848" s="407"/>
      <c r="G848" s="408">
        <f t="shared" si="87"/>
        <v>0</v>
      </c>
      <c r="H848" s="411"/>
      <c r="I848" s="421">
        <f t="shared" si="86"/>
        <v>0</v>
      </c>
      <c r="O848" s="4"/>
    </row>
    <row r="849" spans="1:15" ht="15.75" customHeight="1" x14ac:dyDescent="0.25">
      <c r="A849" s="405" t="s">
        <v>281</v>
      </c>
      <c r="B849" s="863"/>
      <c r="C849" s="863"/>
      <c r="D849" s="863"/>
      <c r="E849" s="444">
        <v>135</v>
      </c>
      <c r="F849" s="407"/>
      <c r="G849" s="408">
        <f t="shared" si="87"/>
        <v>0</v>
      </c>
      <c r="H849" s="411"/>
      <c r="I849" s="421">
        <f t="shared" si="86"/>
        <v>0</v>
      </c>
      <c r="O849" s="4"/>
    </row>
    <row r="850" spans="1:15" ht="15.75" customHeight="1" x14ac:dyDescent="0.25">
      <c r="A850" s="405" t="s">
        <v>282</v>
      </c>
      <c r="B850" s="863"/>
      <c r="C850" s="863"/>
      <c r="D850" s="863"/>
      <c r="E850" s="444">
        <v>135</v>
      </c>
      <c r="F850" s="407"/>
      <c r="G850" s="408">
        <f t="shared" si="87"/>
        <v>0</v>
      </c>
      <c r="H850" s="411"/>
      <c r="I850" s="421">
        <f t="shared" si="86"/>
        <v>0</v>
      </c>
      <c r="O850" s="4"/>
    </row>
    <row r="851" spans="1:15" ht="15.75" customHeight="1" x14ac:dyDescent="0.25">
      <c r="A851" s="405" t="s">
        <v>283</v>
      </c>
      <c r="B851" s="863"/>
      <c r="C851" s="863"/>
      <c r="D851" s="863"/>
      <c r="E851" s="444">
        <v>135</v>
      </c>
      <c r="F851" s="407"/>
      <c r="G851" s="408">
        <f t="shared" si="87"/>
        <v>0</v>
      </c>
      <c r="H851" s="411"/>
      <c r="I851" s="421">
        <f t="shared" si="86"/>
        <v>0</v>
      </c>
      <c r="O851" s="4"/>
    </row>
    <row r="852" spans="1:15" ht="15.75" customHeight="1" x14ac:dyDescent="0.25">
      <c r="A852" s="405" t="s">
        <v>284</v>
      </c>
      <c r="B852" s="863"/>
      <c r="C852" s="863"/>
      <c r="D852" s="863"/>
      <c r="E852" s="444">
        <v>135</v>
      </c>
      <c r="F852" s="407"/>
      <c r="G852" s="408">
        <f t="shared" si="87"/>
        <v>0</v>
      </c>
      <c r="H852" s="411"/>
      <c r="I852" s="421">
        <f t="shared" si="86"/>
        <v>0</v>
      </c>
      <c r="O852" s="4"/>
    </row>
    <row r="853" spans="1:15" ht="15.75" customHeight="1" x14ac:dyDescent="0.25">
      <c r="A853" s="414" t="s">
        <v>285</v>
      </c>
      <c r="B853" s="970"/>
      <c r="C853" s="970"/>
      <c r="D853" s="970"/>
      <c r="E853" s="445">
        <v>135</v>
      </c>
      <c r="F853" s="418"/>
      <c r="G853" s="417">
        <f t="shared" si="87"/>
        <v>0</v>
      </c>
      <c r="H853" s="420"/>
      <c r="I853" s="421">
        <f t="shared" si="86"/>
        <v>0</v>
      </c>
      <c r="O853" s="4"/>
    </row>
    <row r="854" spans="1:15" ht="15.75" customHeight="1" x14ac:dyDescent="0.25">
      <c r="I854" s="437"/>
      <c r="O854" s="4"/>
    </row>
    <row r="855" spans="1:15" ht="15.75" customHeight="1" x14ac:dyDescent="0.25">
      <c r="I855" s="437"/>
      <c r="O855" s="4"/>
    </row>
    <row r="856" spans="1:15" ht="30.75" customHeight="1" x14ac:dyDescent="0.25">
      <c r="A856" s="243" t="s">
        <v>27</v>
      </c>
      <c r="B856" s="249" t="s">
        <v>496</v>
      </c>
      <c r="C856" s="337" t="s">
        <v>326</v>
      </c>
      <c r="D856" s="244" t="s">
        <v>412</v>
      </c>
      <c r="E856" s="337" t="s">
        <v>576</v>
      </c>
      <c r="F856" s="337" t="s">
        <v>577</v>
      </c>
      <c r="G856" s="337" t="s">
        <v>578</v>
      </c>
      <c r="H856" s="251" t="s">
        <v>433</v>
      </c>
      <c r="O856" s="4"/>
    </row>
    <row r="857" spans="1:15" ht="15.75" customHeight="1" x14ac:dyDescent="0.25">
      <c r="A857" s="405" t="s">
        <v>287</v>
      </c>
      <c r="B857" s="969"/>
      <c r="C857" s="969" t="s">
        <v>503</v>
      </c>
      <c r="D857" s="1052"/>
      <c r="E857" s="444">
        <v>590</v>
      </c>
      <c r="F857" s="413">
        <v>0</v>
      </c>
      <c r="G857" s="408">
        <v>0</v>
      </c>
      <c r="H857" s="411" t="s">
        <v>580</v>
      </c>
      <c r="I857" s="421">
        <f t="shared" ref="I857:I868" si="88">LEN(H857)</f>
        <v>178</v>
      </c>
      <c r="O857" s="4"/>
    </row>
    <row r="858" spans="1:15" ht="15.75" customHeight="1" x14ac:dyDescent="0.25">
      <c r="A858" s="405" t="s">
        <v>296</v>
      </c>
      <c r="B858" s="863"/>
      <c r="C858" s="863"/>
      <c r="D858" s="863"/>
      <c r="E858" s="444">
        <v>590</v>
      </c>
      <c r="F858" s="413">
        <v>0</v>
      </c>
      <c r="G858" s="408">
        <v>0</v>
      </c>
      <c r="H858" s="411" t="s">
        <v>421</v>
      </c>
      <c r="I858" s="421">
        <f t="shared" si="88"/>
        <v>183</v>
      </c>
      <c r="O858" s="4"/>
    </row>
    <row r="859" spans="1:15" ht="15.75" customHeight="1" x14ac:dyDescent="0.25">
      <c r="A859" s="405" t="s">
        <v>305</v>
      </c>
      <c r="B859" s="863"/>
      <c r="C859" s="863"/>
      <c r="D859" s="863"/>
      <c r="E859" s="444">
        <v>590</v>
      </c>
      <c r="F859" s="413">
        <v>0</v>
      </c>
      <c r="G859" s="408">
        <v>1</v>
      </c>
      <c r="H859" s="412" t="s">
        <v>606</v>
      </c>
      <c r="I859" s="421">
        <f t="shared" si="88"/>
        <v>181</v>
      </c>
      <c r="O859" s="4"/>
    </row>
    <row r="860" spans="1:15" ht="15.75" customHeight="1" x14ac:dyDescent="0.25">
      <c r="A860" s="405" t="s">
        <v>306</v>
      </c>
      <c r="B860" s="863"/>
      <c r="C860" s="863"/>
      <c r="D860" s="863"/>
      <c r="E860" s="444">
        <v>590</v>
      </c>
      <c r="F860" s="407"/>
      <c r="G860" s="408"/>
      <c r="H860" s="411"/>
      <c r="I860" s="421">
        <f t="shared" si="88"/>
        <v>0</v>
      </c>
      <c r="O860" s="4"/>
    </row>
    <row r="861" spans="1:15" ht="15.75" customHeight="1" x14ac:dyDescent="0.25">
      <c r="A861" s="405" t="s">
        <v>308</v>
      </c>
      <c r="B861" s="863"/>
      <c r="C861" s="863"/>
      <c r="D861" s="863"/>
      <c r="E861" s="444">
        <v>590</v>
      </c>
      <c r="F861" s="407"/>
      <c r="G861" s="408"/>
      <c r="H861" s="411"/>
      <c r="I861" s="421">
        <f t="shared" si="88"/>
        <v>0</v>
      </c>
      <c r="O861" s="4"/>
    </row>
    <row r="862" spans="1:15" ht="15.75" customHeight="1" x14ac:dyDescent="0.25">
      <c r="A862" s="405" t="s">
        <v>309</v>
      </c>
      <c r="B862" s="863"/>
      <c r="C862" s="863"/>
      <c r="D862" s="863"/>
      <c r="E862" s="444">
        <v>590</v>
      </c>
      <c r="F862" s="407"/>
      <c r="G862" s="408"/>
      <c r="H862" s="411"/>
      <c r="I862" s="421">
        <f t="shared" si="88"/>
        <v>0</v>
      </c>
      <c r="O862" s="4"/>
    </row>
    <row r="863" spans="1:15" ht="15.75" customHeight="1" x14ac:dyDescent="0.25">
      <c r="A863" s="405" t="s">
        <v>275</v>
      </c>
      <c r="B863" s="863"/>
      <c r="C863" s="863"/>
      <c r="D863" s="863"/>
      <c r="E863" s="444">
        <v>590</v>
      </c>
      <c r="F863" s="407"/>
      <c r="G863" s="408"/>
      <c r="H863" s="411"/>
      <c r="I863" s="421">
        <f t="shared" si="88"/>
        <v>0</v>
      </c>
      <c r="O863" s="4"/>
    </row>
    <row r="864" spans="1:15" ht="15.75" customHeight="1" x14ac:dyDescent="0.25">
      <c r="A864" s="405" t="s">
        <v>281</v>
      </c>
      <c r="B864" s="863"/>
      <c r="C864" s="863"/>
      <c r="D864" s="863"/>
      <c r="E864" s="444">
        <v>590</v>
      </c>
      <c r="F864" s="407"/>
      <c r="G864" s="408"/>
      <c r="H864" s="411"/>
      <c r="I864" s="421">
        <f t="shared" si="88"/>
        <v>0</v>
      </c>
      <c r="O864" s="4"/>
    </row>
    <row r="865" spans="1:15" ht="15.75" customHeight="1" x14ac:dyDescent="0.25">
      <c r="A865" s="405" t="s">
        <v>282</v>
      </c>
      <c r="B865" s="863"/>
      <c r="C865" s="863"/>
      <c r="D865" s="863"/>
      <c r="E865" s="444">
        <v>590</v>
      </c>
      <c r="F865" s="407"/>
      <c r="G865" s="408"/>
      <c r="H865" s="411"/>
      <c r="I865" s="421">
        <f t="shared" si="88"/>
        <v>0</v>
      </c>
      <c r="O865" s="4"/>
    </row>
    <row r="866" spans="1:15" ht="15.75" customHeight="1" x14ac:dyDescent="0.25">
      <c r="A866" s="405" t="s">
        <v>283</v>
      </c>
      <c r="B866" s="863"/>
      <c r="C866" s="863"/>
      <c r="D866" s="863"/>
      <c r="E866" s="444">
        <v>590</v>
      </c>
      <c r="F866" s="407"/>
      <c r="G866" s="408"/>
      <c r="H866" s="411"/>
      <c r="I866" s="421">
        <f t="shared" si="88"/>
        <v>0</v>
      </c>
      <c r="O866" s="4"/>
    </row>
    <row r="867" spans="1:15" ht="15.75" customHeight="1" x14ac:dyDescent="0.25">
      <c r="A867" s="405" t="s">
        <v>284</v>
      </c>
      <c r="B867" s="863"/>
      <c r="C867" s="863"/>
      <c r="D867" s="863"/>
      <c r="E867" s="444">
        <v>590</v>
      </c>
      <c r="F867" s="407"/>
      <c r="G867" s="408"/>
      <c r="H867" s="411"/>
      <c r="I867" s="421">
        <f t="shared" si="88"/>
        <v>0</v>
      </c>
      <c r="O867" s="4"/>
    </row>
    <row r="868" spans="1:15" ht="15.75" customHeight="1" x14ac:dyDescent="0.25">
      <c r="A868" s="414" t="s">
        <v>285</v>
      </c>
      <c r="B868" s="970"/>
      <c r="C868" s="970"/>
      <c r="D868" s="970"/>
      <c r="E868" s="445">
        <v>590</v>
      </c>
      <c r="F868" s="418"/>
      <c r="G868" s="417"/>
      <c r="H868" s="420"/>
      <c r="I868" s="421">
        <f t="shared" si="88"/>
        <v>0</v>
      </c>
      <c r="O868" s="4"/>
    </row>
    <row r="869" spans="1:15" ht="15.75" customHeight="1" x14ac:dyDescent="0.25">
      <c r="I869" s="437"/>
      <c r="O869" s="4"/>
    </row>
    <row r="870" spans="1:15" ht="15.75" customHeight="1" x14ac:dyDescent="0.25">
      <c r="I870" s="437"/>
      <c r="O870" s="4"/>
    </row>
    <row r="871" spans="1:15" ht="31.5" customHeight="1" x14ac:dyDescent="0.25">
      <c r="A871" s="243" t="s">
        <v>27</v>
      </c>
      <c r="B871" s="249" t="s">
        <v>496</v>
      </c>
      <c r="C871" s="337" t="s">
        <v>326</v>
      </c>
      <c r="D871" s="244" t="s">
        <v>412</v>
      </c>
      <c r="E871" s="337" t="s">
        <v>576</v>
      </c>
      <c r="F871" s="337" t="s">
        <v>577</v>
      </c>
      <c r="G871" s="337" t="s">
        <v>578</v>
      </c>
      <c r="H871" s="251" t="s">
        <v>433</v>
      </c>
      <c r="I871" s="437"/>
      <c r="O871" s="4"/>
    </row>
    <row r="872" spans="1:15" ht="15.75" customHeight="1" x14ac:dyDescent="0.25">
      <c r="A872" s="405" t="s">
        <v>287</v>
      </c>
      <c r="B872" s="969" t="s">
        <v>504</v>
      </c>
      <c r="C872" s="969" t="s">
        <v>505</v>
      </c>
      <c r="D872" s="983">
        <v>33</v>
      </c>
      <c r="E872" s="444">
        <v>1</v>
      </c>
      <c r="F872" s="413">
        <v>0</v>
      </c>
      <c r="G872" s="446">
        <f>F872/E872</f>
        <v>0</v>
      </c>
      <c r="H872" s="411" t="s">
        <v>574</v>
      </c>
      <c r="I872" s="421">
        <f t="shared" ref="I872:I883" si="89">LEN(H872)</f>
        <v>197</v>
      </c>
      <c r="O872" s="4"/>
    </row>
    <row r="873" spans="1:15" ht="15.75" customHeight="1" x14ac:dyDescent="0.25">
      <c r="A873" s="405" t="s">
        <v>296</v>
      </c>
      <c r="B873" s="863"/>
      <c r="C873" s="863"/>
      <c r="D873" s="863"/>
      <c r="E873" s="444">
        <v>1</v>
      </c>
      <c r="F873" s="413">
        <v>0.09</v>
      </c>
      <c r="G873" s="446">
        <v>0</v>
      </c>
      <c r="H873" s="426" t="s">
        <v>400</v>
      </c>
      <c r="I873" s="421">
        <f t="shared" si="89"/>
        <v>183</v>
      </c>
      <c r="O873" s="4"/>
    </row>
    <row r="874" spans="1:15" ht="15.75" customHeight="1" x14ac:dyDescent="0.25">
      <c r="A874" s="405" t="s">
        <v>305</v>
      </c>
      <c r="B874" s="863"/>
      <c r="C874" s="863"/>
      <c r="D874" s="863"/>
      <c r="E874" s="444">
        <v>1</v>
      </c>
      <c r="F874" s="413">
        <v>0.18</v>
      </c>
      <c r="G874" s="446">
        <v>0</v>
      </c>
      <c r="H874" s="427" t="s">
        <v>400</v>
      </c>
      <c r="I874" s="421">
        <f t="shared" si="89"/>
        <v>183</v>
      </c>
      <c r="O874" s="4"/>
    </row>
    <row r="875" spans="1:15" ht="15.75" customHeight="1" x14ac:dyDescent="0.25">
      <c r="A875" s="405" t="s">
        <v>306</v>
      </c>
      <c r="B875" s="863"/>
      <c r="C875" s="863"/>
      <c r="D875" s="863"/>
      <c r="E875" s="444">
        <v>1</v>
      </c>
      <c r="F875" s="407"/>
      <c r="G875" s="446"/>
      <c r="H875" s="426"/>
      <c r="I875" s="421">
        <f t="shared" si="89"/>
        <v>0</v>
      </c>
      <c r="O875" s="4"/>
    </row>
    <row r="876" spans="1:15" ht="15.75" customHeight="1" x14ac:dyDescent="0.25">
      <c r="A876" s="405" t="s">
        <v>308</v>
      </c>
      <c r="B876" s="863"/>
      <c r="C876" s="863"/>
      <c r="D876" s="863"/>
      <c r="E876" s="444">
        <v>1</v>
      </c>
      <c r="F876" s="407"/>
      <c r="G876" s="447"/>
      <c r="H876" s="426"/>
      <c r="I876" s="421">
        <f t="shared" si="89"/>
        <v>0</v>
      </c>
      <c r="O876" s="4"/>
    </row>
    <row r="877" spans="1:15" ht="15.75" customHeight="1" x14ac:dyDescent="0.25">
      <c r="A877" s="405" t="s">
        <v>309</v>
      </c>
      <c r="B877" s="863"/>
      <c r="C877" s="863"/>
      <c r="D877" s="863"/>
      <c r="E877" s="444">
        <v>1</v>
      </c>
      <c r="F877" s="407"/>
      <c r="G877" s="447"/>
      <c r="H877" s="426"/>
      <c r="I877" s="421">
        <f t="shared" si="89"/>
        <v>0</v>
      </c>
      <c r="O877" s="4"/>
    </row>
    <row r="878" spans="1:15" ht="15.75" customHeight="1" x14ac:dyDescent="0.25">
      <c r="A878" s="405" t="s">
        <v>275</v>
      </c>
      <c r="B878" s="863"/>
      <c r="C878" s="863"/>
      <c r="D878" s="863"/>
      <c r="E878" s="444">
        <v>1</v>
      </c>
      <c r="F878" s="407"/>
      <c r="G878" s="447"/>
      <c r="H878" s="426"/>
      <c r="I878" s="421">
        <f t="shared" si="89"/>
        <v>0</v>
      </c>
      <c r="O878" s="4"/>
    </row>
    <row r="879" spans="1:15" ht="15.75" customHeight="1" x14ac:dyDescent="0.25">
      <c r="A879" s="405" t="s">
        <v>281</v>
      </c>
      <c r="B879" s="863"/>
      <c r="C879" s="863"/>
      <c r="D879" s="863"/>
      <c r="E879" s="444">
        <v>1</v>
      </c>
      <c r="F879" s="407"/>
      <c r="G879" s="447"/>
      <c r="H879" s="426"/>
      <c r="I879" s="421">
        <f t="shared" si="89"/>
        <v>0</v>
      </c>
      <c r="O879" s="4"/>
    </row>
    <row r="880" spans="1:15" ht="15.75" customHeight="1" x14ac:dyDescent="0.25">
      <c r="A880" s="405" t="s">
        <v>282</v>
      </c>
      <c r="B880" s="863"/>
      <c r="C880" s="863"/>
      <c r="D880" s="863"/>
      <c r="E880" s="444">
        <v>1</v>
      </c>
      <c r="F880" s="407"/>
      <c r="G880" s="447"/>
      <c r="H880" s="426"/>
      <c r="I880" s="421">
        <f t="shared" si="89"/>
        <v>0</v>
      </c>
      <c r="O880" s="4"/>
    </row>
    <row r="881" spans="1:15" ht="15.75" customHeight="1" x14ac:dyDescent="0.25">
      <c r="A881" s="405" t="s">
        <v>283</v>
      </c>
      <c r="B881" s="863"/>
      <c r="C881" s="863"/>
      <c r="D881" s="863"/>
      <c r="E881" s="444">
        <v>1</v>
      </c>
      <c r="F881" s="407"/>
      <c r="G881" s="447"/>
      <c r="H881" s="426"/>
      <c r="I881" s="421">
        <f t="shared" si="89"/>
        <v>0</v>
      </c>
      <c r="O881" s="4"/>
    </row>
    <row r="882" spans="1:15" ht="15.75" customHeight="1" x14ac:dyDescent="0.25">
      <c r="A882" s="405" t="s">
        <v>284</v>
      </c>
      <c r="B882" s="863"/>
      <c r="C882" s="863"/>
      <c r="D882" s="863"/>
      <c r="E882" s="444">
        <v>1</v>
      </c>
      <c r="F882" s="413"/>
      <c r="G882" s="447"/>
      <c r="H882" s="426"/>
      <c r="I882" s="421">
        <f t="shared" si="89"/>
        <v>0</v>
      </c>
      <c r="O882" s="4"/>
    </row>
    <row r="883" spans="1:15" ht="15.75" customHeight="1" thickBot="1" x14ac:dyDescent="0.3">
      <c r="A883" s="414" t="s">
        <v>285</v>
      </c>
      <c r="B883" s="970"/>
      <c r="C883" s="970"/>
      <c r="D883" s="970"/>
      <c r="E883" s="445">
        <v>1</v>
      </c>
      <c r="F883" s="416"/>
      <c r="G883" s="448"/>
      <c r="H883" s="428"/>
      <c r="I883" s="421">
        <f t="shared" si="89"/>
        <v>0</v>
      </c>
      <c r="O883" s="4"/>
    </row>
    <row r="884" spans="1:15" ht="15.75" hidden="1" customHeight="1" x14ac:dyDescent="0.25">
      <c r="A884" s="239" t="s">
        <v>283</v>
      </c>
      <c r="B884" s="146"/>
      <c r="C884" s="146"/>
      <c r="D884" s="146"/>
      <c r="E884" s="146"/>
      <c r="F884" s="146"/>
      <c r="G884" s="146" t="e">
        <f t="shared" ref="G884:G886" si="90">F884/E884</f>
        <v>#DIV/0!</v>
      </c>
      <c r="H884" s="246"/>
      <c r="O884" s="4"/>
    </row>
    <row r="885" spans="1:15" ht="15.75" hidden="1" customHeight="1" x14ac:dyDescent="0.25">
      <c r="A885" s="239" t="s">
        <v>284</v>
      </c>
      <c r="B885" s="146"/>
      <c r="C885" s="146"/>
      <c r="D885" s="146"/>
      <c r="E885" s="146"/>
      <c r="F885" s="146"/>
      <c r="G885" s="146" t="e">
        <f t="shared" si="90"/>
        <v>#DIV/0!</v>
      </c>
      <c r="H885" s="246"/>
      <c r="O885" s="4"/>
    </row>
    <row r="886" spans="1:15" ht="15.75" hidden="1" customHeight="1" x14ac:dyDescent="0.25">
      <c r="A886" s="240" t="s">
        <v>285</v>
      </c>
      <c r="B886" s="147"/>
      <c r="C886" s="147"/>
      <c r="D886" s="147"/>
      <c r="E886" s="147"/>
      <c r="F886" s="147"/>
      <c r="G886" s="147" t="e">
        <f t="shared" si="90"/>
        <v>#DIV/0!</v>
      </c>
      <c r="H886" s="298"/>
      <c r="O886" s="4"/>
    </row>
    <row r="887" spans="1:15" ht="15.75" customHeight="1" x14ac:dyDescent="0.25">
      <c r="O887" s="4"/>
    </row>
    <row r="888" spans="1:15" ht="15.75" hidden="1" customHeight="1" x14ac:dyDescent="0.3">
      <c r="A888" s="974" t="s">
        <v>581</v>
      </c>
      <c r="B888" s="716"/>
      <c r="C888" s="716"/>
      <c r="D888" s="716"/>
      <c r="E888" s="716"/>
      <c r="F888" s="716"/>
      <c r="G888" s="716"/>
      <c r="H888" s="815"/>
      <c r="O888" s="4"/>
    </row>
    <row r="889" spans="1:15" ht="63.75" hidden="1" customHeight="1" x14ac:dyDescent="0.25">
      <c r="A889" s="243" t="s">
        <v>28</v>
      </c>
      <c r="B889" s="244" t="s">
        <v>496</v>
      </c>
      <c r="C889" s="370" t="s">
        <v>326</v>
      </c>
      <c r="D889" s="370" t="s">
        <v>582</v>
      </c>
      <c r="E889" s="370" t="s">
        <v>583</v>
      </c>
      <c r="F889" s="370" t="s">
        <v>584</v>
      </c>
      <c r="G889" s="370" t="s">
        <v>585</v>
      </c>
      <c r="H889" s="245" t="s">
        <v>433</v>
      </c>
      <c r="O889" s="4"/>
    </row>
    <row r="890" spans="1:15" ht="15.75" hidden="1" customHeight="1" x14ac:dyDescent="0.25">
      <c r="A890" s="239" t="s">
        <v>287</v>
      </c>
      <c r="B890" s="146"/>
      <c r="C890" s="146"/>
      <c r="D890" s="146"/>
      <c r="E890" s="146"/>
      <c r="F890" s="146"/>
      <c r="G890" s="146" t="e">
        <f t="shared" ref="G890:G901" si="91">F890/E890</f>
        <v>#DIV/0!</v>
      </c>
      <c r="H890" s="246"/>
      <c r="O890" s="4"/>
    </row>
    <row r="891" spans="1:15" ht="15.75" hidden="1" customHeight="1" x14ac:dyDescent="0.25">
      <c r="A891" s="239" t="s">
        <v>296</v>
      </c>
      <c r="B891" s="146"/>
      <c r="C891" s="146"/>
      <c r="D891" s="146"/>
      <c r="E891" s="146"/>
      <c r="F891" s="146"/>
      <c r="G891" s="146" t="e">
        <f t="shared" si="91"/>
        <v>#DIV/0!</v>
      </c>
      <c r="H891" s="246"/>
      <c r="O891" s="4"/>
    </row>
    <row r="892" spans="1:15" ht="15.75" hidden="1" customHeight="1" x14ac:dyDescent="0.25">
      <c r="A892" s="239" t="s">
        <v>305</v>
      </c>
      <c r="B892" s="146"/>
      <c r="C892" s="146"/>
      <c r="D892" s="146"/>
      <c r="E892" s="146"/>
      <c r="F892" s="146"/>
      <c r="G892" s="146" t="e">
        <f t="shared" si="91"/>
        <v>#DIV/0!</v>
      </c>
      <c r="H892" s="246"/>
      <c r="O892" s="4"/>
    </row>
    <row r="893" spans="1:15" ht="15.75" hidden="1" customHeight="1" x14ac:dyDescent="0.25">
      <c r="A893" s="239" t="s">
        <v>306</v>
      </c>
      <c r="B893" s="146"/>
      <c r="C893" s="146"/>
      <c r="D893" s="146"/>
      <c r="E893" s="146"/>
      <c r="F893" s="146"/>
      <c r="G893" s="146" t="e">
        <f t="shared" si="91"/>
        <v>#DIV/0!</v>
      </c>
      <c r="H893" s="246"/>
      <c r="O893" s="4"/>
    </row>
    <row r="894" spans="1:15" ht="15.75" hidden="1" customHeight="1" x14ac:dyDescent="0.25">
      <c r="A894" s="239" t="s">
        <v>308</v>
      </c>
      <c r="B894" s="146"/>
      <c r="C894" s="146"/>
      <c r="D894" s="146"/>
      <c r="E894" s="146"/>
      <c r="F894" s="146"/>
      <c r="G894" s="146" t="e">
        <f t="shared" si="91"/>
        <v>#DIV/0!</v>
      </c>
      <c r="H894" s="246"/>
      <c r="O894" s="4"/>
    </row>
    <row r="895" spans="1:15" ht="15.75" hidden="1" customHeight="1" x14ac:dyDescent="0.25">
      <c r="A895" s="239" t="s">
        <v>309</v>
      </c>
      <c r="B895" s="146"/>
      <c r="C895" s="146"/>
      <c r="D895" s="146"/>
      <c r="E895" s="146"/>
      <c r="F895" s="146"/>
      <c r="G895" s="146" t="e">
        <f t="shared" si="91"/>
        <v>#DIV/0!</v>
      </c>
      <c r="H895" s="246"/>
      <c r="O895" s="4"/>
    </row>
    <row r="896" spans="1:15" ht="15.75" hidden="1" customHeight="1" x14ac:dyDescent="0.25">
      <c r="A896" s="239" t="s">
        <v>275</v>
      </c>
      <c r="B896" s="146"/>
      <c r="C896" s="146"/>
      <c r="D896" s="146"/>
      <c r="E896" s="146"/>
      <c r="F896" s="146"/>
      <c r="G896" s="146" t="e">
        <f t="shared" si="91"/>
        <v>#DIV/0!</v>
      </c>
      <c r="H896" s="246"/>
      <c r="O896" s="4"/>
    </row>
    <row r="897" spans="1:30" ht="15.75" hidden="1" customHeight="1" x14ac:dyDescent="0.25">
      <c r="A897" s="239" t="s">
        <v>281</v>
      </c>
      <c r="B897" s="146"/>
      <c r="C897" s="146"/>
      <c r="D897" s="146"/>
      <c r="E897" s="146"/>
      <c r="F897" s="146"/>
      <c r="G897" s="146" t="e">
        <f t="shared" si="91"/>
        <v>#DIV/0!</v>
      </c>
      <c r="H897" s="246"/>
      <c r="O897" s="4"/>
    </row>
    <row r="898" spans="1:30" ht="15.75" hidden="1" customHeight="1" x14ac:dyDescent="0.25">
      <c r="A898" s="239" t="s">
        <v>282</v>
      </c>
      <c r="B898" s="146"/>
      <c r="C898" s="146"/>
      <c r="D898" s="146"/>
      <c r="E898" s="146"/>
      <c r="F898" s="146"/>
      <c r="G898" s="146" t="e">
        <f t="shared" si="91"/>
        <v>#DIV/0!</v>
      </c>
      <c r="H898" s="246"/>
      <c r="O898" s="4"/>
    </row>
    <row r="899" spans="1:30" ht="15.75" hidden="1" customHeight="1" x14ac:dyDescent="0.25">
      <c r="A899" s="239" t="s">
        <v>283</v>
      </c>
      <c r="B899" s="146"/>
      <c r="C899" s="146"/>
      <c r="D899" s="146"/>
      <c r="E899" s="146"/>
      <c r="F899" s="146"/>
      <c r="G899" s="146" t="e">
        <f t="shared" si="91"/>
        <v>#DIV/0!</v>
      </c>
      <c r="H899" s="246"/>
      <c r="O899" s="4"/>
    </row>
    <row r="900" spans="1:30" ht="15.75" hidden="1" customHeight="1" x14ac:dyDescent="0.25">
      <c r="A900" s="239" t="s">
        <v>284</v>
      </c>
      <c r="B900" s="146"/>
      <c r="C900" s="146"/>
      <c r="D900" s="146"/>
      <c r="E900" s="146"/>
      <c r="F900" s="146"/>
      <c r="G900" s="146" t="e">
        <f t="shared" si="91"/>
        <v>#DIV/0!</v>
      </c>
      <c r="H900" s="246"/>
      <c r="O900" s="4"/>
    </row>
    <row r="901" spans="1:30" ht="15.75" hidden="1" customHeight="1" x14ac:dyDescent="0.25">
      <c r="A901" s="240" t="s">
        <v>285</v>
      </c>
      <c r="B901" s="147"/>
      <c r="C901" s="147"/>
      <c r="D901" s="147"/>
      <c r="E901" s="147"/>
      <c r="F901" s="147"/>
      <c r="G901" s="147" t="e">
        <f t="shared" si="91"/>
        <v>#DIV/0!</v>
      </c>
      <c r="H901" s="298"/>
      <c r="O901" s="4"/>
    </row>
    <row r="902" spans="1:30" ht="15.75" customHeight="1" x14ac:dyDescent="0.25">
      <c r="O902" s="4"/>
    </row>
    <row r="903" spans="1:30" ht="15.75" customHeight="1" x14ac:dyDescent="0.25">
      <c r="A903" s="48"/>
      <c r="B903" s="48"/>
      <c r="C903" s="841" t="s">
        <v>80</v>
      </c>
      <c r="D903" s="842"/>
      <c r="E903" s="842"/>
      <c r="F903" s="842"/>
      <c r="G903" s="842"/>
      <c r="H903" s="842"/>
      <c r="I903" s="842"/>
      <c r="J903" s="842"/>
      <c r="K903" s="842"/>
      <c r="L903" s="842"/>
      <c r="M903" s="842"/>
      <c r="N903" s="842"/>
      <c r="O903" s="842"/>
      <c r="P903" s="842"/>
      <c r="Q903" s="842"/>
      <c r="R903" s="842"/>
      <c r="S903" s="843"/>
      <c r="T903" s="59"/>
      <c r="U903" s="59"/>
      <c r="V903" s="371"/>
      <c r="W903" s="48"/>
      <c r="X903" s="48"/>
      <c r="Y903" s="48"/>
      <c r="Z903" s="48"/>
      <c r="AA903" s="63"/>
      <c r="AB903" s="63"/>
      <c r="AC903" s="63"/>
      <c r="AD903" s="63"/>
    </row>
    <row r="904" spans="1:30" ht="15" customHeight="1" x14ac:dyDescent="0.25">
      <c r="A904" s="32" t="s">
        <v>81</v>
      </c>
      <c r="B904" s="770" t="s">
        <v>82</v>
      </c>
      <c r="C904" s="771"/>
      <c r="D904" s="771"/>
      <c r="E904" s="771"/>
      <c r="F904" s="771"/>
      <c r="G904" s="771"/>
      <c r="H904" s="772"/>
      <c r="I904" s="773" t="s">
        <v>83</v>
      </c>
      <c r="J904" s="771"/>
      <c r="K904" s="771"/>
      <c r="L904" s="771"/>
      <c r="M904" s="771"/>
      <c r="N904" s="771"/>
      <c r="O904" s="772"/>
    </row>
    <row r="905" spans="1:30" ht="15" customHeight="1" x14ac:dyDescent="0.25">
      <c r="A905" s="34">
        <v>13</v>
      </c>
      <c r="B905" s="774" t="s">
        <v>161</v>
      </c>
      <c r="C905" s="771"/>
      <c r="D905" s="771"/>
      <c r="E905" s="771"/>
      <c r="F905" s="771"/>
      <c r="G905" s="771"/>
      <c r="H905" s="772"/>
      <c r="I905" s="774" t="s">
        <v>84</v>
      </c>
      <c r="J905" s="771"/>
      <c r="K905" s="771"/>
      <c r="L905" s="771"/>
      <c r="M905" s="771"/>
      <c r="N905" s="771"/>
      <c r="O905" s="772"/>
    </row>
    <row r="906" spans="1:30" ht="15" customHeight="1" x14ac:dyDescent="0.25">
      <c r="A906" s="34">
        <v>14</v>
      </c>
      <c r="B906" s="774" t="s">
        <v>85</v>
      </c>
      <c r="C906" s="771"/>
      <c r="D906" s="771"/>
      <c r="E906" s="771"/>
      <c r="F906" s="771"/>
      <c r="G906" s="771"/>
      <c r="H906" s="772"/>
      <c r="I906" s="775" t="s">
        <v>162</v>
      </c>
      <c r="J906" s="771"/>
      <c r="K906" s="771"/>
      <c r="L906" s="771"/>
      <c r="M906" s="771"/>
      <c r="N906" s="771"/>
      <c r="O906" s="772"/>
    </row>
  </sheetData>
  <mergeCells count="342">
    <mergeCell ref="A372:N372"/>
    <mergeCell ref="C827:C838"/>
    <mergeCell ref="D827:D838"/>
    <mergeCell ref="D842:D853"/>
    <mergeCell ref="D857:D868"/>
    <mergeCell ref="D677:D682"/>
    <mergeCell ref="B224:B229"/>
    <mergeCell ref="B215:B220"/>
    <mergeCell ref="C215:C220"/>
    <mergeCell ref="D215:D220"/>
    <mergeCell ref="E215:E220"/>
    <mergeCell ref="F215:F220"/>
    <mergeCell ref="B233:B238"/>
    <mergeCell ref="C224:C229"/>
    <mergeCell ref="D224:D229"/>
    <mergeCell ref="E224:E229"/>
    <mergeCell ref="F224:F229"/>
    <mergeCell ref="G224:G229"/>
    <mergeCell ref="E343:E354"/>
    <mergeCell ref="F343:F354"/>
    <mergeCell ref="G343:G354"/>
    <mergeCell ref="A311:N311"/>
    <mergeCell ref="G313:G324"/>
    <mergeCell ref="F374:F385"/>
    <mergeCell ref="A213:N213"/>
    <mergeCell ref="G215:G220"/>
    <mergeCell ref="B374:B385"/>
    <mergeCell ref="C374:C385"/>
    <mergeCell ref="C358:C369"/>
    <mergeCell ref="D358:D369"/>
    <mergeCell ref="E358:E369"/>
    <mergeCell ref="F358:F369"/>
    <mergeCell ref="G358:G369"/>
    <mergeCell ref="C313:C324"/>
    <mergeCell ref="D313:D324"/>
    <mergeCell ref="C297:C308"/>
    <mergeCell ref="D297:D308"/>
    <mergeCell ref="E297:E308"/>
    <mergeCell ref="F297:F308"/>
    <mergeCell ref="G297:G308"/>
    <mergeCell ref="E313:E324"/>
    <mergeCell ref="F313:F324"/>
    <mergeCell ref="E282:E293"/>
    <mergeCell ref="F282:F293"/>
    <mergeCell ref="G282:G293"/>
    <mergeCell ref="B358:B369"/>
    <mergeCell ref="C343:C354"/>
    <mergeCell ref="D343:D354"/>
    <mergeCell ref="B242:B247"/>
    <mergeCell ref="C242:C247"/>
    <mergeCell ref="D242:D247"/>
    <mergeCell ref="C233:C238"/>
    <mergeCell ref="D233:D238"/>
    <mergeCell ref="B343:B354"/>
    <mergeCell ref="B313:B324"/>
    <mergeCell ref="B297:B308"/>
    <mergeCell ref="B282:B293"/>
    <mergeCell ref="C282:C293"/>
    <mergeCell ref="D282:D293"/>
    <mergeCell ref="B267:B278"/>
    <mergeCell ref="C267:C278"/>
    <mergeCell ref="D267:D278"/>
    <mergeCell ref="B328:B339"/>
    <mergeCell ref="C328:C339"/>
    <mergeCell ref="D328:D339"/>
    <mergeCell ref="A129:A137"/>
    <mergeCell ref="A138:A146"/>
    <mergeCell ref="A111:A119"/>
    <mergeCell ref="A120:A128"/>
    <mergeCell ref="A42:A49"/>
    <mergeCell ref="A34:A38"/>
    <mergeCell ref="A24:A28"/>
    <mergeCell ref="A29:A33"/>
    <mergeCell ref="E267:E278"/>
    <mergeCell ref="A250:N250"/>
    <mergeCell ref="B252:B263"/>
    <mergeCell ref="G252:G263"/>
    <mergeCell ref="E165:E169"/>
    <mergeCell ref="E170:E174"/>
    <mergeCell ref="A165:A169"/>
    <mergeCell ref="A183:H183"/>
    <mergeCell ref="A198:H198"/>
    <mergeCell ref="F165:F169"/>
    <mergeCell ref="G165:G169"/>
    <mergeCell ref="H165:H169"/>
    <mergeCell ref="A170:A174"/>
    <mergeCell ref="H170:H174"/>
    <mergeCell ref="C252:C263"/>
    <mergeCell ref="D252:D263"/>
    <mergeCell ref="A14:A18"/>
    <mergeCell ref="A19:A23"/>
    <mergeCell ref="A93:A101"/>
    <mergeCell ref="A102:A110"/>
    <mergeCell ref="A75:A83"/>
    <mergeCell ref="A84:A92"/>
    <mergeCell ref="A58:A65"/>
    <mergeCell ref="A66:A74"/>
    <mergeCell ref="A50:A57"/>
    <mergeCell ref="F160:F164"/>
    <mergeCell ref="G160:G164"/>
    <mergeCell ref="A148:H148"/>
    <mergeCell ref="A150:A154"/>
    <mergeCell ref="E150:E154"/>
    <mergeCell ref="F150:F154"/>
    <mergeCell ref="G150:G154"/>
    <mergeCell ref="H150:H154"/>
    <mergeCell ref="F170:F174"/>
    <mergeCell ref="G170:G174"/>
    <mergeCell ref="F155:F159"/>
    <mergeCell ref="G155:G159"/>
    <mergeCell ref="H155:H159"/>
    <mergeCell ref="E160:E164"/>
    <mergeCell ref="H160:H164"/>
    <mergeCell ref="A155:A159"/>
    <mergeCell ref="A160:A164"/>
    <mergeCell ref="G138:G146"/>
    <mergeCell ref="H138:H146"/>
    <mergeCell ref="E120:E128"/>
    <mergeCell ref="F120:F128"/>
    <mergeCell ref="G120:G128"/>
    <mergeCell ref="H120:H128"/>
    <mergeCell ref="E155:E159"/>
    <mergeCell ref="E129:E137"/>
    <mergeCell ref="F129:F137"/>
    <mergeCell ref="G129:G137"/>
    <mergeCell ref="H129:H137"/>
    <mergeCell ref="E138:E146"/>
    <mergeCell ref="F138:F146"/>
    <mergeCell ref="E93:E101"/>
    <mergeCell ref="E102:E110"/>
    <mergeCell ref="F50:F57"/>
    <mergeCell ref="G50:G57"/>
    <mergeCell ref="F58:F65"/>
    <mergeCell ref="G58:G65"/>
    <mergeCell ref="H58:H65"/>
    <mergeCell ref="F42:F49"/>
    <mergeCell ref="G42:G49"/>
    <mergeCell ref="H42:H49"/>
    <mergeCell ref="H50:H57"/>
    <mergeCell ref="E58:E65"/>
    <mergeCell ref="G75:G83"/>
    <mergeCell ref="H75:H83"/>
    <mergeCell ref="E84:E92"/>
    <mergeCell ref="F84:F92"/>
    <mergeCell ref="E24:E28"/>
    <mergeCell ref="F24:F28"/>
    <mergeCell ref="G24:G28"/>
    <mergeCell ref="H24:H28"/>
    <mergeCell ref="E29:E33"/>
    <mergeCell ref="F29:F33"/>
    <mergeCell ref="E42:E49"/>
    <mergeCell ref="E50:E57"/>
    <mergeCell ref="E34:E38"/>
    <mergeCell ref="F34:F38"/>
    <mergeCell ref="G34:G38"/>
    <mergeCell ref="H34:H38"/>
    <mergeCell ref="A40:H40"/>
    <mergeCell ref="G29:G33"/>
    <mergeCell ref="H29:H33"/>
    <mergeCell ref="A5:B5"/>
    <mergeCell ref="A1:B3"/>
    <mergeCell ref="A4:B4"/>
    <mergeCell ref="C1:N1"/>
    <mergeCell ref="C2:N2"/>
    <mergeCell ref="C3:G3"/>
    <mergeCell ref="H3:N3"/>
    <mergeCell ref="C4:N4"/>
    <mergeCell ref="C5:N5"/>
    <mergeCell ref="A7:H7"/>
    <mergeCell ref="A9:A13"/>
    <mergeCell ref="E9:E13"/>
    <mergeCell ref="F9:F13"/>
    <mergeCell ref="G9:G13"/>
    <mergeCell ref="H9:H13"/>
    <mergeCell ref="F102:F110"/>
    <mergeCell ref="G102:G110"/>
    <mergeCell ref="F111:F119"/>
    <mergeCell ref="G111:G119"/>
    <mergeCell ref="H111:H119"/>
    <mergeCell ref="F93:F101"/>
    <mergeCell ref="G93:G101"/>
    <mergeCell ref="H93:H101"/>
    <mergeCell ref="H102:H110"/>
    <mergeCell ref="G84:G92"/>
    <mergeCell ref="H84:H92"/>
    <mergeCell ref="E66:E74"/>
    <mergeCell ref="F66:F74"/>
    <mergeCell ref="G66:G74"/>
    <mergeCell ref="H66:H74"/>
    <mergeCell ref="E111:E119"/>
    <mergeCell ref="E75:E83"/>
    <mergeCell ref="F75:F83"/>
    <mergeCell ref="E14:E18"/>
    <mergeCell ref="F14:F18"/>
    <mergeCell ref="G14:G18"/>
    <mergeCell ref="H14:H18"/>
    <mergeCell ref="E19:E23"/>
    <mergeCell ref="F19:F23"/>
    <mergeCell ref="G19:G23"/>
    <mergeCell ref="H19:H23"/>
    <mergeCell ref="B686:B691"/>
    <mergeCell ref="B668:B673"/>
    <mergeCell ref="E404:E415"/>
    <mergeCell ref="F404:F415"/>
    <mergeCell ref="G404:G415"/>
    <mergeCell ref="B545:B556"/>
    <mergeCell ref="B499:B510"/>
    <mergeCell ref="B451:B456"/>
    <mergeCell ref="B433:B438"/>
    <mergeCell ref="E419:E430"/>
    <mergeCell ref="F419:F430"/>
    <mergeCell ref="A467:G467"/>
    <mergeCell ref="C451:C456"/>
    <mergeCell ref="D451:D456"/>
    <mergeCell ref="B460:B465"/>
    <mergeCell ref="A431:G431"/>
    <mergeCell ref="D442:D447"/>
    <mergeCell ref="D575:D586"/>
    <mergeCell ref="C545:C556"/>
    <mergeCell ref="D545:D556"/>
    <mergeCell ref="B720:B731"/>
    <mergeCell ref="B796:B807"/>
    <mergeCell ref="B766:B777"/>
    <mergeCell ref="B695:B700"/>
    <mergeCell ref="B735:B746"/>
    <mergeCell ref="C735:C746"/>
    <mergeCell ref="C621:C632"/>
    <mergeCell ref="C686:C691"/>
    <mergeCell ref="C695:C700"/>
    <mergeCell ref="C705:C716"/>
    <mergeCell ref="A764:H764"/>
    <mergeCell ref="A703:H703"/>
    <mergeCell ref="B705:B716"/>
    <mergeCell ref="B636:B647"/>
    <mergeCell ref="C720:C731"/>
    <mergeCell ref="D720:D731"/>
    <mergeCell ref="D686:D691"/>
    <mergeCell ref="D695:D700"/>
    <mergeCell ref="A666:H666"/>
    <mergeCell ref="C668:C673"/>
    <mergeCell ref="G374:G385"/>
    <mergeCell ref="B389:B400"/>
    <mergeCell ref="C389:C400"/>
    <mergeCell ref="D389:D400"/>
    <mergeCell ref="E389:E400"/>
    <mergeCell ref="F389:F400"/>
    <mergeCell ref="G389:G400"/>
    <mergeCell ref="B469:B480"/>
    <mergeCell ref="C469:C480"/>
    <mergeCell ref="C460:C465"/>
    <mergeCell ref="D460:D465"/>
    <mergeCell ref="D374:D385"/>
    <mergeCell ref="E374:E385"/>
    <mergeCell ref="G419:G430"/>
    <mergeCell ref="B404:B415"/>
    <mergeCell ref="C404:C415"/>
    <mergeCell ref="D404:D415"/>
    <mergeCell ref="C433:C438"/>
    <mergeCell ref="B419:B430"/>
    <mergeCell ref="B442:B447"/>
    <mergeCell ref="C419:C430"/>
    <mergeCell ref="D419:D430"/>
    <mergeCell ref="D433:D438"/>
    <mergeCell ref="C442:C447"/>
    <mergeCell ref="D469:D480"/>
    <mergeCell ref="D484:D495"/>
    <mergeCell ref="C766:C777"/>
    <mergeCell ref="C872:C883"/>
    <mergeCell ref="B857:B868"/>
    <mergeCell ref="C857:C868"/>
    <mergeCell ref="B872:B883"/>
    <mergeCell ref="D735:D746"/>
    <mergeCell ref="B750:B761"/>
    <mergeCell ref="C750:C761"/>
    <mergeCell ref="D750:D761"/>
    <mergeCell ref="B827:B838"/>
    <mergeCell ref="A825:H825"/>
    <mergeCell ref="D872:D883"/>
    <mergeCell ref="B514:B525"/>
    <mergeCell ref="C514:C525"/>
    <mergeCell ref="D514:D525"/>
    <mergeCell ref="C636:C647"/>
    <mergeCell ref="D636:D647"/>
    <mergeCell ref="D705:D716"/>
    <mergeCell ref="A528:G528"/>
    <mergeCell ref="B530:B541"/>
    <mergeCell ref="C530:C541"/>
    <mergeCell ref="D530:D541"/>
    <mergeCell ref="D781:D792"/>
    <mergeCell ref="B842:B853"/>
    <mergeCell ref="C842:C853"/>
    <mergeCell ref="C796:C807"/>
    <mergeCell ref="D796:D807"/>
    <mergeCell ref="B811:B822"/>
    <mergeCell ref="C811:C822"/>
    <mergeCell ref="D811:D822"/>
    <mergeCell ref="B484:B495"/>
    <mergeCell ref="C484:C495"/>
    <mergeCell ref="C499:C510"/>
    <mergeCell ref="D499:D510"/>
    <mergeCell ref="B621:B632"/>
    <mergeCell ref="D606:D617"/>
    <mergeCell ref="B560:B571"/>
    <mergeCell ref="C560:C571"/>
    <mergeCell ref="D560:D571"/>
    <mergeCell ref="D668:D673"/>
    <mergeCell ref="B677:B682"/>
    <mergeCell ref="C677:C682"/>
    <mergeCell ref="E252:E263"/>
    <mergeCell ref="F252:F263"/>
    <mergeCell ref="E242:E247"/>
    <mergeCell ref="F242:F247"/>
    <mergeCell ref="G242:G247"/>
    <mergeCell ref="E233:E238"/>
    <mergeCell ref="F233:F238"/>
    <mergeCell ref="G233:G238"/>
    <mergeCell ref="F267:F278"/>
    <mergeCell ref="G267:G278"/>
    <mergeCell ref="B904:H904"/>
    <mergeCell ref="I904:O904"/>
    <mergeCell ref="B905:H905"/>
    <mergeCell ref="I905:O905"/>
    <mergeCell ref="B906:H906"/>
    <mergeCell ref="I906:O906"/>
    <mergeCell ref="E328:E339"/>
    <mergeCell ref="F328:F339"/>
    <mergeCell ref="G328:G339"/>
    <mergeCell ref="B575:B586"/>
    <mergeCell ref="C575:C586"/>
    <mergeCell ref="D621:D632"/>
    <mergeCell ref="A650:G650"/>
    <mergeCell ref="A589:G589"/>
    <mergeCell ref="B591:B602"/>
    <mergeCell ref="C591:C602"/>
    <mergeCell ref="D591:D602"/>
    <mergeCell ref="B606:B617"/>
    <mergeCell ref="C606:C617"/>
    <mergeCell ref="A888:H888"/>
    <mergeCell ref="C903:S903"/>
    <mergeCell ref="D766:D777"/>
    <mergeCell ref="B781:B792"/>
    <mergeCell ref="C781:C792"/>
  </mergeCells>
  <hyperlinks>
    <hyperlink ref="C215" r:id="rId1" location="1797075@455265" xr:uid="{00000000-0004-0000-0500-000000000000}"/>
    <hyperlink ref="C252" r:id="rId2" location="1797075@455265" xr:uid="{00000000-0004-0000-0500-000001000000}"/>
    <hyperlink ref="C313" r:id="rId3" location="1797075@455265" xr:uid="{00000000-0004-0000-0500-000002000000}"/>
    <hyperlink ref="C374" r:id="rId4" location="1797075@455265" xr:uid="{00000000-0004-0000-0500-000003000000}"/>
  </hyperlinks>
  <pageMargins left="0.7" right="0.7" top="0.75" bottom="0.75" header="0" footer="0"/>
  <pageSetup orientation="landscape" r:id="rId5"/>
  <drawing r:id="rId6"/>
  <legacy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3"/>
  <sheetViews>
    <sheetView workbookViewId="0">
      <selection activeCell="G7" sqref="G7"/>
    </sheetView>
  </sheetViews>
  <sheetFormatPr baseColWidth="10" defaultRowHeight="15" x14ac:dyDescent="0.25"/>
  <cols>
    <col min="1" max="1" width="15.140625" style="388" bestFit="1" customWidth="1"/>
    <col min="2" max="2" width="87.28515625" style="388" customWidth="1"/>
    <col min="3" max="3" width="11.42578125" style="398"/>
  </cols>
  <sheetData>
    <row r="1" spans="1:3" ht="32.25" customHeight="1" x14ac:dyDescent="0.25">
      <c r="A1" s="1053" t="s">
        <v>617</v>
      </c>
      <c r="B1" s="1054"/>
      <c r="C1" s="395"/>
    </row>
    <row r="2" spans="1:3" ht="47.25" x14ac:dyDescent="0.25">
      <c r="A2" s="392" t="s">
        <v>287</v>
      </c>
      <c r="B2" s="389" t="s">
        <v>618</v>
      </c>
      <c r="C2" s="396">
        <f>LEN(B2)</f>
        <v>190</v>
      </c>
    </row>
    <row r="3" spans="1:3" ht="60" x14ac:dyDescent="0.25">
      <c r="A3" s="392" t="s">
        <v>296</v>
      </c>
      <c r="B3" s="390" t="s">
        <v>619</v>
      </c>
      <c r="C3" s="396">
        <f t="shared" ref="C3:C13" si="0">LEN(B3)</f>
        <v>240</v>
      </c>
    </row>
    <row r="4" spans="1:3" ht="62.25" x14ac:dyDescent="0.25">
      <c r="A4" s="392" t="s">
        <v>305</v>
      </c>
      <c r="B4" s="389" t="s">
        <v>620</v>
      </c>
      <c r="C4" s="396">
        <f t="shared" si="0"/>
        <v>249</v>
      </c>
    </row>
    <row r="5" spans="1:3" ht="18.75" x14ac:dyDescent="0.25">
      <c r="A5" s="392" t="s">
        <v>306</v>
      </c>
      <c r="B5" s="391"/>
      <c r="C5" s="396">
        <f t="shared" si="0"/>
        <v>0</v>
      </c>
    </row>
    <row r="6" spans="1:3" ht="18.75" x14ac:dyDescent="0.25">
      <c r="A6" s="392" t="s">
        <v>308</v>
      </c>
      <c r="B6" s="391"/>
      <c r="C6" s="396">
        <f t="shared" si="0"/>
        <v>0</v>
      </c>
    </row>
    <row r="7" spans="1:3" ht="18.75" x14ac:dyDescent="0.25">
      <c r="A7" s="392" t="s">
        <v>309</v>
      </c>
      <c r="B7" s="391"/>
      <c r="C7" s="396">
        <f t="shared" si="0"/>
        <v>0</v>
      </c>
    </row>
    <row r="8" spans="1:3" ht="18.75" x14ac:dyDescent="0.25">
      <c r="A8" s="392" t="s">
        <v>275</v>
      </c>
      <c r="B8" s="391"/>
      <c r="C8" s="396">
        <f t="shared" si="0"/>
        <v>0</v>
      </c>
    </row>
    <row r="9" spans="1:3" ht="18.75" x14ac:dyDescent="0.25">
      <c r="A9" s="392" t="s">
        <v>281</v>
      </c>
      <c r="B9" s="391"/>
      <c r="C9" s="396">
        <f t="shared" si="0"/>
        <v>0</v>
      </c>
    </row>
    <row r="10" spans="1:3" ht="18.75" x14ac:dyDescent="0.25">
      <c r="A10" s="392" t="s">
        <v>282</v>
      </c>
      <c r="B10" s="391"/>
      <c r="C10" s="396">
        <f t="shared" si="0"/>
        <v>0</v>
      </c>
    </row>
    <row r="11" spans="1:3" ht="18.75" x14ac:dyDescent="0.25">
      <c r="A11" s="392" t="s">
        <v>283</v>
      </c>
      <c r="B11" s="391"/>
      <c r="C11" s="396">
        <f t="shared" si="0"/>
        <v>0</v>
      </c>
    </row>
    <row r="12" spans="1:3" ht="18.75" x14ac:dyDescent="0.25">
      <c r="A12" s="392" t="s">
        <v>284</v>
      </c>
      <c r="B12" s="391"/>
      <c r="C12" s="396">
        <f t="shared" si="0"/>
        <v>0</v>
      </c>
    </row>
    <row r="13" spans="1:3" ht="19.5" thickBot="1" x14ac:dyDescent="0.3">
      <c r="A13" s="393" t="s">
        <v>285</v>
      </c>
      <c r="B13" s="394"/>
      <c r="C13" s="397">
        <f t="shared" si="0"/>
        <v>0</v>
      </c>
    </row>
  </sheetData>
  <mergeCells count="1">
    <mergeCell ref="A1:B1"/>
  </mergeCells>
  <pageMargins left="0.7" right="0.7" top="0.75" bottom="0.75" header="0.3" footer="0.3"/>
  <pageSetup orientation="portrait" horizontalDpi="4294967292"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GESTIÓN</vt:lpstr>
      <vt:lpstr>INVERSIÓN</vt:lpstr>
      <vt:lpstr>ACTIVIDADES</vt:lpstr>
      <vt:lpstr>TERRITORIALIZACIÓN</vt:lpstr>
      <vt:lpstr>Hoja1</vt:lpstr>
      <vt:lpstr>SPI</vt:lpstr>
      <vt:lpstr>PMR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2023-06-08T21:52:29Z</dcterms:modified>
</cp:coreProperties>
</file>